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H:\周彤\报告\2023年\2023-1-0005连云港市海州区锦屏山东南侧5号地块\F01\最终\"/>
    </mc:Choice>
  </mc:AlternateContent>
  <xr:revisionPtr revIDLastSave="0" documentId="13_ncr:1_{4E91E952-055A-4555-A07E-65E315E99009}" xr6:coauthVersionLast="47" xr6:coauthVersionMax="47" xr10:uidLastSave="{00000000-0000-0000-0000-000000000000}"/>
  <bookViews>
    <workbookView xWindow="-120" yWindow="-120" windowWidth="21840" windowHeight="13140" tabRatio="875" firstSheet="14"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Sheet1" sheetId="72"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state="hidden" r:id="rId33"/>
    <sheet name="不动产收益法-酒店模型" sheetId="68" state="hidden" r:id="rId34"/>
    <sheet name="成本逼近法" sheetId="11" state="hidden" r:id="rId35"/>
    <sheet name="不动产比较法-住宅" sheetId="21" state="hidden" r:id="rId36"/>
    <sheet name="不动产比较法-商业" sheetId="33"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 r:id="rId46"/>
  </externalReferences>
  <definedNames>
    <definedName name="_xlnm._FilterDatabase" localSheetId="21"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17">'比较法-住宅、综合'!$A$1:$K$66,'比较法-住宅、综合'!$A$70:$N$133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 localSheetId="18">'[1]不动产比较法-办公'!$B$119:$M$119</definedName>
    <definedName name="办公层高">'不动产比较法-办公'!$B$119:$M$119</definedName>
    <definedName name="办公朝向" localSheetId="18">'[1]不动产比较法-办公'!$B$91:$M$91</definedName>
    <definedName name="办公朝向">'不动产比较法-办公'!$B$91:$M$91</definedName>
    <definedName name="办公道路级别" localSheetId="18">'[1]不动产比较法-办公'!$B$87:$M$87</definedName>
    <definedName name="办公道路级别">'不动产比较法-办公'!$B$87:$M$87</definedName>
    <definedName name="办公公共部分装修" localSheetId="18">'[1]不动产比较法-办公'!$B$108:$M$108</definedName>
    <definedName name="办公公共部分装修">'不动产比较法-办公'!$B$108:$M$108</definedName>
    <definedName name="办公基础设施水平" localSheetId="18">'[1]不动产比较法-办公'!$B$117:$M$117</definedName>
    <definedName name="办公基础设施水平">'不动产比较法-办公'!$B$117:$M$117</definedName>
    <definedName name="办公集聚程度" localSheetId="18">[1]定义!$M$1:$M$6</definedName>
    <definedName name="办公集聚程度">定义!$M$1:$M$6</definedName>
    <definedName name="办公建筑结构" localSheetId="18">'[1]不动产比较法-办公'!$B$106:$M$106</definedName>
    <definedName name="办公建筑结构">'不动产比较法-办公'!$B$106:$M$106</definedName>
    <definedName name="办公建筑类型" localSheetId="18">'[1]不动产比较法-办公'!$B$101:$M$101</definedName>
    <definedName name="办公建筑类型">'不动产比较法-办公'!$B$101:$M$101</definedName>
    <definedName name="办公交易情况" localSheetId="18">'[1]不动产比较法-办公'!$A$62:$M$62</definedName>
    <definedName name="办公交易情况">'不动产比较法-办公'!$A$62:$M$62</definedName>
    <definedName name="办公楼层" localSheetId="18">'[1]不动产比较法-办公'!$B$89:$M$89</definedName>
    <definedName name="办公楼层">'不动产比较法-办公'!$B$89:$M$89</definedName>
    <definedName name="办公内部装修" localSheetId="18">'[1]不动产比较法-办公'!$B$123:$M$123</definedName>
    <definedName name="办公内部装修">'不动产比较法-办公'!$B$123:$M$123</definedName>
    <definedName name="办公物业管理" localSheetId="18">'[1]不动产比较法-办公'!$B$115:$M$115</definedName>
    <definedName name="办公物业管理">'不动产比较法-办公'!$B$115:$M$115</definedName>
    <definedName name="办公用途" localSheetId="18">'[1]不动产比较法-办公'!$B$64:$M$64</definedName>
    <definedName name="办公用途">'不动产比较法-办公'!$B$64:$M$64</definedName>
    <definedName name="仓储公共部分装修" localSheetId="18">'[1]不动产比较法-仓储'!$B$77:$M$77</definedName>
    <definedName name="仓储公共部分装修">'不动产比较法-仓储'!$B$77:$M$77</definedName>
    <definedName name="仓储交易情况" localSheetId="18">'[1]不动产比较法-仓储'!$A$49:$M$49</definedName>
    <definedName name="仓储交易情况">'不动产比较法-仓储'!$A$49:$M$49</definedName>
    <definedName name="仓储楼层" localSheetId="18">'[1]不动产比较法-仓储'!$B$69:$M$69</definedName>
    <definedName name="仓储楼层">'不动产比较法-仓储'!$B$69:$M$69</definedName>
    <definedName name="仓储物业等级" localSheetId="18">'[1]不动产比较法-仓储'!$B$82:$M$82</definedName>
    <definedName name="仓储物业等级">'不动产比较法-仓储'!$B$82:$M$82</definedName>
    <definedName name="仓储用途" localSheetId="18">'[1]不动产比较法-仓储'!$B$51:$M$51</definedName>
    <definedName name="仓储用途">'不动产比较法-仓储'!$B$51:$M$51</definedName>
    <definedName name="产业集聚程度" localSheetId="18">[1]定义!$N$1:$N$6</definedName>
    <definedName name="产业集聚程度">定义!$N$1:$N$6</definedName>
    <definedName name="车位公共部分装修" localSheetId="18">'[1]不动产比较法-车位'!$B$83:$M$83</definedName>
    <definedName name="车位公共部分装修">'不动产比较法-车位'!$B$83:$M$83</definedName>
    <definedName name="车位交易情况" localSheetId="18">'[1]不动产比较法-车位'!$A$51:$M$51</definedName>
    <definedName name="车位交易情况">'不动产比较法-车位'!$A$51:$M$51</definedName>
    <definedName name="车位类型" localSheetId="18">'[1]不动产比较法-车位'!$B$93:$M$93</definedName>
    <definedName name="车位类型">'不动产比较法-车位'!$B$93:$M$93</definedName>
    <definedName name="车位楼层" localSheetId="18">'[1]不动产比较法-车位'!$B$71:$M$71</definedName>
    <definedName name="车位楼层">'不动产比较法-车位'!$B$71:$M$71</definedName>
    <definedName name="车位配套类型" localSheetId="18">'[1]不动产比较法-车位'!$B$79:$M$79</definedName>
    <definedName name="车位配套类型">'不动产比较法-车位'!$B$79:$M$79</definedName>
    <definedName name="车位物业等级" localSheetId="18">'[1]不动产比较法-车位'!$B$88:$M$88</definedName>
    <definedName name="车位物业等级">'不动产比较法-车位'!$B$88:$M$88</definedName>
    <definedName name="车位用途" localSheetId="18">'[1]不动产比较法-车位'!$B$53:$M$53</definedName>
    <definedName name="车位用途">'不动产比较法-车位'!$B$53:$M$53</definedName>
    <definedName name="城镇土地纳税等级分级范围" localSheetId="18">'[1]数据-取费表'!$A$53:$A$63</definedName>
    <definedName name="城镇土地纳税等级分级范围">'数据-取费表'!$A$53:$A$63</definedName>
    <definedName name="单价内涵" localSheetId="18">[1]定义!$V$1:$V$3</definedName>
    <definedName name="单价内涵">定义!$V$1:$V$3</definedName>
    <definedName name="地类判定" localSheetId="18">[1]定义!$H$1:$H$9</definedName>
    <definedName name="地类判定">定义!$H$1:$H$9</definedName>
    <definedName name="二级">区片价!$K$1:$K$21</definedName>
    <definedName name="二级分类" localSheetId="18">[1]修正!$C$17:$C$39</definedName>
    <definedName name="二级分类">修正!$C$19:$C$51</definedName>
    <definedName name="法定最高年限" localSheetId="18">[1]定义!$G$2:$G$4</definedName>
    <definedName name="法定最高年限">定义!$G$2:$G$5</definedName>
    <definedName name="工业公共部分装修" localSheetId="18">'[1]不动产比较法-工业'!$B$95:$M$95</definedName>
    <definedName name="工业公共部分装修">'不动产比较法-工业'!$B$95:$M$95</definedName>
    <definedName name="工业基础设施水平" localSheetId="18">'[1]不动产比较法-工业'!$B$102:$M$102</definedName>
    <definedName name="工业基础设施水平">'不动产比较法-工业'!$B$102:$M$102</definedName>
    <definedName name="工业建筑结构" localSheetId="18">'[1]不动产比较法-工业'!$B$93:$M$93</definedName>
    <definedName name="工业建筑结构">'不动产比较法-工业'!$B$93:$M$93</definedName>
    <definedName name="工业建筑类型" localSheetId="18">'[1]不动产比较法-工业'!$B$88:$M$88</definedName>
    <definedName name="工业建筑类型">'不动产比较法-工业'!$B$88:$M$88</definedName>
    <definedName name="工业交易情况" localSheetId="18">'[1]不动产比较法-工业'!$A$55:$M$55</definedName>
    <definedName name="工业交易情况">'不动产比较法-工业'!$A$55:$M$55</definedName>
    <definedName name="工业内部装修" localSheetId="18">'[1]不动产比较法-工业'!$B$104:$M$104</definedName>
    <definedName name="工业内部装修">'不动产比较法-工业'!$B$104:$M$104</definedName>
    <definedName name="工业物业管理" localSheetId="18">'[1]不动产比较法-工业'!$B$100:$M$100</definedName>
    <definedName name="工业物业管理">'不动产比较法-工业'!$B$100:$M$100</definedName>
    <definedName name="工业用途" localSheetId="18">'[1]不动产比较法-工业'!$B$57:$M$57</definedName>
    <definedName name="工业用途">'不动产比较法-工业'!$B$57:$M$57</definedName>
    <definedName name="公共配套设施" localSheetId="18">[1]定义!$Q$1:$Q$6</definedName>
    <definedName name="公共配套设施">定义!$Q$1:$Q$6</definedName>
    <definedName name="估价范围判定">定义!$D$1:$D$4</definedName>
    <definedName name="估价方法" localSheetId="18">[1]定义!$B$1:$B$50</definedName>
    <definedName name="估价方法">定义!$B$1:$B$50</definedName>
    <definedName name="环境" localSheetId="18">[1]定义!$S$1:$S$6</definedName>
    <definedName name="环境">定义!$S$1:$S$6</definedName>
    <definedName name="基础设施水平" localSheetId="18">[1]定义!$R$1:$R$6</definedName>
    <definedName name="基础设施水平">定义!$R$1:$R$6</definedName>
    <definedName name="季度">基准地价!$N$19:$AB$19</definedName>
    <definedName name="季度2014">地价!$A$2:$A$41</definedName>
    <definedName name="价值类型2" localSheetId="18">[1]定义!$B$54:$B$56</definedName>
    <definedName name="价值类型2">定义!$B$54:$B$56</definedName>
    <definedName name="交通便捷度" localSheetId="18">[1]定义!$O$1:$O$6</definedName>
    <definedName name="交通便捷度">定义!$O$1:$O$6</definedName>
    <definedName name="九级">区片价!$R$1:$R$51</definedName>
    <definedName name="居住社区成熟度" localSheetId="18">[1]定义!$K$1:$K$6</definedName>
    <definedName name="居住社区成熟度">定义!$K$1:$K$6</definedName>
    <definedName name="类别" localSheetId="18">[1]定义!$J$1:$J$3</definedName>
    <definedName name="类别">定义!$J$1:$J$3</definedName>
    <definedName name="临街状况" localSheetId="18">[1]定义!$T$1:$T$5</definedName>
    <definedName name="临街状况">定义!$T$1:$T$5</definedName>
    <definedName name="六级">区片价!$O$1:$O$64</definedName>
    <definedName name="内部装修维护情况" localSheetId="18">[1]定义!$U$1:$U$6</definedName>
    <definedName name="内部装修维护情况">定义!$U$1:$U$6</definedName>
    <definedName name="判定">[1]定义!$D$1:$D$4</definedName>
    <definedName name="七级">区片价!$P$1:$P$45</definedName>
    <definedName name="七通一平" localSheetId="18">[1]修正!$A$6:$A$14</definedName>
    <definedName name="七通一平">修正!$A$8:$A$16</definedName>
    <definedName name="区域土地利用方向" localSheetId="18">[1]定义!$P$1:$P$6</definedName>
    <definedName name="区域土地利用方向">定义!$P$1:$P$6</definedName>
    <definedName name="三级">区片价!$L$1:$L$26</definedName>
    <definedName name="商业层高" localSheetId="18">'[1]不动产比较法-商业'!$B$116:$M$116</definedName>
    <definedName name="商业层高">'不动产比较法-商业'!$B$116:$M$116</definedName>
    <definedName name="商业成新度">'不动产比较法-商业'!$B$109:$M$109</definedName>
    <definedName name="商业繁华度" localSheetId="18">[1]定义!$L$1:$L$6</definedName>
    <definedName name="商业繁华度">定义!$L$1:$L$6</definedName>
    <definedName name="商业公共部分装修" localSheetId="18">'[1]不动产比较法-商业'!$B$107:$M$107</definedName>
    <definedName name="商业公共部分装修">'不动产比较法-商业'!$B$107:$M$107</definedName>
    <definedName name="商业基础设施水平" localSheetId="18">'[1]不动产比较法-商业'!$B$112:$M$112</definedName>
    <definedName name="商业基础设施水平">'不动产比较法-商业'!$B$112:$M$112</definedName>
    <definedName name="商业建筑结构" localSheetId="18">'[1]不动产比较法-商业'!$B$105:$M$105</definedName>
    <definedName name="商业建筑结构">'不动产比较法-商业'!$B$105:$M$105</definedName>
    <definedName name="商业交易情况" localSheetId="18">'[1]不动产比较法-商业'!$A$61:$M$61</definedName>
    <definedName name="商业交易情况">'不动产比较法-商业'!$A$61:$M$61</definedName>
    <definedName name="商业街名称" localSheetId="18">[1]修正!$C$59:$C$119</definedName>
    <definedName name="商业街名称">修正!$C$71:$C$139</definedName>
    <definedName name="商业进深比" localSheetId="18">'[1]不动产比较法-商业'!$B$120:$M$120</definedName>
    <definedName name="商业进深比">'不动产比较法-商业'!$B$120:$M$120</definedName>
    <definedName name="商业类型" localSheetId="18">'[1]不动产比较法-商业'!$B$100:$M$100</definedName>
    <definedName name="商业类型">'不动产比较法-商业'!$B$100:$M$100</definedName>
    <definedName name="商业临街状况" localSheetId="18">'[1]不动产比较法-商业'!$B$86:$M$86</definedName>
    <definedName name="商业临街状况">'不动产比较法-商业'!$B$86:$M$86</definedName>
    <definedName name="商业楼层" localSheetId="18">'[1]不动产比较法-商业'!$B$92:$M$92</definedName>
    <definedName name="商业楼层">'不动产比较法-商业'!$B$92:$M$92</definedName>
    <definedName name="商业内部装修" localSheetId="18">'[1]不动产比较法-商业'!$B$122:$M$122</definedName>
    <definedName name="商业内部装修">'不动产比较法-商业'!$B$122:$M$122</definedName>
    <definedName name="商业人流量" localSheetId="18">'[1]不动产比较法-商业'!$B$90:$M$90</definedName>
    <definedName name="商业人流量">'不动产比较法-商业'!$B$90:$M$90</definedName>
    <definedName name="商业业态" localSheetId="18">'[1]不动产比较法-商业'!$B$114:$M$114</definedName>
    <definedName name="商业业态">'不动产比较法-商业'!$B$114:$M$114</definedName>
    <definedName name="商业用途" localSheetId="18">'[1]不动产比较法-商业'!$B$63:$M$63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8">'[1]不动产比较法-仓储'!$B$89:$M$89</definedName>
    <definedName name="是否封闭">'不动产比较法-仓储'!$B$89:$M$89</definedName>
    <definedName name="是否直接入户" localSheetId="18">'[1]不动产比较法-车位'!$B$95:$M$95</definedName>
    <definedName name="是否直接入户">'不动产比较法-车位'!$B$95:$M$95</definedName>
    <definedName name="四级">区片价!$M$1:$M$33</definedName>
    <definedName name="套工工程地质条件" localSheetId="18">'[1]比较法-工业'!$B$116:$M$116</definedName>
    <definedName name="套工工程地质条件">'比较法-工业'!$B$115:$M$115</definedName>
    <definedName name="套工交易情况" localSheetId="18">'[1]比较法-住宅、综合'!$A$75:$M$75</definedName>
    <definedName name="套工交易情况">'比较法-住宅、综合'!$A$74:$M$74</definedName>
    <definedName name="套工开发程度" localSheetId="18">'[1]比较法-工业'!$B$114:$M$114</definedName>
    <definedName name="套工开发程度">'比较法-工业'!$B$113:$M$113</definedName>
    <definedName name="套工临街等级" localSheetId="18">'[1]比较法-工业'!$B$99:$M$99</definedName>
    <definedName name="套工临街等级">'比较法-工业'!$B$98:$M$98</definedName>
    <definedName name="套工土地级别" localSheetId="18">'[1]比较法-工业'!$B$101:$M$101</definedName>
    <definedName name="套工土地级别">'比较法-工业'!$B$100:$M$100</definedName>
    <definedName name="套工用途" localSheetId="18">'[1]比较法-工业'!$B$72:$M$72</definedName>
    <definedName name="套工用途">'比较法-工业'!$B$71:$M$71</definedName>
    <definedName name="套工宗地形状" localSheetId="18">'[1]比较法-工业'!$B$112:$M$112</definedName>
    <definedName name="套工宗地形状">'比较法-工业'!$B$111:$M$111</definedName>
    <definedName name="套综道路等级" localSheetId="18">'[1]比较法-住宅、综合'!$B$108:$M$108</definedName>
    <definedName name="套综道路等级">'比较法-住宅、综合'!$B$107:$M$107</definedName>
    <definedName name="套综工程地质条件" localSheetId="18">'[1]比较法-住宅、综合'!$B$127:$M$127</definedName>
    <definedName name="套综工程地质条件">'比较法-住宅、综合'!$B$126:$M$126</definedName>
    <definedName name="套综交易情况" localSheetId="18">'[1]比较法-住宅、综合'!$A$75:$M$75</definedName>
    <definedName name="套综交易情况">'比较法-住宅、综合'!$A$74:$M$74</definedName>
    <definedName name="套综临街宽度及深度" localSheetId="18">'[1]比较法-住宅、综合'!$B$123:$M$123</definedName>
    <definedName name="套综临街宽度及深度">'比较法-住宅、综合'!$B$122:$M$122</definedName>
    <definedName name="套综土地级别" localSheetId="18">'[1]比较法-住宅、综合'!$B$110:$M$110</definedName>
    <definedName name="套综土地级别">'比较法-住宅、综合'!$B$109:$M$109</definedName>
    <definedName name="套综用途" localSheetId="18">'[1]比较法-住宅、综合'!$B$77:$M$77</definedName>
    <definedName name="套综用途">'比较法-住宅、综合'!$B$76:$M$76</definedName>
    <definedName name="套综宗地内开发程度" localSheetId="18">'[1]比较法-住宅、综合'!$B$125:$M$125</definedName>
    <definedName name="套综宗地内开发程度">'比较法-住宅、综合'!$B$124:$M$124</definedName>
    <definedName name="套综宗地形状" localSheetId="18">'[1]比较法-住宅、综合'!$B$121:$M$121</definedName>
    <definedName name="套综宗地形状">'比较法-住宅、综合'!$B$120:$M$120</definedName>
    <definedName name="土地估价师" localSheetId="18">[1]估价师及机构信息!$D$3:$D$16</definedName>
    <definedName name="土地估价师">估价师及机构信息!$D$3:$D$17</definedName>
    <definedName name="土地级别" localSheetId="18">[1]定义!$C$1:$C$14</definedName>
    <definedName name="土地级别">定义!$C$1:$C$14</definedName>
    <definedName name="土地利用方向">定义!$P$1:$P$6</definedName>
    <definedName name="土地年限区间" localSheetId="18">[1]定义!$I$1:$I$8</definedName>
    <definedName name="土地年限区间">定义!$I$1:$I$16</definedName>
    <definedName name="位置" localSheetId="18">[1]定义!$E$2:$E$4</definedName>
    <definedName name="位置">定义!$E$2:$E$4</definedName>
    <definedName name="五等判定" localSheetId="18">[1]定义!$W$1:$W$6</definedName>
    <definedName name="五等判定">定义!$W$1:$W$6</definedName>
    <definedName name="五级">区片价!$N$1:$N$41</definedName>
    <definedName name="项目类型" localSheetId="18">'[1]数据-汇总表'!$C$17:$C$26</definedName>
    <definedName name="项目类型" localSheetId="33">'[2]数据-汇总表'!$C$17:$C$26</definedName>
    <definedName name="项目类型">'数据-汇总表'!$C$17:$C$26</definedName>
    <definedName name="写字楼等级" localSheetId="18">'[1]不动产比较法-办公'!$B$113:$M$113</definedName>
    <definedName name="写字楼等级">'不动产比较法-办公'!$B$113:$M$113</definedName>
    <definedName name="一级">区片价!$J$1:$J$6</definedName>
    <definedName name="一修多修正项2" localSheetId="18">[1]典型户型修正!$5:$5</definedName>
    <definedName name="一修多修正项2">典型户型修正!$5:$5</definedName>
    <definedName name="一修多修正项3" localSheetId="18">[1]典型户型修正!$7:$7</definedName>
    <definedName name="一修多修正项3">典型户型修正!$7:$7</definedName>
    <definedName name="一修多修正项4" localSheetId="18">[1]典型户型修正!$9:$9</definedName>
    <definedName name="一修多修正项4">典型户型修正!$9:$9</definedName>
    <definedName name="一修多修正项5" localSheetId="18">[1]典型户型修正!$11:$11</definedName>
    <definedName name="一修多修正项5">典型户型修正!$11:$11</definedName>
    <definedName name="一修多修正项6" localSheetId="18">[1]典型户型修正!$13:$13</definedName>
    <definedName name="一修多修正项6">典型户型修正!$13:$13</definedName>
    <definedName name="一修多修正项7" localSheetId="18">[1]典型户型修正!$15:$15</definedName>
    <definedName name="一修多修正项7">典型户型修正!$15:$15</definedName>
    <definedName name="一修多修正项8" localSheetId="18">[1]典型户型修正!$17:$17</definedName>
    <definedName name="一修多修正项8">典型户型修正!$17:$17</definedName>
    <definedName name="用途类型" localSheetId="18">[1]定义!$A$1:$A$50</definedName>
    <definedName name="用途类型">定义!$A$1:$A$50</definedName>
    <definedName name="有无电梯" localSheetId="18">'[1]不动产比较法-仓储'!$B$84:$M$84</definedName>
    <definedName name="有无电梯">'不动产比较法-仓储'!$B$84:$M$84</definedName>
    <definedName name="主用途" localSheetId="18">[1]定义!$F$1:$F$10</definedName>
    <definedName name="主用途">定义!$F$1:$F$12</definedName>
    <definedName name="住宅朝向" localSheetId="18">'[1]不动产比较法-住宅'!$B$88:$M$88</definedName>
    <definedName name="住宅朝向">'不动产比较法-住宅'!$B$88:$M$88</definedName>
    <definedName name="住宅房型" localSheetId="18">'[1]不动产比较法-住宅'!$B$118:$M$118</definedName>
    <definedName name="住宅房型">'不动产比较法-住宅'!$B$118:$M$118</definedName>
    <definedName name="住宅公共部分装修" localSheetId="18">'[1]不动产比较法-住宅'!$B$109:$M$109</definedName>
    <definedName name="住宅公共部分装修">'不动产比较法-住宅'!$B$109:$M$109</definedName>
    <definedName name="住宅基础设施水平" localSheetId="18">'[1]不动产比较法-住宅'!$B$116:$M$116</definedName>
    <definedName name="住宅基础设施水平">'不动产比较法-住宅'!$B$116:$M$116</definedName>
    <definedName name="住宅建筑结构" localSheetId="18">'[1]不动产比较法-住宅'!$B$105:$M$105</definedName>
    <definedName name="住宅建筑结构">'不动产比较法-住宅'!$B$105:$M$105</definedName>
    <definedName name="住宅建筑类型" localSheetId="18">'[1]不动产比较法-住宅'!$B$100:$M$100</definedName>
    <definedName name="住宅建筑类型">'不动产比较法-住宅'!$B$100:$M$100</definedName>
    <definedName name="住宅建筑品质" localSheetId="18">'[1]不动产比较法-住宅'!$B$107:$M$107</definedName>
    <definedName name="住宅建筑品质">'不动产比较法-住宅'!$B$107:$M$107</definedName>
    <definedName name="住宅交易情况" localSheetId="18">'[1]不动产比较法-住宅'!$A$61:$M$61</definedName>
    <definedName name="住宅交易情况">'不动产比较法-住宅'!$A$61:$M$61</definedName>
    <definedName name="住宅楼层" localSheetId="18">'[1]不动产比较法-住宅'!$B$86:$M$86</definedName>
    <definedName name="住宅楼层">'不动产比较法-住宅'!$B$86:$M$86</definedName>
    <definedName name="住宅内部装修" localSheetId="18">'[1]不动产比较法-住宅'!$B$122:$M$122</definedName>
    <definedName name="住宅内部装修">'不动产比较法-住宅'!$B$122:$M$122</definedName>
    <definedName name="住宅物业管理" localSheetId="18">'[1]不动产比较法-住宅'!$B$114:$M$114</definedName>
    <definedName name="住宅物业管理">'不动产比较法-住宅'!$B$114:$M$114</definedName>
    <definedName name="住宅用途" localSheetId="18">'[1]不动产比较法-住宅'!$B$63:$M$63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I40" i="39" l="1"/>
  <c r="G40" i="39"/>
  <c r="I48" i="39"/>
  <c r="G48" i="39"/>
  <c r="I9" i="39"/>
  <c r="G9" i="39"/>
  <c r="D3" i="4"/>
  <c r="K23" i="33" l="1"/>
  <c r="B17" i="3" l="1"/>
  <c r="E48" i="39" l="1"/>
  <c r="E40" i="39"/>
  <c r="D119" i="39"/>
  <c r="E119" i="39" s="1"/>
  <c r="F119" i="39" s="1"/>
  <c r="G119" i="39" s="1"/>
  <c r="H119" i="39" s="1"/>
  <c r="E118" i="39"/>
  <c r="F118" i="39" s="1"/>
  <c r="G118" i="39" s="1"/>
  <c r="H118" i="39" s="1"/>
  <c r="D118" i="39"/>
  <c r="D72" i="39"/>
  <c r="E72" i="39" s="1"/>
  <c r="F72" i="39" s="1"/>
  <c r="G72" i="39" s="1"/>
  <c r="H72" i="39" s="1"/>
  <c r="I72" i="39" s="1"/>
  <c r="J72" i="39" s="1"/>
  <c r="K72" i="39" s="1"/>
  <c r="L72" i="39" s="1"/>
  <c r="M72" i="39" s="1"/>
  <c r="N72" i="39" s="1"/>
  <c r="O72" i="39" s="1"/>
  <c r="P72" i="39" s="1"/>
  <c r="Q72" i="39" s="1"/>
  <c r="R72" i="39" s="1"/>
  <c r="S72" i="39" s="1"/>
  <c r="T72" i="39" s="1"/>
  <c r="U72" i="39" s="1"/>
  <c r="V72" i="39" s="1"/>
  <c r="W72" i="39" s="1"/>
  <c r="X72" i="39" s="1"/>
  <c r="Y72" i="39" s="1"/>
  <c r="Z72" i="39" s="1"/>
  <c r="AA72" i="39" s="1"/>
  <c r="E9" i="39"/>
  <c r="E7" i="39"/>
  <c r="W17" i="72"/>
  <c r="W18" i="72" s="1"/>
  <c r="X16" i="72"/>
  <c r="X15" i="72"/>
  <c r="X14" i="72"/>
  <c r="B35" i="1"/>
  <c r="F19" i="6"/>
  <c r="F35" i="6" s="1"/>
  <c r="W19" i="72" l="1"/>
  <c r="X18" i="72"/>
  <c r="X17" i="72"/>
  <c r="W20" i="72" l="1"/>
  <c r="X19" i="72"/>
  <c r="X20" i="72" l="1"/>
  <c r="X21" i="72" s="1"/>
  <c r="B3" i="69" l="1"/>
  <c r="C7" i="69" s="1"/>
  <c r="C5" i="69" l="1"/>
  <c r="C6" i="69"/>
  <c r="C13" i="46" l="1"/>
  <c r="L37" i="46"/>
  <c r="P37" i="46" s="1"/>
  <c r="Q36" i="46"/>
  <c r="P36" i="46"/>
  <c r="O36" i="46"/>
  <c r="N36" i="46"/>
  <c r="M36" i="46"/>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M1" i="46" s="1"/>
  <c r="G2" i="46"/>
  <c r="M37" i="46" l="1"/>
  <c r="O37" i="46"/>
  <c r="Q37" i="46"/>
  <c r="S5" i="46"/>
  <c r="S3" i="46"/>
  <c r="S6" i="46"/>
  <c r="S4" i="46"/>
  <c r="S2" i="46"/>
  <c r="D21" i="46"/>
  <c r="C27" i="46"/>
  <c r="N37" i="46"/>
  <c r="D101" i="46"/>
  <c r="D99" i="46"/>
  <c r="D97" i="46"/>
  <c r="D95" i="46"/>
  <c r="D100" i="46"/>
  <c r="D98" i="46"/>
  <c r="D96" i="46"/>
  <c r="D94" i="46"/>
  <c r="N1" i="46"/>
  <c r="M2"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T29" i="70"/>
  <c r="W29" i="70" s="1"/>
  <c r="AB30" i="70"/>
  <c r="AA30" i="70"/>
  <c r="Z30" i="70"/>
  <c r="AB29" i="70"/>
  <c r="AA29" i="70"/>
  <c r="Z29" i="70"/>
  <c r="AB28" i="70"/>
  <c r="AA28" i="70"/>
  <c r="Z28" i="70"/>
  <c r="AB27" i="70"/>
  <c r="AA27" i="70"/>
  <c r="Z27" i="70"/>
  <c r="AB26" i="70"/>
  <c r="AA26" i="70"/>
  <c r="Z26" i="70"/>
  <c r="AB25" i="70"/>
  <c r="AA25" i="70"/>
  <c r="Z25" i="70"/>
  <c r="AB24" i="70"/>
  <c r="AA24" i="70"/>
  <c r="Z24" i="70"/>
  <c r="AB23" i="70"/>
  <c r="AA23" i="70"/>
  <c r="Z23" i="70"/>
  <c r="AB22" i="70"/>
  <c r="AA22" i="70"/>
  <c r="Z22" i="70"/>
  <c r="AC13" i="70"/>
  <c r="AB13" i="70"/>
  <c r="AA13" i="70"/>
  <c r="AD13" i="70" s="1"/>
  <c r="Z13" i="70"/>
  <c r="Y13" i="70"/>
  <c r="AC12" i="70"/>
  <c r="AB12" i="70"/>
  <c r="AA12" i="70"/>
  <c r="AD12" i="70" s="1"/>
  <c r="Z12" i="70"/>
  <c r="Y12" i="70"/>
  <c r="AC11" i="70"/>
  <c r="AB11" i="70"/>
  <c r="AA11" i="70"/>
  <c r="AD11" i="70" s="1"/>
  <c r="Z11" i="70"/>
  <c r="Y11" i="70"/>
  <c r="AC10" i="70"/>
  <c r="AB10" i="70"/>
  <c r="AA10" i="70"/>
  <c r="AD10" i="70" s="1"/>
  <c r="Z10" i="70"/>
  <c r="Y10" i="70"/>
  <c r="AC9" i="70"/>
  <c r="AB9" i="70"/>
  <c r="AA9" i="70"/>
  <c r="AD9" i="70" s="1"/>
  <c r="Z9" i="70"/>
  <c r="Y9" i="70"/>
  <c r="AC8" i="70"/>
  <c r="AB8" i="70"/>
  <c r="AB3" i="70" s="1"/>
  <c r="AA8" i="70"/>
  <c r="AD8" i="70" s="1"/>
  <c r="Z8" i="70"/>
  <c r="Y8" i="70"/>
  <c r="AC7" i="70"/>
  <c r="AB7" i="70"/>
  <c r="AA7" i="70"/>
  <c r="AD7" i="70" s="1"/>
  <c r="Z7" i="70"/>
  <c r="Y7" i="70"/>
  <c r="AC6" i="70"/>
  <c r="AB6" i="70"/>
  <c r="AA6" i="70"/>
  <c r="AD6" i="70" s="1"/>
  <c r="Z6" i="70"/>
  <c r="Y6" i="70"/>
  <c r="AC5" i="70"/>
  <c r="AB5" i="70"/>
  <c r="AA5" i="70"/>
  <c r="AD5" i="70" s="1"/>
  <c r="Z5" i="70"/>
  <c r="Y5" i="70"/>
  <c r="Z3" i="70"/>
  <c r="W30" i="70"/>
  <c r="T20" i="70"/>
  <c r="W20" i="70" s="1"/>
  <c r="W13" i="70"/>
  <c r="N30" i="70"/>
  <c r="M30" i="70"/>
  <c r="P30" i="70" s="1"/>
  <c r="L30" i="70"/>
  <c r="I30" i="70"/>
  <c r="AD30" i="70" s="1"/>
  <c r="N29" i="70"/>
  <c r="U29" i="70" s="1"/>
  <c r="M29" i="70"/>
  <c r="P29" i="70" s="1"/>
  <c r="L29" i="70"/>
  <c r="S29" i="70" s="1"/>
  <c r="I29" i="70"/>
  <c r="AD29" i="70" s="1"/>
  <c r="N28" i="70"/>
  <c r="U28" i="70" s="1"/>
  <c r="M28" i="70"/>
  <c r="P28" i="70" s="1"/>
  <c r="L28" i="70"/>
  <c r="S28" i="70" s="1"/>
  <c r="I28" i="70"/>
  <c r="AD28" i="70" s="1"/>
  <c r="N27" i="70"/>
  <c r="U27" i="70" s="1"/>
  <c r="M27" i="70"/>
  <c r="P27" i="70" s="1"/>
  <c r="L27" i="70"/>
  <c r="S27" i="70" s="1"/>
  <c r="I27" i="70"/>
  <c r="AD27" i="70" s="1"/>
  <c r="N26" i="70"/>
  <c r="U26" i="70" s="1"/>
  <c r="M26" i="70"/>
  <c r="P26" i="70" s="1"/>
  <c r="L26" i="70"/>
  <c r="S26" i="70" s="1"/>
  <c r="I26" i="70"/>
  <c r="AD26" i="70" s="1"/>
  <c r="N25" i="70"/>
  <c r="U25" i="70" s="1"/>
  <c r="M25" i="70"/>
  <c r="P25" i="70" s="1"/>
  <c r="L25" i="70"/>
  <c r="S25" i="70" s="1"/>
  <c r="I25" i="70"/>
  <c r="N24" i="70"/>
  <c r="M24" i="70"/>
  <c r="P24" i="70" s="1"/>
  <c r="L24" i="70"/>
  <c r="I24" i="70"/>
  <c r="AD24" i="70" s="1"/>
  <c r="N23" i="70"/>
  <c r="M23" i="70"/>
  <c r="P23" i="70" s="1"/>
  <c r="L23" i="70"/>
  <c r="I23" i="70"/>
  <c r="AD23" i="70" s="1"/>
  <c r="N22" i="70"/>
  <c r="M22" i="70"/>
  <c r="P22" i="70" s="1"/>
  <c r="L22" i="70"/>
  <c r="I22" i="70"/>
  <c r="AD22" i="70" s="1"/>
  <c r="N20" i="70"/>
  <c r="M20" i="70"/>
  <c r="P20" i="70" s="1"/>
  <c r="L20" i="70"/>
  <c r="G20" i="70"/>
  <c r="F20" i="70"/>
  <c r="I20" i="70" s="1"/>
  <c r="E20" i="70"/>
  <c r="O13" i="70"/>
  <c r="N13" i="70"/>
  <c r="M13" i="70"/>
  <c r="P13" i="70" s="1"/>
  <c r="L13" i="70"/>
  <c r="K13" i="70"/>
  <c r="I13" i="70"/>
  <c r="O12" i="70"/>
  <c r="V12" i="70" s="1"/>
  <c r="N12" i="70"/>
  <c r="U12" i="70" s="1"/>
  <c r="M12" i="70"/>
  <c r="T12" i="70" s="1"/>
  <c r="W12" i="70" s="1"/>
  <c r="L12" i="70"/>
  <c r="S12" i="70" s="1"/>
  <c r="K12" i="70"/>
  <c r="R12" i="70" s="1"/>
  <c r="I12" i="70"/>
  <c r="O11" i="70"/>
  <c r="V11" i="70" s="1"/>
  <c r="N11" i="70"/>
  <c r="U11" i="70" s="1"/>
  <c r="M11" i="70"/>
  <c r="P11" i="70" s="1"/>
  <c r="L11" i="70"/>
  <c r="K11" i="70"/>
  <c r="R11" i="70" s="1"/>
  <c r="I11" i="70"/>
  <c r="O10" i="70"/>
  <c r="N10" i="70"/>
  <c r="M10" i="70"/>
  <c r="T10" i="70" s="1"/>
  <c r="W10" i="70" s="1"/>
  <c r="L10" i="70"/>
  <c r="K10" i="70"/>
  <c r="I10" i="70"/>
  <c r="O9" i="70"/>
  <c r="V9" i="70" s="1"/>
  <c r="N9" i="70"/>
  <c r="M9" i="70"/>
  <c r="P9" i="70" s="1"/>
  <c r="L9" i="70"/>
  <c r="S9" i="70" s="1"/>
  <c r="K9" i="70"/>
  <c r="R9" i="70" s="1"/>
  <c r="I9" i="70"/>
  <c r="O8" i="70"/>
  <c r="N8" i="70"/>
  <c r="M8" i="70"/>
  <c r="T8" i="70" s="1"/>
  <c r="W8" i="70" s="1"/>
  <c r="L8" i="70"/>
  <c r="K8" i="70"/>
  <c r="I8" i="70"/>
  <c r="O7" i="70"/>
  <c r="N7" i="70"/>
  <c r="M7" i="70"/>
  <c r="P7" i="70" s="1"/>
  <c r="L7" i="70"/>
  <c r="K7" i="70"/>
  <c r="R7" i="70" s="1"/>
  <c r="I7" i="70"/>
  <c r="P6" i="70"/>
  <c r="O6" i="70"/>
  <c r="N6" i="70"/>
  <c r="M6" i="70"/>
  <c r="L6" i="70"/>
  <c r="K6" i="70"/>
  <c r="I6" i="70"/>
  <c r="O5" i="70"/>
  <c r="N5" i="70"/>
  <c r="M5" i="70"/>
  <c r="P5" i="70" s="1"/>
  <c r="L5" i="70"/>
  <c r="K5" i="70"/>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7" i="1" s="1"/>
  <c r="U10" i="70" l="1"/>
  <c r="AB20" i="70"/>
  <c r="R10" i="70"/>
  <c r="V10" i="70"/>
  <c r="S11" i="70"/>
  <c r="AC3" i="70"/>
  <c r="AA20" i="70"/>
  <c r="AD20" i="70" s="1"/>
  <c r="O3" i="70"/>
  <c r="U9" i="70"/>
  <c r="S10" i="70"/>
  <c r="P10" i="70"/>
  <c r="T25" i="70"/>
  <c r="W25" i="70" s="1"/>
  <c r="K3" i="70"/>
  <c r="U7" i="70"/>
  <c r="P8" i="70"/>
  <c r="S24" i="70"/>
  <c r="T11" i="70"/>
  <c r="W11" i="70" s="1"/>
  <c r="T28" i="70"/>
  <c r="W28" i="70" s="1"/>
  <c r="F6" i="1"/>
  <c r="V7" i="70"/>
  <c r="V8" i="70"/>
  <c r="E21" i="46"/>
  <c r="P12" i="70"/>
  <c r="U22" i="70"/>
  <c r="Z20" i="70"/>
  <c r="T26" i="70"/>
  <c r="W26" i="70" s="1"/>
  <c r="R8" i="70"/>
  <c r="AD25" i="70"/>
  <c r="L3" i="70"/>
  <c r="T27" i="70"/>
  <c r="W27" i="70" s="1"/>
  <c r="N3" i="70"/>
  <c r="U8" i="70"/>
  <c r="T9" i="70"/>
  <c r="W9" i="70" s="1"/>
  <c r="Y3" i="70"/>
  <c r="U20" i="70"/>
  <c r="S23" i="70"/>
  <c r="T24" i="70"/>
  <c r="W24" i="70" s="1"/>
  <c r="S22" i="70"/>
  <c r="T23" i="70"/>
  <c r="W23" i="70" s="1"/>
  <c r="U24" i="70"/>
  <c r="S20" i="70"/>
  <c r="T22" i="70"/>
  <c r="W22" i="70" s="1"/>
  <c r="U23" i="70"/>
  <c r="S6" i="70"/>
  <c r="AA3" i="70"/>
  <c r="AD3" i="70" s="1"/>
  <c r="S8" i="70"/>
  <c r="S3" i="70"/>
  <c r="U5" i="70"/>
  <c r="T6" i="70"/>
  <c r="W6" i="70" s="1"/>
  <c r="S7" i="70"/>
  <c r="T3" i="70"/>
  <c r="W3" i="70" s="1"/>
  <c r="R5" i="70"/>
  <c r="V5" i="70"/>
  <c r="U6" i="70"/>
  <c r="T7" i="70"/>
  <c r="W7" i="70" s="1"/>
  <c r="U3" i="70"/>
  <c r="S5" i="70"/>
  <c r="R6" i="70"/>
  <c r="V6" i="70"/>
  <c r="R3" i="70"/>
  <c r="V3" i="70"/>
  <c r="T5" i="70"/>
  <c r="W5" i="70" s="1"/>
  <c r="M3" i="70"/>
  <c r="P3" i="70" s="1"/>
  <c r="E25" i="69" l="1"/>
  <c r="E24" i="69"/>
  <c r="F23" i="69"/>
  <c r="F24" i="69" s="1"/>
  <c r="F25" i="69" s="1"/>
  <c r="E23" i="69"/>
  <c r="G23" i="69" s="1"/>
  <c r="E22" i="69"/>
  <c r="G22" i="69" s="1"/>
  <c r="F12" i="69"/>
  <c r="F11" i="69"/>
  <c r="C18" i="69" s="1"/>
  <c r="D7" i="69"/>
  <c r="D6" i="69"/>
  <c r="D5" i="69"/>
  <c r="C15" i="69" l="1"/>
  <c r="G24" i="69"/>
  <c r="G25"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D11" i="68" s="1"/>
  <c r="E11" i="68" s="1"/>
  <c r="E7" i="68" s="1"/>
  <c r="C27" i="68" s="1"/>
  <c r="R13" i="68"/>
  <c r="R12" i="68"/>
  <c r="D12" i="68"/>
  <c r="R11" i="68"/>
  <c r="R10" i="68"/>
  <c r="D10" i="68"/>
  <c r="R9" i="68"/>
  <c r="D9" i="68"/>
  <c r="R8" i="68"/>
  <c r="R7" i="68"/>
  <c r="R4" i="68"/>
  <c r="R3" i="68"/>
  <c r="D7" i="68" l="1"/>
  <c r="C26" i="68" s="1"/>
  <c r="R14" i="68"/>
  <c r="R24" i="68"/>
  <c r="R25" i="68"/>
  <c r="R19" i="68"/>
  <c r="D29" i="68"/>
  <c r="D32" i="68"/>
  <c r="E23" i="68"/>
  <c r="D26" i="68"/>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c r="AD18" i="59"/>
  <c r="Q19" i="59"/>
  <c r="Q20" i="59"/>
  <c r="P19" i="59"/>
  <c r="P20" i="59"/>
  <c r="O19" i="59"/>
  <c r="O20" i="59"/>
  <c r="N19" i="59"/>
  <c r="N20" i="59"/>
  <c r="AH19" i="59"/>
  <c r="AG19" i="59"/>
  <c r="AE19" i="59"/>
  <c r="AF19" i="59" s="1"/>
  <c r="AD19" i="59"/>
  <c r="F25" i="12"/>
  <c r="AH20" i="59"/>
  <c r="AG20" i="59"/>
  <c r="AE20" i="59"/>
  <c r="AF20" i="59"/>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D26" i="59"/>
  <c r="AH24" i="59"/>
  <c r="AG24" i="59"/>
  <c r="AE24" i="59"/>
  <c r="AF24" i="59" s="1"/>
  <c r="AD24" i="59"/>
  <c r="AE25" i="59"/>
  <c r="AF25" i="59" s="1"/>
  <c r="AG25" i="59"/>
  <c r="AH25" i="59"/>
  <c r="AD25" i="59"/>
  <c r="Q25" i="59"/>
  <c r="P25" i="59"/>
  <c r="E25" i="59" s="1"/>
  <c r="O25" i="59"/>
  <c r="C25" i="59" s="1"/>
  <c r="N25" i="59"/>
  <c r="N26" i="59"/>
  <c r="Q26" i="59"/>
  <c r="P26" i="59"/>
  <c r="O26" i="59"/>
  <c r="K59" i="15"/>
  <c r="P62" i="15" s="1"/>
  <c r="Q74" i="44"/>
  <c r="Q61" i="44"/>
  <c r="Q60" i="44"/>
  <c r="Q53" i="44"/>
  <c r="J51" i="44"/>
  <c r="J52" i="44" s="1"/>
  <c r="M48" i="44"/>
  <c r="A16" i="55"/>
  <c r="B67" i="63" s="1"/>
  <c r="A15" i="55"/>
  <c r="B66" i="63" s="1"/>
  <c r="A10" i="55"/>
  <c r="B61" i="63" s="1"/>
  <c r="A9" i="55"/>
  <c r="B60" i="63" s="1"/>
  <c r="A8" i="55"/>
  <c r="B59" i="63" s="1"/>
  <c r="A6" i="54"/>
  <c r="B49" i="63" s="1"/>
  <c r="A8" i="54"/>
  <c r="B53" i="63" s="1"/>
  <c r="A7" i="54"/>
  <c r="A27" i="51"/>
  <c r="B20" i="63" s="1"/>
  <c r="Q27" i="59"/>
  <c r="O27" i="59"/>
  <c r="N28" i="59"/>
  <c r="O28" i="59"/>
  <c r="P28" i="59"/>
  <c r="Q28" i="59"/>
  <c r="N27" i="59"/>
  <c r="P27" i="59"/>
  <c r="K75" i="9"/>
  <c r="K6" i="4"/>
  <c r="K76" i="9" s="1"/>
  <c r="O76" i="9"/>
  <c r="B22" i="31"/>
  <c r="E15" i="66"/>
  <c r="F15" i="66"/>
  <c r="E16" i="66"/>
  <c r="F16" i="66"/>
  <c r="E17" i="66"/>
  <c r="F17" i="66"/>
  <c r="E18" i="66"/>
  <c r="F18" i="66"/>
  <c r="E19" i="66"/>
  <c r="F19" i="66"/>
  <c r="E20" i="66"/>
  <c r="F20" i="66"/>
  <c r="E21" i="66"/>
  <c r="F21" i="66"/>
  <c r="E22" i="66"/>
  <c r="F22" i="66"/>
  <c r="E23" i="66"/>
  <c r="F23" i="66"/>
  <c r="B3" i="66"/>
  <c r="B25" i="59"/>
  <c r="B24" i="59"/>
  <c r="B23" i="59" s="1"/>
  <c r="F25" i="59"/>
  <c r="V25" i="59" s="1"/>
  <c r="S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c r="AG38" i="59"/>
  <c r="AH38" i="59"/>
  <c r="AD39" i="59"/>
  <c r="AE39" i="59"/>
  <c r="AF39" i="59"/>
  <c r="AG39" i="59"/>
  <c r="AH39" i="59"/>
  <c r="AH40" i="59"/>
  <c r="AG40" i="59"/>
  <c r="AE40" i="59"/>
  <c r="AF40" i="59" s="1"/>
  <c r="AD40" i="59"/>
  <c r="AD41" i="59"/>
  <c r="AE41" i="59"/>
  <c r="AF41" i="59" s="1"/>
  <c r="AG41" i="59"/>
  <c r="AH41" i="59"/>
  <c r="X33" i="59"/>
  <c r="S2" i="31"/>
  <c r="M2" i="31"/>
  <c r="N2" i="31"/>
  <c r="O2" i="31"/>
  <c r="P2" i="31"/>
  <c r="Q2" i="31"/>
  <c r="R2" i="31"/>
  <c r="C3" i="65"/>
  <c r="C1" i="65"/>
  <c r="N1" i="65" s="1"/>
  <c r="B76" i="63"/>
  <c r="M5" i="54"/>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K39" i="9" s="1"/>
  <c r="C57" i="10"/>
  <c r="A28" i="51" s="1"/>
  <c r="C56" i="10"/>
  <c r="C55" i="10"/>
  <c r="C54" i="10"/>
  <c r="A26" i="64" s="1"/>
  <c r="B44" i="63"/>
  <c r="B40" i="63"/>
  <c r="B30" i="63"/>
  <c r="B27" i="63"/>
  <c r="B25" i="63"/>
  <c r="A11" i="51"/>
  <c r="B10" i="63" s="1"/>
  <c r="A26" i="51"/>
  <c r="B19" i="63" s="1"/>
  <c r="K40" i="9"/>
  <c r="B58" i="63"/>
  <c r="B51"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B41" i="63"/>
  <c r="G5" i="54"/>
  <c r="B34" i="63" s="1"/>
  <c r="E5" i="54"/>
  <c r="B32" i="63" s="1"/>
  <c r="R2" i="54"/>
  <c r="B24" i="63" s="1"/>
  <c r="B49" i="50"/>
  <c r="B5" i="63" s="1"/>
  <c r="B40" i="50"/>
  <c r="B3" i="63" s="1"/>
  <c r="Q29" i="59"/>
  <c r="P29" i="59"/>
  <c r="O29" i="59"/>
  <c r="N29" i="59"/>
  <c r="B29" i="59" s="1"/>
  <c r="D90" i="59"/>
  <c r="F89" i="59"/>
  <c r="F88" i="59" s="1"/>
  <c r="F87" i="59" s="1"/>
  <c r="E89" i="59"/>
  <c r="E88" i="59" s="1"/>
  <c r="E87" i="59" s="1"/>
  <c r="C89" i="59"/>
  <c r="C88" i="59" s="1"/>
  <c r="D89" i="59"/>
  <c r="B89" i="59"/>
  <c r="B88" i="59" s="1"/>
  <c r="B87" i="59" s="1"/>
  <c r="D86" i="59"/>
  <c r="F85" i="59"/>
  <c r="E85" i="59"/>
  <c r="E84" i="59" s="1"/>
  <c r="E83" i="59" s="1"/>
  <c r="C85" i="59"/>
  <c r="D85" i="59" s="1"/>
  <c r="B85" i="59"/>
  <c r="F84" i="59"/>
  <c r="F83" i="59" s="1"/>
  <c r="B84" i="59"/>
  <c r="B83" i="59" s="1"/>
  <c r="D82" i="59"/>
  <c r="Q81" i="59"/>
  <c r="P81" i="59"/>
  <c r="O81" i="59"/>
  <c r="N81" i="59"/>
  <c r="F81" i="59"/>
  <c r="F80" i="59" s="1"/>
  <c r="F79" i="59" s="1"/>
  <c r="E81" i="59"/>
  <c r="C81" i="59"/>
  <c r="T81" i="59" s="1"/>
  <c r="B81" i="59"/>
  <c r="S81" i="59" s="1"/>
  <c r="Q80" i="59"/>
  <c r="P80" i="59"/>
  <c r="O80" i="59"/>
  <c r="N80" i="59"/>
  <c r="B80" i="59"/>
  <c r="B79" i="59" s="1"/>
  <c r="Q79" i="59"/>
  <c r="P79" i="59"/>
  <c r="O79" i="59"/>
  <c r="N79" i="59"/>
  <c r="Q78" i="59"/>
  <c r="P78" i="59"/>
  <c r="O78" i="59"/>
  <c r="N78" i="59"/>
  <c r="D78" i="59"/>
  <c r="Q77" i="59"/>
  <c r="P77" i="59"/>
  <c r="O77" i="59"/>
  <c r="N77" i="59"/>
  <c r="F77" i="59"/>
  <c r="V77" i="59" s="1"/>
  <c r="E77" i="59"/>
  <c r="U77" i="59" s="1"/>
  <c r="C77" i="59"/>
  <c r="D77" i="59" s="1"/>
  <c r="B77" i="59"/>
  <c r="B76" i="59" s="1"/>
  <c r="B75" i="59" s="1"/>
  <c r="Q76" i="59"/>
  <c r="P76" i="59"/>
  <c r="O76" i="59"/>
  <c r="N76" i="59"/>
  <c r="F76" i="59"/>
  <c r="F75" i="59" s="1"/>
  <c r="Q75" i="59"/>
  <c r="P75" i="59"/>
  <c r="O75" i="59"/>
  <c r="N75" i="59"/>
  <c r="Q74" i="59"/>
  <c r="P74" i="59"/>
  <c r="O74" i="59"/>
  <c r="N74" i="59"/>
  <c r="D74" i="59"/>
  <c r="Q73" i="59"/>
  <c r="P73" i="59"/>
  <c r="O73" i="59"/>
  <c r="N73" i="59"/>
  <c r="F73" i="59"/>
  <c r="E73" i="59"/>
  <c r="U73" i="59" s="1"/>
  <c r="C73" i="59"/>
  <c r="D73" i="59" s="1"/>
  <c r="B73" i="59"/>
  <c r="S73" i="59" s="1"/>
  <c r="Q72" i="59"/>
  <c r="P72" i="59"/>
  <c r="O72" i="59"/>
  <c r="N72" i="59"/>
  <c r="Q71" i="59"/>
  <c r="P71" i="59"/>
  <c r="O71" i="59"/>
  <c r="N71" i="59"/>
  <c r="Q70" i="59"/>
  <c r="P70" i="59"/>
  <c r="O70" i="59"/>
  <c r="N70" i="59"/>
  <c r="D70" i="59"/>
  <c r="F69" i="59"/>
  <c r="V69" i="59" s="1"/>
  <c r="E69" i="59"/>
  <c r="E68" i="59" s="1"/>
  <c r="P68" i="59" s="1"/>
  <c r="C69" i="59"/>
  <c r="B69" i="59"/>
  <c r="N69" i="59" s="1"/>
  <c r="F68" i="59"/>
  <c r="F67" i="59" s="1"/>
  <c r="D66" i="59"/>
  <c r="Q65" i="59"/>
  <c r="P65" i="59"/>
  <c r="O65" i="59"/>
  <c r="N65" i="59"/>
  <c r="Q64" i="59"/>
  <c r="P64" i="59"/>
  <c r="O64" i="59"/>
  <c r="N64" i="59"/>
  <c r="Q63" i="59"/>
  <c r="P63" i="59"/>
  <c r="O63" i="59"/>
  <c r="N63" i="59"/>
  <c r="Q62" i="59"/>
  <c r="F63" i="59" s="1"/>
  <c r="P62" i="59"/>
  <c r="E63" i="59"/>
  <c r="E64" i="59" s="1"/>
  <c r="E65" i="59" s="1"/>
  <c r="U65" i="59" s="1"/>
  <c r="O62" i="59"/>
  <c r="C63" i="59" s="1"/>
  <c r="N62" i="59"/>
  <c r="B63" i="59"/>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c r="F56" i="59" s="1"/>
  <c r="F57" i="59" s="1"/>
  <c r="V57" i="59" s="1"/>
  <c r="P54" i="59"/>
  <c r="E55" i="59" s="1"/>
  <c r="O54" i="59"/>
  <c r="C55" i="59" s="1"/>
  <c r="D55" i="59" s="1"/>
  <c r="N54" i="59"/>
  <c r="B55"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D51" i="59" s="1"/>
  <c r="N50" i="59"/>
  <c r="B51" i="59"/>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O46" i="59"/>
  <c r="C47" i="59" s="1"/>
  <c r="N46" i="59"/>
  <c r="B47" i="59"/>
  <c r="B48" i="59" s="1"/>
  <c r="B49" i="59" s="1"/>
  <c r="S49"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P39" i="59"/>
  <c r="O39" i="59"/>
  <c r="N39" i="59"/>
  <c r="X38" i="59" s="1"/>
  <c r="Q38" i="59"/>
  <c r="P38" i="59"/>
  <c r="O38" i="59"/>
  <c r="C39" i="59"/>
  <c r="D39" i="59" s="1"/>
  <c r="N38" i="59"/>
  <c r="B39" i="59"/>
  <c r="B40" i="59" s="1"/>
  <c r="B41" i="59" s="1"/>
  <c r="S41" i="59" s="1"/>
  <c r="D38" i="59"/>
  <c r="Q37" i="59"/>
  <c r="AB37" i="59" s="1"/>
  <c r="P37" i="59"/>
  <c r="AA37" i="59" s="1"/>
  <c r="O37" i="59"/>
  <c r="N37" i="59"/>
  <c r="Q36" i="59"/>
  <c r="AB36" i="59" s="1"/>
  <c r="P36" i="59"/>
  <c r="AA36" i="59" s="1"/>
  <c r="O36" i="59"/>
  <c r="N36" i="59"/>
  <c r="Q35" i="59"/>
  <c r="AB35" i="59" s="1"/>
  <c r="P35" i="59"/>
  <c r="O35" i="59"/>
  <c r="N35" i="59"/>
  <c r="Q34" i="59"/>
  <c r="F35" i="59" s="1"/>
  <c r="F36" i="59" s="1"/>
  <c r="F37" i="59" s="1"/>
  <c r="V37" i="59" s="1"/>
  <c r="P34" i="59"/>
  <c r="O34" i="59"/>
  <c r="C35" i="59" s="1"/>
  <c r="N34" i="59"/>
  <c r="B35" i="59"/>
  <c r="B36" i="59" s="1"/>
  <c r="B37" i="59" s="1"/>
  <c r="S37" i="59" s="1"/>
  <c r="D34" i="59"/>
  <c r="Q33" i="59"/>
  <c r="AB33" i="59" s="1"/>
  <c r="P33" i="59"/>
  <c r="O33" i="59"/>
  <c r="N33" i="59"/>
  <c r="Q32" i="59"/>
  <c r="P32" i="59"/>
  <c r="O32" i="59"/>
  <c r="N32" i="59"/>
  <c r="Q31" i="59"/>
  <c r="P31" i="59"/>
  <c r="O31" i="59"/>
  <c r="N31" i="59"/>
  <c r="Q30" i="59"/>
  <c r="P30" i="59"/>
  <c r="O30" i="59"/>
  <c r="C31" i="59" s="1"/>
  <c r="N30" i="59"/>
  <c r="B31" i="59" s="1"/>
  <c r="D30" i="59"/>
  <c r="E31" i="59"/>
  <c r="E32" i="59" s="1"/>
  <c r="E33" i="59" s="1"/>
  <c r="U33" i="59" s="1"/>
  <c r="C52" i="59"/>
  <c r="C53" i="59" s="1"/>
  <c r="T53" i="59" s="1"/>
  <c r="C68" i="59"/>
  <c r="C72" i="59"/>
  <c r="D72" i="59" s="1"/>
  <c r="C76" i="59"/>
  <c r="C75" i="59" s="1"/>
  <c r="D75" i="59" s="1"/>
  <c r="D81" i="59"/>
  <c r="U16" i="4"/>
  <c r="S16" i="4"/>
  <c r="Q16" i="4"/>
  <c r="P16" i="4" s="1"/>
  <c r="O16" i="4"/>
  <c r="M16" i="4"/>
  <c r="K16" i="4"/>
  <c r="O27" i="6"/>
  <c r="N27" i="6"/>
  <c r="P26" i="6"/>
  <c r="L26" i="6"/>
  <c r="P25" i="6"/>
  <c r="L25" i="6"/>
  <c r="P24" i="6"/>
  <c r="L24" i="6"/>
  <c r="P23" i="6"/>
  <c r="L23" i="6"/>
  <c r="P22" i="6"/>
  <c r="L22" i="6"/>
  <c r="P21" i="6"/>
  <c r="L21" i="6"/>
  <c r="P20" i="6"/>
  <c r="P19" i="6"/>
  <c r="P27" i="6"/>
  <c r="Q18" i="36"/>
  <c r="Z18" i="36" s="1"/>
  <c r="C18" i="36"/>
  <c r="D66" i="36"/>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83" i="21" s="1"/>
  <c r="G83" i="21" s="1"/>
  <c r="F21" i="21"/>
  <c r="C21" i="21"/>
  <c r="Q27" i="40"/>
  <c r="Z27" i="40" s="1"/>
  <c r="D95" i="40"/>
  <c r="E95" i="40" s="1"/>
  <c r="F27" i="40"/>
  <c r="AA27" i="40" s="1"/>
  <c r="Q31" i="39"/>
  <c r="Z31" i="39" s="1"/>
  <c r="D104" i="39"/>
  <c r="E104" i="39" s="1"/>
  <c r="F104" i="39" s="1"/>
  <c r="F31" i="39"/>
  <c r="AA31" i="39" s="1"/>
  <c r="G20" i="20"/>
  <c r="B88" i="46" s="1"/>
  <c r="C22" i="20"/>
  <c r="B100" i="46" s="1"/>
  <c r="S18" i="35"/>
  <c r="S21" i="37"/>
  <c r="B57" i="46"/>
  <c r="E66" i="36"/>
  <c r="H18" i="35"/>
  <c r="J18" i="35"/>
  <c r="H21" i="37"/>
  <c r="J21" i="37"/>
  <c r="J21" i="34"/>
  <c r="H21" i="34"/>
  <c r="F21" i="33"/>
  <c r="H21" i="33"/>
  <c r="J21" i="33"/>
  <c r="H21" i="21"/>
  <c r="J21" i="21"/>
  <c r="F95" i="40"/>
  <c r="H27" i="40"/>
  <c r="H31" i="39"/>
  <c r="F23" i="15"/>
  <c r="D22" i="15" s="1"/>
  <c r="G17" i="11"/>
  <c r="F15" i="15"/>
  <c r="F17" i="15"/>
  <c r="F18" i="15"/>
  <c r="F20" i="15"/>
  <c r="F21" i="15"/>
  <c r="F33" i="15"/>
  <c r="F60" i="15" s="1"/>
  <c r="K2" i="4"/>
  <c r="A4" i="64" s="1"/>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B86" i="46"/>
  <c r="B85" i="46"/>
  <c r="B74" i="46"/>
  <c r="B63" i="46"/>
  <c r="B52" i="46"/>
  <c r="M90" i="46"/>
  <c r="N90" i="46" s="1"/>
  <c r="K90" i="46"/>
  <c r="J90" i="46" s="1"/>
  <c r="D90" i="46"/>
  <c r="M89" i="46"/>
  <c r="N89" i="46" s="1"/>
  <c r="D89" i="46"/>
  <c r="K89" i="46"/>
  <c r="J89" i="46" s="1"/>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c r="M6" i="31" s="1"/>
  <c r="N6" i="31" s="1"/>
  <c r="O6" i="31" s="1"/>
  <c r="P6" i="31" s="1"/>
  <c r="Q6" i="31" s="1"/>
  <c r="R6" i="31" s="1"/>
  <c r="S6" i="31" s="1"/>
  <c r="AP13" i="1"/>
  <c r="B2" i="1"/>
  <c r="C42" i="1" s="1"/>
  <c r="A12" i="1"/>
  <c r="A13" i="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L104" i="3" s="1"/>
  <c r="BO104" i="3"/>
  <c r="BN104" i="3"/>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G97" i="3" s="1"/>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L72" i="3" s="1"/>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L50" i="3" s="1"/>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A42" i="3" s="1"/>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L202" i="3" s="1"/>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G196" i="3" s="1"/>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G181" i="3" s="1"/>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L164" i="3" s="1"/>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L160" i="3" s="1"/>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A159" i="3" s="1"/>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A148" i="3" s="1"/>
  <c r="AZ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G129" i="3" s="1"/>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L117" i="3" s="1"/>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L293" i="3" s="1"/>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G265" i="3" s="1"/>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A253" i="3" s="1"/>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A233" i="3" s="1"/>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L223" i="3" s="1"/>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L207" i="3" s="1"/>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G341" i="3" s="1"/>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L335" i="3" s="1"/>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L456" i="3" s="1"/>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G412" i="3" s="1"/>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L410" i="3" s="1"/>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G405" i="3" s="1"/>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s="1"/>
  <c r="R27" i="31"/>
  <c r="R28" i="31"/>
  <c r="S28" i="31" s="1"/>
  <c r="R29" i="31"/>
  <c r="R30" i="31"/>
  <c r="S30" i="31"/>
  <c r="R31" i="31"/>
  <c r="R32" i="31"/>
  <c r="S32" i="31" s="1"/>
  <c r="R33" i="31"/>
  <c r="R34" i="31"/>
  <c r="S34" i="31"/>
  <c r="R35" i="31"/>
  <c r="R36" i="31"/>
  <c r="S36" i="31"/>
  <c r="R37" i="31"/>
  <c r="R38" i="31"/>
  <c r="S38" i="31"/>
  <c r="R39" i="31"/>
  <c r="R40" i="31"/>
  <c r="S40" i="31" s="1"/>
  <c r="R41" i="31"/>
  <c r="R42" i="31"/>
  <c r="S42" i="31" s="1"/>
  <c r="R43" i="31"/>
  <c r="R44" i="31"/>
  <c r="S44" i="31" s="1"/>
  <c r="R45" i="31"/>
  <c r="R46" i="31"/>
  <c r="S46" i="31"/>
  <c r="R47" i="31"/>
  <c r="R48" i="31"/>
  <c r="S48" i="31"/>
  <c r="R49" i="31"/>
  <c r="R50" i="31"/>
  <c r="S50" i="31"/>
  <c r="R51" i="31"/>
  <c r="R52" i="31"/>
  <c r="S52" i="31" s="1"/>
  <c r="R53" i="31"/>
  <c r="R54" i="31"/>
  <c r="S54" i="31"/>
  <c r="R55" i="31"/>
  <c r="R56" i="31"/>
  <c r="S56" i="31"/>
  <c r="R57" i="31"/>
  <c r="R58" i="31"/>
  <c r="S58" i="31" s="1"/>
  <c r="R59" i="31"/>
  <c r="R60" i="31"/>
  <c r="S60" i="31" s="1"/>
  <c r="R61" i="31"/>
  <c r="R62" i="31"/>
  <c r="S62" i="31"/>
  <c r="R63" i="31"/>
  <c r="R64" i="31"/>
  <c r="S64" i="31" s="1"/>
  <c r="R65" i="31"/>
  <c r="R66" i="31"/>
  <c r="S66" i="31"/>
  <c r="R67" i="31"/>
  <c r="R68" i="31"/>
  <c r="S68" i="31"/>
  <c r="R69" i="31"/>
  <c r="R70" i="31"/>
  <c r="S70" i="31"/>
  <c r="R71" i="31"/>
  <c r="R72" i="31"/>
  <c r="S72" i="31" s="1"/>
  <c r="R73" i="31"/>
  <c r="R74" i="31"/>
  <c r="S74" i="31" s="1"/>
  <c r="R75" i="31"/>
  <c r="R76" i="31"/>
  <c r="S76" i="31" s="1"/>
  <c r="R77" i="31"/>
  <c r="R78" i="31"/>
  <c r="S78" i="31"/>
  <c r="R79" i="31"/>
  <c r="R80" i="31"/>
  <c r="S80" i="31"/>
  <c r="R81" i="31"/>
  <c r="R82" i="31"/>
  <c r="S82" i="31"/>
  <c r="R83" i="31"/>
  <c r="R84" i="31"/>
  <c r="S84" i="31" s="1"/>
  <c r="R85" i="31"/>
  <c r="R86" i="31"/>
  <c r="S86" i="31"/>
  <c r="R87" i="31"/>
  <c r="R88" i="31"/>
  <c r="S88" i="31"/>
  <c r="R89" i="31"/>
  <c r="R90" i="31"/>
  <c r="S90" i="31" s="1"/>
  <c r="R91" i="31"/>
  <c r="R92" i="31"/>
  <c r="S92" i="31" s="1"/>
  <c r="R93" i="31"/>
  <c r="R94" i="31"/>
  <c r="S94" i="31"/>
  <c r="R95" i="31"/>
  <c r="R96" i="31"/>
  <c r="S96" i="31" s="1"/>
  <c r="R97" i="31"/>
  <c r="R98" i="31"/>
  <c r="S98" i="31"/>
  <c r="R99" i="31"/>
  <c r="R100" i="31"/>
  <c r="S100" i="31"/>
  <c r="R101" i="31"/>
  <c r="R102" i="31"/>
  <c r="S102" i="31"/>
  <c r="R103" i="31"/>
  <c r="R104" i="31"/>
  <c r="S104" i="31" s="1"/>
  <c r="R105" i="31"/>
  <c r="R106" i="31"/>
  <c r="S106" i="31" s="1"/>
  <c r="R107" i="31"/>
  <c r="R108" i="31"/>
  <c r="S108" i="31" s="1"/>
  <c r="R109" i="31"/>
  <c r="R110" i="31"/>
  <c r="S110" i="31"/>
  <c r="R111" i="31"/>
  <c r="R112" i="31"/>
  <c r="S112" i="31"/>
  <c r="R113" i="31"/>
  <c r="R114" i="31"/>
  <c r="S114" i="31"/>
  <c r="R115" i="31"/>
  <c r="R116" i="31"/>
  <c r="S116" i="31" s="1"/>
  <c r="R117" i="31"/>
  <c r="R118" i="31"/>
  <c r="S118" i="31"/>
  <c r="R119" i="31"/>
  <c r="R120" i="31"/>
  <c r="S120" i="31"/>
  <c r="R121" i="31"/>
  <c r="R122" i="31"/>
  <c r="S122" i="31" s="1"/>
  <c r="R123" i="31"/>
  <c r="R124" i="31"/>
  <c r="S124" i="31" s="1"/>
  <c r="R125" i="31"/>
  <c r="R126" i="31"/>
  <c r="S126" i="31"/>
  <c r="R127" i="31"/>
  <c r="R128" i="31"/>
  <c r="S128" i="31" s="1"/>
  <c r="R129" i="31"/>
  <c r="R130" i="31"/>
  <c r="S130" i="31"/>
  <c r="R131" i="31"/>
  <c r="R132" i="31"/>
  <c r="S132" i="31"/>
  <c r="R133" i="31"/>
  <c r="R134" i="31"/>
  <c r="S134" i="31"/>
  <c r="R135" i="31"/>
  <c r="R136" i="31"/>
  <c r="S136" i="31" s="1"/>
  <c r="R137" i="31"/>
  <c r="R138" i="31"/>
  <c r="S138" i="31" s="1"/>
  <c r="R139" i="31"/>
  <c r="R140" i="31"/>
  <c r="S140" i="31" s="1"/>
  <c r="R141" i="31"/>
  <c r="R142" i="31"/>
  <c r="S142" i="31"/>
  <c r="R143" i="31"/>
  <c r="R144" i="31"/>
  <c r="S144" i="31"/>
  <c r="R145" i="31"/>
  <c r="R146" i="31"/>
  <c r="S146" i="31"/>
  <c r="R147" i="31"/>
  <c r="R148" i="31"/>
  <c r="S148" i="31" s="1"/>
  <c r="R149" i="31"/>
  <c r="R150" i="31"/>
  <c r="S150" i="31"/>
  <c r="R151" i="31"/>
  <c r="R152" i="31"/>
  <c r="S152" i="31"/>
  <c r="R153" i="31"/>
  <c r="R154" i="31"/>
  <c r="S154" i="31" s="1"/>
  <c r="R155" i="31"/>
  <c r="R156" i="31"/>
  <c r="S156" i="31" s="1"/>
  <c r="R157" i="31"/>
  <c r="R158" i="31"/>
  <c r="S158" i="31"/>
  <c r="R159" i="31"/>
  <c r="R160" i="31"/>
  <c r="S160" i="31" s="1"/>
  <c r="R161" i="31"/>
  <c r="R162" i="31"/>
  <c r="S162" i="31"/>
  <c r="R163" i="31"/>
  <c r="R164" i="31"/>
  <c r="S164" i="31"/>
  <c r="R165" i="31"/>
  <c r="R166" i="31"/>
  <c r="S166" i="31"/>
  <c r="R167" i="31"/>
  <c r="R168" i="31"/>
  <c r="S168" i="31" s="1"/>
  <c r="R169" i="31"/>
  <c r="R170" i="31"/>
  <c r="S170" i="31" s="1"/>
  <c r="R171" i="31"/>
  <c r="R172" i="31"/>
  <c r="S172" i="31" s="1"/>
  <c r="R173" i="31"/>
  <c r="R174" i="31"/>
  <c r="S174" i="31"/>
  <c r="R175" i="31"/>
  <c r="R176" i="31"/>
  <c r="S176" i="31"/>
  <c r="R177" i="31"/>
  <c r="R178" i="31"/>
  <c r="S178" i="31"/>
  <c r="R179" i="31"/>
  <c r="R180" i="31"/>
  <c r="S180" i="31" s="1"/>
  <c r="R181" i="31"/>
  <c r="R182" i="31"/>
  <c r="S182" i="31"/>
  <c r="R183" i="31"/>
  <c r="R184" i="31"/>
  <c r="S184" i="31"/>
  <c r="R185" i="31"/>
  <c r="R186" i="31"/>
  <c r="S186" i="31" s="1"/>
  <c r="R187" i="31"/>
  <c r="R188" i="31"/>
  <c r="S188" i="31" s="1"/>
  <c r="R189" i="31"/>
  <c r="R190" i="31"/>
  <c r="S190" i="31"/>
  <c r="R191" i="31"/>
  <c r="R192" i="31"/>
  <c r="S192" i="31" s="1"/>
  <c r="R193" i="31"/>
  <c r="R194" i="31"/>
  <c r="S194" i="31"/>
  <c r="R195" i="31"/>
  <c r="R196" i="31"/>
  <c r="S196" i="31"/>
  <c r="R197" i="31"/>
  <c r="R198" i="31"/>
  <c r="S198" i="31"/>
  <c r="R199" i="31"/>
  <c r="R200" i="31"/>
  <c r="S200" i="31" s="1"/>
  <c r="R201" i="31"/>
  <c r="R202" i="31"/>
  <c r="S202" i="31" s="1"/>
  <c r="R203" i="31"/>
  <c r="R204" i="31"/>
  <c r="S204" i="31" s="1"/>
  <c r="R205" i="31"/>
  <c r="R206" i="31"/>
  <c r="S206" i="31"/>
  <c r="R207" i="31"/>
  <c r="R208" i="31"/>
  <c r="S208" i="31"/>
  <c r="R209" i="31"/>
  <c r="R210" i="31"/>
  <c r="S210" i="31"/>
  <c r="R211" i="31"/>
  <c r="R212" i="31"/>
  <c r="S212" i="31" s="1"/>
  <c r="R213" i="31"/>
  <c r="R214" i="31"/>
  <c r="S214" i="31"/>
  <c r="R215" i="31"/>
  <c r="R216" i="31"/>
  <c r="S216" i="3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c r="R433" i="31"/>
  <c r="R434" i="31"/>
  <c r="S434" i="31"/>
  <c r="R435" i="31"/>
  <c r="R436" i="31"/>
  <c r="S436" i="31" s="1"/>
  <c r="R437" i="31"/>
  <c r="R438" i="31"/>
  <c r="S438" i="31"/>
  <c r="R439" i="31"/>
  <c r="R440" i="31"/>
  <c r="S440" i="31" s="1"/>
  <c r="R441" i="31"/>
  <c r="R442" i="31"/>
  <c r="S442" i="31" s="1"/>
  <c r="R443" i="31"/>
  <c r="R444" i="31"/>
  <c r="S444" i="31"/>
  <c r="R445" i="31"/>
  <c r="R446" i="31"/>
  <c r="S446" i="31"/>
  <c r="R447" i="31"/>
  <c r="R448" i="31"/>
  <c r="S448" i="31" s="1"/>
  <c r="R449" i="31"/>
  <c r="R450" i="31"/>
  <c r="S450" i="31"/>
  <c r="R451" i="31"/>
  <c r="R452" i="31"/>
  <c r="S452" i="31"/>
  <c r="R453" i="31"/>
  <c r="R454" i="31"/>
  <c r="S454" i="31"/>
  <c r="R455" i="31"/>
  <c r="R456" i="31"/>
  <c r="S456" i="31" s="1"/>
  <c r="R457" i="31"/>
  <c r="R458" i="31"/>
  <c r="S458" i="31" s="1"/>
  <c r="R459" i="31"/>
  <c r="R460" i="31"/>
  <c r="S460" i="31" s="1"/>
  <c r="R461" i="31"/>
  <c r="R462" i="31"/>
  <c r="S462" i="31"/>
  <c r="R463" i="31"/>
  <c r="R464" i="31"/>
  <c r="S464" i="3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s="1"/>
  <c r="R501" i="31"/>
  <c r="R502" i="31"/>
  <c r="S502" i="31"/>
  <c r="R503" i="31"/>
  <c r="R504" i="31"/>
  <c r="S504" i="31"/>
  <c r="R505" i="31"/>
  <c r="R506" i="31"/>
  <c r="S506" i="31" s="1"/>
  <c r="R507" i="31"/>
  <c r="R508" i="31"/>
  <c r="S508" i="31" s="1"/>
  <c r="R509" i="31"/>
  <c r="R510" i="31"/>
  <c r="S510" i="31"/>
  <c r="R511" i="31"/>
  <c r="R512" i="31"/>
  <c r="S512" i="31" s="1"/>
  <c r="R513" i="31"/>
  <c r="R514" i="31"/>
  <c r="S514" i="31"/>
  <c r="R515" i="31"/>
  <c r="R516" i="31"/>
  <c r="S516" i="3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s="1"/>
  <c r="A2" i="9"/>
  <c r="T16" i="4"/>
  <c r="D14" i="4"/>
  <c r="M4" i="9"/>
  <c r="L4" i="9"/>
  <c r="G36" i="4"/>
  <c r="K2" i="54"/>
  <c r="B23" i="63" s="1"/>
  <c r="A3" i="51"/>
  <c r="R41" i="4"/>
  <c r="Q41" i="4"/>
  <c r="P41" i="4"/>
  <c r="O41" i="4"/>
  <c r="N41" i="4"/>
  <c r="M41" i="4"/>
  <c r="L41" i="4"/>
  <c r="K40" i="4"/>
  <c r="T40" i="4" s="1"/>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A14" i="55" s="1"/>
  <c r="B65" i="63" s="1"/>
  <c r="I73" i="9"/>
  <c r="F73" i="9"/>
  <c r="P73" i="9" s="1"/>
  <c r="D107" i="9"/>
  <c r="C107" i="9"/>
  <c r="C105" i="9" s="1"/>
  <c r="C110" i="9" s="1"/>
  <c r="C17" i="9"/>
  <c r="C18" i="9" s="1"/>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c r="G55" i="34"/>
  <c r="H55" i="34" s="1"/>
  <c r="E55" i="34"/>
  <c r="F55" i="34" s="1"/>
  <c r="I50" i="40"/>
  <c r="J50" i="40" s="1"/>
  <c r="G50" i="40"/>
  <c r="H50" i="40" s="1"/>
  <c r="E50" i="40"/>
  <c r="F50" i="40" s="1"/>
  <c r="I55" i="39"/>
  <c r="J55" i="39" s="1"/>
  <c r="G55" i="39"/>
  <c r="H55" i="39" s="1"/>
  <c r="E55" i="39"/>
  <c r="F55" i="39" s="1"/>
  <c r="I42" i="36"/>
  <c r="J42" i="36" s="1"/>
  <c r="G42" i="36"/>
  <c r="H42" i="36"/>
  <c r="E42" i="36"/>
  <c r="F42" i="36"/>
  <c r="I44" i="35"/>
  <c r="J44" i="35" s="1"/>
  <c r="G44" i="35"/>
  <c r="H44" i="35"/>
  <c r="E44" i="35"/>
  <c r="F44" i="35" s="1"/>
  <c r="I54" i="33"/>
  <c r="J54" i="33" s="1"/>
  <c r="G54" i="33"/>
  <c r="E54" i="33"/>
  <c r="F54" i="33" s="1"/>
  <c r="H14" i="3"/>
  <c r="AC14" i="3"/>
  <c r="G14" i="3" s="1"/>
  <c r="H15" i="3"/>
  <c r="AC15" i="3"/>
  <c r="H16" i="3"/>
  <c r="AC16" i="3"/>
  <c r="H17" i="3"/>
  <c r="AC17" i="3"/>
  <c r="H18" i="3"/>
  <c r="G18" i="3" s="1"/>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L527" i="3" s="1"/>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A534" i="3" s="1"/>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L543" i="3" s="1"/>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BL547" i="3" s="1"/>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c r="J26" i="35" s="1"/>
  <c r="J31" i="35"/>
  <c r="H31" i="35"/>
  <c r="F31" i="35"/>
  <c r="D87" i="35"/>
  <c r="E87" i="35" s="1"/>
  <c r="F87" i="35" s="1"/>
  <c r="G87" i="35" s="1"/>
  <c r="H87" i="35" s="1"/>
  <c r="I87" i="35" s="1"/>
  <c r="J87" i="35" s="1"/>
  <c r="K87" i="35" s="1"/>
  <c r="L87" i="35" s="1"/>
  <c r="M87" i="35" s="1"/>
  <c r="H34" i="37"/>
  <c r="AB34" i="37" s="1"/>
  <c r="D101" i="37"/>
  <c r="E101" i="37" s="1"/>
  <c r="F101" i="37" s="1"/>
  <c r="G101" i="37" s="1"/>
  <c r="F34" i="37"/>
  <c r="S34" i="37" s="1"/>
  <c r="D99" i="37"/>
  <c r="E99" i="37"/>
  <c r="F99" i="37" s="1"/>
  <c r="G99" i="37" s="1"/>
  <c r="H99" i="37" s="1"/>
  <c r="I99" i="37" s="1"/>
  <c r="J99" i="37" s="1"/>
  <c r="K99" i="37" s="1"/>
  <c r="L99" i="37" s="1"/>
  <c r="M99" i="37" s="1"/>
  <c r="H42" i="34"/>
  <c r="J42" i="34"/>
  <c r="F42" i="34"/>
  <c r="J38" i="34"/>
  <c r="D114" i="34"/>
  <c r="E114" i="34" s="1"/>
  <c r="F114" i="34" s="1"/>
  <c r="G114" i="34" s="1"/>
  <c r="H114" i="34" s="1"/>
  <c r="I114" i="34" s="1"/>
  <c r="J114" i="34" s="1"/>
  <c r="K114" i="34" s="1"/>
  <c r="L114" i="34" s="1"/>
  <c r="M114" i="34" s="1"/>
  <c r="F38" i="34"/>
  <c r="D112" i="34"/>
  <c r="E112" i="34"/>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s="1"/>
  <c r="B121" i="40"/>
  <c r="B119" i="40"/>
  <c r="J41" i="40" s="1"/>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B102" i="40"/>
  <c r="D101" i="40"/>
  <c r="E101" i="40"/>
  <c r="F101" i="40" s="1"/>
  <c r="G101" i="40" s="1"/>
  <c r="H101" i="40" s="1"/>
  <c r="I101" i="40" s="1"/>
  <c r="J101" i="40" s="1"/>
  <c r="K101" i="40" s="1"/>
  <c r="L101" i="40" s="1"/>
  <c r="M101" i="40" s="1"/>
  <c r="D99" i="40"/>
  <c r="E99" i="40"/>
  <c r="F99" i="40" s="1"/>
  <c r="D97" i="40"/>
  <c r="E97" i="40" s="1"/>
  <c r="B96" i="40"/>
  <c r="D93" i="40"/>
  <c r="E93" i="40" s="1"/>
  <c r="F93" i="40" s="1"/>
  <c r="D91" i="40"/>
  <c r="D89" i="40"/>
  <c r="H21" i="40"/>
  <c r="AB21" i="40" s="1"/>
  <c r="D87" i="40"/>
  <c r="E87" i="40" s="1"/>
  <c r="F87" i="40" s="1"/>
  <c r="D85" i="40"/>
  <c r="E85" i="40" s="1"/>
  <c r="J17" i="40"/>
  <c r="B82" i="40"/>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J46" i="39" s="1"/>
  <c r="W46" i="39" s="1"/>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F25" i="37" s="1"/>
  <c r="B110" i="37"/>
  <c r="J39" i="37" s="1"/>
  <c r="B108" i="37"/>
  <c r="J38" i="37" s="1"/>
  <c r="C23" i="37"/>
  <c r="C19" i="37"/>
  <c r="C17" i="37"/>
  <c r="C15" i="37"/>
  <c r="B112" i="37"/>
  <c r="D107" i="37"/>
  <c r="E107" i="37" s="1"/>
  <c r="D105" i="37"/>
  <c r="E105" i="37" s="1"/>
  <c r="F105" i="37" s="1"/>
  <c r="H36" i="37"/>
  <c r="D103" i="37"/>
  <c r="E103" i="37" s="1"/>
  <c r="F103" i="37" s="1"/>
  <c r="G103" i="37" s="1"/>
  <c r="H103" i="37" s="1"/>
  <c r="I103" i="37" s="1"/>
  <c r="J103" i="37" s="1"/>
  <c r="K103" i="37" s="1"/>
  <c r="L103" i="37" s="1"/>
  <c r="M103" i="37" s="1"/>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s="1"/>
  <c r="D75" i="37"/>
  <c r="E75" i="37" s="1"/>
  <c r="F75" i="37" s="1"/>
  <c r="G75" i="37" s="1"/>
  <c r="D73" i="37"/>
  <c r="E73" i="37" s="1"/>
  <c r="F73" i="37" s="1"/>
  <c r="G73" i="37" s="1"/>
  <c r="D71" i="37"/>
  <c r="E71" i="37"/>
  <c r="F71" i="37" s="1"/>
  <c r="G71" i="37" s="1"/>
  <c r="F15" i="37"/>
  <c r="AA15" i="37"/>
  <c r="B68" i="37"/>
  <c r="H14" i="37"/>
  <c r="U14" i="37" s="1"/>
  <c r="B66" i="37"/>
  <c r="F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c r="Q28" i="37"/>
  <c r="Z28" i="37" s="1"/>
  <c r="Q27" i="37"/>
  <c r="Z27" i="37" s="1"/>
  <c r="Q26" i="37"/>
  <c r="Z26" i="37" s="1"/>
  <c r="F26" i="37"/>
  <c r="AA26" i="37" s="1"/>
  <c r="Q25" i="37"/>
  <c r="Z25" i="37" s="1"/>
  <c r="J25" i="37"/>
  <c r="Q23" i="37"/>
  <c r="Z23" i="37"/>
  <c r="Q19" i="37"/>
  <c r="Z19" i="37"/>
  <c r="Q17" i="37"/>
  <c r="Z17" i="37" s="1"/>
  <c r="Q15" i="37"/>
  <c r="Z15" i="37" s="1"/>
  <c r="Q14" i="37"/>
  <c r="Z14" i="37" s="1"/>
  <c r="Q13" i="37"/>
  <c r="Z13" i="37" s="1"/>
  <c r="Q12" i="37"/>
  <c r="Z12" i="37" s="1"/>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c r="D81" i="36"/>
  <c r="E81" i="36" s="1"/>
  <c r="F81" i="36" s="1"/>
  <c r="G81" i="36" s="1"/>
  <c r="H81" i="36" s="1"/>
  <c r="I81" i="36" s="1"/>
  <c r="J81" i="36" s="1"/>
  <c r="K81" i="36" s="1"/>
  <c r="L81" i="36" s="1"/>
  <c r="M81" i="36" s="1"/>
  <c r="F79" i="36"/>
  <c r="E79" i="36"/>
  <c r="D79" i="36"/>
  <c r="C79" i="36"/>
  <c r="B93" i="36"/>
  <c r="J33" i="36" s="1"/>
  <c r="AC33" i="36" s="1"/>
  <c r="B91" i="36"/>
  <c r="F32" i="36"/>
  <c r="S32" i="36" s="1"/>
  <c r="B95" i="36"/>
  <c r="H34" i="36"/>
  <c r="AB34" i="36" s="1"/>
  <c r="D83" i="36"/>
  <c r="E83" i="36"/>
  <c r="F83" i="36" s="1"/>
  <c r="G83" i="36" s="1"/>
  <c r="H83" i="36" s="1"/>
  <c r="I83" i="36" s="1"/>
  <c r="J83" i="36" s="1"/>
  <c r="K83" i="36" s="1"/>
  <c r="L83" i="36" s="1"/>
  <c r="M83" i="36" s="1"/>
  <c r="D78" i="36"/>
  <c r="J26" i="36"/>
  <c r="W26" i="36" s="1"/>
  <c r="B75" i="36"/>
  <c r="H25" i="36" s="1"/>
  <c r="B73" i="36"/>
  <c r="B71" i="36"/>
  <c r="D70" i="36"/>
  <c r="H22" i="36"/>
  <c r="AB22" i="36" s="1"/>
  <c r="D68" i="36"/>
  <c r="E68" i="36" s="1"/>
  <c r="F68" i="36" s="1"/>
  <c r="D64" i="36"/>
  <c r="E64" i="36" s="1"/>
  <c r="F64" i="36" s="1"/>
  <c r="G64" i="36" s="1"/>
  <c r="J16" i="36"/>
  <c r="D62" i="36"/>
  <c r="E62" i="36" s="1"/>
  <c r="B59" i="36"/>
  <c r="J13" i="36" s="1"/>
  <c r="B57" i="36"/>
  <c r="B55" i="36"/>
  <c r="J10" i="36"/>
  <c r="W10" i="36" s="1"/>
  <c r="C51" i="36"/>
  <c r="F9" i="36" s="1"/>
  <c r="AA9" i="36" s="1"/>
  <c r="P37" i="36"/>
  <c r="P36" i="36"/>
  <c r="V35" i="36"/>
  <c r="T35" i="36"/>
  <c r="R35" i="36"/>
  <c r="P35" i="36"/>
  <c r="Q34" i="36"/>
  <c r="Z34" i="36" s="1"/>
  <c r="Q33" i="36"/>
  <c r="Z33" i="36" s="1"/>
  <c r="Q32" i="36"/>
  <c r="Z32" i="36" s="1"/>
  <c r="Q31" i="36"/>
  <c r="Z31" i="36" s="1"/>
  <c r="Q30" i="36"/>
  <c r="Z30" i="36" s="1"/>
  <c r="Q29" i="36"/>
  <c r="Z29" i="36" s="1"/>
  <c r="Q28" i="36"/>
  <c r="Z28" i="36"/>
  <c r="J28" i="36"/>
  <c r="AC28" i="36"/>
  <c r="Q27" i="36"/>
  <c r="Z27" i="36"/>
  <c r="Q26" i="36"/>
  <c r="Z26" i="36" s="1"/>
  <c r="H26" i="36"/>
  <c r="Q25" i="36"/>
  <c r="Z25" i="36"/>
  <c r="Q24" i="36"/>
  <c r="Z24" i="36"/>
  <c r="Q23" i="36"/>
  <c r="Z23" i="36"/>
  <c r="Q22" i="36"/>
  <c r="Z22" i="36"/>
  <c r="J22" i="36"/>
  <c r="Q20" i="36"/>
  <c r="Z20" i="36" s="1"/>
  <c r="Q16" i="36"/>
  <c r="Z16" i="36" s="1"/>
  <c r="Q14" i="36"/>
  <c r="Z14" i="36"/>
  <c r="Q13" i="36"/>
  <c r="Z13" i="36" s="1"/>
  <c r="Q12" i="36"/>
  <c r="Z12" i="36" s="1"/>
  <c r="H12" i="36"/>
  <c r="U12" i="36" s="1"/>
  <c r="Q11" i="36"/>
  <c r="Z11" i="36" s="1"/>
  <c r="Q10" i="36"/>
  <c r="Z10" i="36" s="1"/>
  <c r="F10" i="36"/>
  <c r="AA10" i="36" s="1"/>
  <c r="Q9" i="36"/>
  <c r="Z9" i="36" s="1"/>
  <c r="J9" i="36"/>
  <c r="AC9" i="36" s="1"/>
  <c r="H9" i="36"/>
  <c r="AB9" i="36" s="1"/>
  <c r="J8" i="36"/>
  <c r="AC8" i="36" s="1"/>
  <c r="H8" i="36"/>
  <c r="U8" i="36" s="1"/>
  <c r="F8" i="36"/>
  <c r="AA8" i="36" s="1"/>
  <c r="D89" i="35"/>
  <c r="E89" i="35" s="1"/>
  <c r="F89" i="35" s="1"/>
  <c r="G89" i="35" s="1"/>
  <c r="H89" i="35" s="1"/>
  <c r="I89" i="35" s="1"/>
  <c r="J89" i="35" s="1"/>
  <c r="K89" i="35" s="1"/>
  <c r="L89" i="35" s="1"/>
  <c r="M89" i="35" s="1"/>
  <c r="H30" i="35"/>
  <c r="U30" i="35"/>
  <c r="M90" i="35"/>
  <c r="L90" i="35"/>
  <c r="K90" i="35"/>
  <c r="J90" i="35"/>
  <c r="I90" i="35"/>
  <c r="H90" i="35"/>
  <c r="G90" i="35"/>
  <c r="F90" i="35"/>
  <c r="E90" i="35"/>
  <c r="D90" i="35"/>
  <c r="C90" i="35"/>
  <c r="F85" i="35"/>
  <c r="E85" i="35"/>
  <c r="D85" i="35"/>
  <c r="C85" i="35"/>
  <c r="J27" i="35"/>
  <c r="H27" i="35"/>
  <c r="U27" i="35"/>
  <c r="F27" i="35"/>
  <c r="AA27" i="35"/>
  <c r="J22" i="35"/>
  <c r="AC22" i="35" s="1"/>
  <c r="B101" i="35"/>
  <c r="H36" i="35" s="1"/>
  <c r="B99" i="35"/>
  <c r="F35" i="35" s="1"/>
  <c r="B97" i="35"/>
  <c r="F34" i="35" s="1"/>
  <c r="AA34" i="35" s="1"/>
  <c r="B77" i="35"/>
  <c r="H25" i="35" s="1"/>
  <c r="B75" i="35"/>
  <c r="J24" i="35"/>
  <c r="B73" i="35"/>
  <c r="B57" i="35"/>
  <c r="B61" i="35"/>
  <c r="J13" i="35" s="1"/>
  <c r="B59" i="35"/>
  <c r="B131" i="34"/>
  <c r="B129" i="34"/>
  <c r="B127" i="34"/>
  <c r="B99" i="34"/>
  <c r="J32" i="34" s="1"/>
  <c r="B97" i="34"/>
  <c r="B95" i="34"/>
  <c r="J30" i="34" s="1"/>
  <c r="B93" i="34"/>
  <c r="F29" i="34" s="1"/>
  <c r="B75" i="34"/>
  <c r="B73" i="34"/>
  <c r="F13" i="34" s="1"/>
  <c r="AA13" i="34" s="1"/>
  <c r="B71" i="34"/>
  <c r="B130" i="33"/>
  <c r="B128" i="33"/>
  <c r="B126" i="33"/>
  <c r="H44" i="33" s="1"/>
  <c r="B98" i="33"/>
  <c r="F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E72" i="35" s="1"/>
  <c r="D70" i="35"/>
  <c r="E70" i="35" s="1"/>
  <c r="F70" i="35" s="1"/>
  <c r="G70" i="35" s="1"/>
  <c r="D66" i="35"/>
  <c r="E66" i="35"/>
  <c r="F66" i="35" s="1"/>
  <c r="G66" i="35" s="1"/>
  <c r="D64" i="35"/>
  <c r="E64" i="35"/>
  <c r="F64" i="35" s="1"/>
  <c r="G64" i="35" s="1"/>
  <c r="C53" i="35"/>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c r="AC31" i="35"/>
  <c r="AA31" i="35"/>
  <c r="Q30" i="35"/>
  <c r="Z30" i="35"/>
  <c r="Q29" i="35"/>
  <c r="Z29" i="35"/>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c r="Q12" i="35"/>
  <c r="Z12" i="35"/>
  <c r="Q11" i="35"/>
  <c r="Z11" i="35" s="1"/>
  <c r="Q10" i="35"/>
  <c r="Z10" i="35" s="1"/>
  <c r="Q9" i="35"/>
  <c r="Z9" i="35"/>
  <c r="F9" i="35"/>
  <c r="AA9" i="35"/>
  <c r="J8" i="35"/>
  <c r="AC8" i="35" s="1"/>
  <c r="H8" i="35"/>
  <c r="F8" i="35"/>
  <c r="AA8" i="35"/>
  <c r="D120" i="34"/>
  <c r="E120" i="34"/>
  <c r="F120" i="34" s="1"/>
  <c r="G120" i="34" s="1"/>
  <c r="H120" i="34" s="1"/>
  <c r="I120" i="34" s="1"/>
  <c r="J120" i="34" s="1"/>
  <c r="K120" i="34" s="1"/>
  <c r="L120" i="34" s="1"/>
  <c r="M120" i="34" s="1"/>
  <c r="D90" i="34"/>
  <c r="E90" i="34" s="1"/>
  <c r="C15" i="34"/>
  <c r="H10" i="34"/>
  <c r="AB10" i="34" s="1"/>
  <c r="D126" i="34"/>
  <c r="E126" i="34" s="1"/>
  <c r="F126" i="34" s="1"/>
  <c r="G126" i="34" s="1"/>
  <c r="D124" i="34"/>
  <c r="E124" i="34" s="1"/>
  <c r="F124" i="34" s="1"/>
  <c r="G124" i="34" s="1"/>
  <c r="H124" i="34"/>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107" i="34" s="1"/>
  <c r="G107" i="34" s="1"/>
  <c r="H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H27" i="34" s="1"/>
  <c r="D88" i="34"/>
  <c r="E88" i="34" s="1"/>
  <c r="F88" i="34" s="1"/>
  <c r="G88" i="34" s="1"/>
  <c r="H88" i="34" s="1"/>
  <c r="I88" i="34" s="1"/>
  <c r="J88" i="34" s="1"/>
  <c r="K88" i="34" s="1"/>
  <c r="L88" i="34" s="1"/>
  <c r="M88" i="34" s="1"/>
  <c r="D86" i="34"/>
  <c r="E86" i="34"/>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c r="F43" i="34"/>
  <c r="AA43" i="34"/>
  <c r="Q42" i="34"/>
  <c r="Z42" i="34"/>
  <c r="Q41" i="34"/>
  <c r="Z41" i="34" s="1"/>
  <c r="Q40" i="34"/>
  <c r="Z40" i="34" s="1"/>
  <c r="F40" i="34"/>
  <c r="S40" i="34" s="1"/>
  <c r="Q39" i="34"/>
  <c r="Z39" i="34" s="1"/>
  <c r="J39" i="34"/>
  <c r="H39" i="34"/>
  <c r="F39" i="34"/>
  <c r="Q38" i="34"/>
  <c r="Z38" i="34" s="1"/>
  <c r="Q37" i="34"/>
  <c r="Z37" i="34" s="1"/>
  <c r="Q36" i="34"/>
  <c r="Z36" i="34" s="1"/>
  <c r="Q35" i="34"/>
  <c r="Z35" i="34" s="1"/>
  <c r="Q34" i="34"/>
  <c r="Z34" i="34"/>
  <c r="J34" i="34"/>
  <c r="H34" i="34"/>
  <c r="AB34" i="34" s="1"/>
  <c r="F34" i="34"/>
  <c r="AA34" i="34" s="1"/>
  <c r="Q33" i="34"/>
  <c r="Z33" i="34" s="1"/>
  <c r="Q32" i="34"/>
  <c r="Z32" i="34" s="1"/>
  <c r="Q31" i="34"/>
  <c r="Z31" i="34" s="1"/>
  <c r="Q30" i="34"/>
  <c r="Z30" i="34" s="1"/>
  <c r="Q29" i="34"/>
  <c r="Z29" i="34" s="1"/>
  <c r="Q28" i="34"/>
  <c r="Z28" i="34" s="1"/>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S10" i="34" s="1"/>
  <c r="Q9" i="34"/>
  <c r="Z9" i="34" s="1"/>
  <c r="AC9" i="34"/>
  <c r="H9" i="34"/>
  <c r="F9" i="34"/>
  <c r="AA9" i="34" s="1"/>
  <c r="J8" i="34"/>
  <c r="H8" i="34"/>
  <c r="U8" i="34" s="1"/>
  <c r="F8" i="34"/>
  <c r="AA8" i="34" s="1"/>
  <c r="D121" i="33"/>
  <c r="F109" i="33"/>
  <c r="E109" i="33"/>
  <c r="D109" i="33"/>
  <c r="C109" i="33"/>
  <c r="D91" i="33"/>
  <c r="E91" i="33"/>
  <c r="F91" i="33" s="1"/>
  <c r="G91" i="33" s="1"/>
  <c r="H91" i="33" s="1"/>
  <c r="I91" i="33" s="1"/>
  <c r="J91" i="33" s="1"/>
  <c r="K91" i="33" s="1"/>
  <c r="L91" i="33" s="1"/>
  <c r="M91" i="33" s="1"/>
  <c r="B88" i="33"/>
  <c r="F26" i="33" s="1"/>
  <c r="AA26" i="33" s="1"/>
  <c r="C23" i="33"/>
  <c r="C19" i="33"/>
  <c r="C17" i="33"/>
  <c r="C15" i="33"/>
  <c r="C15" i="21"/>
  <c r="D125" i="33"/>
  <c r="F43" i="33" s="1"/>
  <c r="AA43" i="33" s="1"/>
  <c r="D123" i="33"/>
  <c r="D117" i="33"/>
  <c r="E117" i="33" s="1"/>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B90" i="33"/>
  <c r="H27" i="33" s="1"/>
  <c r="U27" i="33" s="1"/>
  <c r="D87" i="33"/>
  <c r="E87" i="33" s="1"/>
  <c r="D85" i="33"/>
  <c r="E85" i="33" s="1"/>
  <c r="D81" i="33"/>
  <c r="E81" i="33" s="1"/>
  <c r="F81" i="33" s="1"/>
  <c r="D79" i="33"/>
  <c r="E79" i="33" s="1"/>
  <c r="D77" i="33"/>
  <c r="E77" i="33" s="1"/>
  <c r="D69" i="33"/>
  <c r="E69" i="33"/>
  <c r="F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Q39" i="33"/>
  <c r="Z39" i="33" s="1"/>
  <c r="J39" i="33"/>
  <c r="AC39" i="33" s="1"/>
  <c r="Q38" i="33"/>
  <c r="Z38" i="33" s="1"/>
  <c r="J38" i="33"/>
  <c r="AC38" i="33" s="1"/>
  <c r="H38" i="33"/>
  <c r="F38" i="33"/>
  <c r="AA38" i="33" s="1"/>
  <c r="Q37" i="33"/>
  <c r="Z37" i="33" s="1"/>
  <c r="Q36" i="33"/>
  <c r="Z36" i="33"/>
  <c r="Q35" i="33"/>
  <c r="Z35" i="33"/>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c r="Q14" i="33"/>
  <c r="Z14" i="33" s="1"/>
  <c r="Q13" i="33"/>
  <c r="Z13" i="33" s="1"/>
  <c r="Q12" i="33"/>
  <c r="Z12" i="33" s="1"/>
  <c r="J12" i="33"/>
  <c r="W12" i="33" s="1"/>
  <c r="H12" i="33"/>
  <c r="U12" i="33" s="1"/>
  <c r="F12" i="33"/>
  <c r="Q11" i="33"/>
  <c r="Z11" i="33" s="1"/>
  <c r="Q10" i="33"/>
  <c r="Z10" i="33" s="1"/>
  <c r="Q9" i="33"/>
  <c r="Z9" i="33" s="1"/>
  <c r="H9" i="33"/>
  <c r="J8" i="33"/>
  <c r="W8" i="33" s="1"/>
  <c r="H8" i="33"/>
  <c r="AB8" i="33" s="1"/>
  <c r="F8" i="33"/>
  <c r="S8" i="33" s="1"/>
  <c r="M102" i="21"/>
  <c r="D102" i="21"/>
  <c r="E102" i="21"/>
  <c r="F102" i="21"/>
  <c r="G102" i="21"/>
  <c r="H102" i="21"/>
  <c r="I102" i="21"/>
  <c r="J102" i="21"/>
  <c r="K102" i="21"/>
  <c r="L102" i="21"/>
  <c r="C102" i="21"/>
  <c r="C63" i="21"/>
  <c r="G18" i="20"/>
  <c r="B90" i="46" s="1"/>
  <c r="C25" i="40"/>
  <c r="G16" i="20"/>
  <c r="G15" i="20"/>
  <c r="B83" i="46" s="1"/>
  <c r="C24" i="20"/>
  <c r="B75" i="46" s="1"/>
  <c r="C21" i="20"/>
  <c r="B99" i="46" s="1"/>
  <c r="C20" i="20"/>
  <c r="C18" i="20"/>
  <c r="C17" i="20"/>
  <c r="B61" i="46" s="1"/>
  <c r="C16" i="20"/>
  <c r="B50" i="46" s="1"/>
  <c r="C15" i="20"/>
  <c r="B72" i="46" s="1"/>
  <c r="E54" i="21"/>
  <c r="F54" i="21" s="1"/>
  <c r="I54" i="21"/>
  <c r="J54" i="21" s="1"/>
  <c r="G54" i="21"/>
  <c r="H54" i="21" s="1"/>
  <c r="D125" i="21"/>
  <c r="E125" i="21" s="1"/>
  <c r="F125" i="21" s="1"/>
  <c r="G125" i="21" s="1"/>
  <c r="D123" i="21"/>
  <c r="E123" i="21" s="1"/>
  <c r="F123" i="21" s="1"/>
  <c r="G123" i="21"/>
  <c r="H123" i="21" s="1"/>
  <c r="I123" i="21" s="1"/>
  <c r="J123" i="21" s="1"/>
  <c r="K123" i="21" s="1"/>
  <c r="L123" i="21" s="1"/>
  <c r="M123" i="21" s="1"/>
  <c r="H42" i="21"/>
  <c r="AB42" i="21" s="1"/>
  <c r="D119" i="21"/>
  <c r="E119" i="21" s="1"/>
  <c r="F119" i="21" s="1"/>
  <c r="G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c r="K106" i="21" s="1"/>
  <c r="L106" i="21" s="1"/>
  <c r="M106" i="21" s="1"/>
  <c r="D101" i="21"/>
  <c r="E101" i="21" s="1"/>
  <c r="F101" i="2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s="1"/>
  <c r="F79" i="21" s="1"/>
  <c r="G79" i="21" s="1"/>
  <c r="D85" i="21"/>
  <c r="E85" i="21" s="1"/>
  <c r="F85" i="21" s="1"/>
  <c r="D81" i="21"/>
  <c r="E81" i="21" s="1"/>
  <c r="F81" i="21" s="1"/>
  <c r="G81" i="21" s="1"/>
  <c r="D77" i="21"/>
  <c r="E77" i="21" s="1"/>
  <c r="F77" i="21" s="1"/>
  <c r="G77" i="21" s="1"/>
  <c r="B130" i="21"/>
  <c r="B128" i="21"/>
  <c r="B126" i="21"/>
  <c r="H44" i="21" s="1"/>
  <c r="B98" i="21"/>
  <c r="B96" i="21"/>
  <c r="F30" i="21" s="1"/>
  <c r="B94" i="21"/>
  <c r="B92" i="21"/>
  <c r="F28" i="21" s="1"/>
  <c r="B90" i="21"/>
  <c r="B74" i="21"/>
  <c r="B72" i="21"/>
  <c r="B70" i="21"/>
  <c r="F10" i="21"/>
  <c r="C19" i="21"/>
  <c r="C17" i="21"/>
  <c r="C23" i="21"/>
  <c r="Q9" i="21"/>
  <c r="Z9" i="21"/>
  <c r="Q10" i="21"/>
  <c r="Z10" i="21" s="1"/>
  <c r="Q11" i="21"/>
  <c r="Z11" i="21" s="1"/>
  <c r="Q12" i="21"/>
  <c r="Z12" i="21" s="1"/>
  <c r="Q13" i="21"/>
  <c r="Z13" i="21" s="1"/>
  <c r="Q14" i="21"/>
  <c r="Z14" i="21" s="1"/>
  <c r="Q15" i="21"/>
  <c r="Z15" i="21" s="1"/>
  <c r="Q17" i="21"/>
  <c r="Z17" i="21" s="1"/>
  <c r="Q19" i="21"/>
  <c r="Z19" i="21" s="1"/>
  <c r="Q23" i="21"/>
  <c r="Z23" i="21" s="1"/>
  <c r="Q25" i="21"/>
  <c r="Z25" i="21"/>
  <c r="Q26" i="21"/>
  <c r="Z26" i="21"/>
  <c r="Q27" i="21"/>
  <c r="Z27" i="2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c r="Q39" i="21"/>
  <c r="Z39" i="21"/>
  <c r="Q40" i="21"/>
  <c r="Z40" i="21"/>
  <c r="Q41" i="21"/>
  <c r="Z41" i="21" s="1"/>
  <c r="Q42" i="21"/>
  <c r="Z42" i="21" s="1"/>
  <c r="J43" i="21"/>
  <c r="AC43" i="21" s="1"/>
  <c r="Q43" i="21"/>
  <c r="Z43" i="21" s="1"/>
  <c r="Q44" i="21"/>
  <c r="Z44" i="21" s="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F43" i="21"/>
  <c r="S43" i="21"/>
  <c r="H38" i="21"/>
  <c r="AB38" i="21"/>
  <c r="H43" i="21"/>
  <c r="AB43" i="21"/>
  <c r="F32" i="21"/>
  <c r="F38" i="21"/>
  <c r="S38" i="21" s="1"/>
  <c r="F36" i="21"/>
  <c r="S36" i="21" s="1"/>
  <c r="F39" i="21"/>
  <c r="AA39" i="21" s="1"/>
  <c r="J40" i="21"/>
  <c r="W40" i="21" s="1"/>
  <c r="H35" i="21"/>
  <c r="AB35" i="21" s="1"/>
  <c r="J8" i="21"/>
  <c r="W8" i="21" s="1"/>
  <c r="AC8" i="21"/>
  <c r="H8" i="21"/>
  <c r="H10" i="21"/>
  <c r="U10" i="21" s="1"/>
  <c r="H39" i="21"/>
  <c r="AB39" i="21"/>
  <c r="J34" i="21"/>
  <c r="W34" i="21" s="1"/>
  <c r="H36" i="21"/>
  <c r="U36" i="21" s="1"/>
  <c r="F35" i="21"/>
  <c r="S35" i="21" s="1"/>
  <c r="J33" i="21"/>
  <c r="W33" i="21" s="1"/>
  <c r="H33" i="21"/>
  <c r="U33" i="21" s="1"/>
  <c r="F33" i="21"/>
  <c r="AA33" i="21" s="1"/>
  <c r="J10" i="21"/>
  <c r="AC10" i="21"/>
  <c r="H26" i="21"/>
  <c r="F19" i="21"/>
  <c r="AA19" i="21" s="1"/>
  <c r="H19" i="21"/>
  <c r="AB19" i="21" s="1"/>
  <c r="J19" i="21"/>
  <c r="H12" i="21"/>
  <c r="J26" i="21"/>
  <c r="W26" i="21"/>
  <c r="F26" i="21"/>
  <c r="AA26" i="21"/>
  <c r="S41" i="21"/>
  <c r="AA41" i="21"/>
  <c r="W41" i="21"/>
  <c r="S10" i="39"/>
  <c r="F39" i="37"/>
  <c r="S39" i="37" s="1"/>
  <c r="F29" i="36"/>
  <c r="AA29" i="36" s="1"/>
  <c r="F16" i="36"/>
  <c r="U22" i="36"/>
  <c r="AC31" i="36"/>
  <c r="S34" i="35"/>
  <c r="S31" i="35"/>
  <c r="W31" i="35"/>
  <c r="F36" i="34"/>
  <c r="S36" i="34" s="1"/>
  <c r="W9" i="34"/>
  <c r="S34" i="34"/>
  <c r="H39" i="33"/>
  <c r="S40" i="33"/>
  <c r="S8" i="21"/>
  <c r="H39" i="37"/>
  <c r="AB39" i="37" s="1"/>
  <c r="AB27" i="35"/>
  <c r="W10" i="40"/>
  <c r="U11" i="40"/>
  <c r="U36" i="40"/>
  <c r="F11" i="21"/>
  <c r="S11" i="21" s="1"/>
  <c r="AB36" i="21"/>
  <c r="AC35" i="21"/>
  <c r="C29" i="39"/>
  <c r="U36" i="39"/>
  <c r="H32" i="33"/>
  <c r="AB32" i="33" s="1"/>
  <c r="H11" i="21"/>
  <c r="U11" i="21"/>
  <c r="J11" i="21"/>
  <c r="F85" i="40"/>
  <c r="G85" i="40" s="1"/>
  <c r="J27" i="36"/>
  <c r="W27" i="36" s="1"/>
  <c r="J34" i="36"/>
  <c r="AC34" i="36" s="1"/>
  <c r="J30" i="35"/>
  <c r="AC30" i="35" s="1"/>
  <c r="F22" i="35"/>
  <c r="AA22" i="35" s="1"/>
  <c r="H10" i="35"/>
  <c r="U10" i="35" s="1"/>
  <c r="U29" i="36"/>
  <c r="J29" i="36"/>
  <c r="AC29" i="36" s="1"/>
  <c r="F34" i="36"/>
  <c r="S34" i="36"/>
  <c r="H16" i="35"/>
  <c r="H33" i="35"/>
  <c r="AB33" i="35" s="1"/>
  <c r="W8" i="35"/>
  <c r="F35" i="37"/>
  <c r="S35" i="37" s="1"/>
  <c r="H101" i="37"/>
  <c r="I101" i="37" s="1"/>
  <c r="J101" i="37" s="1"/>
  <c r="K101" i="37" s="1"/>
  <c r="L101" i="37" s="1"/>
  <c r="M101" i="37" s="1"/>
  <c r="J34" i="37"/>
  <c r="W34" i="37" s="1"/>
  <c r="AA39" i="37"/>
  <c r="H43" i="34"/>
  <c r="U42" i="34"/>
  <c r="H36" i="34"/>
  <c r="U36" i="34" s="1"/>
  <c r="F37" i="34"/>
  <c r="AA37" i="34" s="1"/>
  <c r="F33" i="34"/>
  <c r="S33" i="34" s="1"/>
  <c r="F19" i="34"/>
  <c r="AA19" i="34" s="1"/>
  <c r="J10" i="34"/>
  <c r="AC10" i="34" s="1"/>
  <c r="S38" i="33"/>
  <c r="F36" i="33"/>
  <c r="S36" i="33" s="1"/>
  <c r="W40" i="33"/>
  <c r="AB30" i="36"/>
  <c r="S22" i="35"/>
  <c r="H29" i="35"/>
  <c r="U29" i="35" s="1"/>
  <c r="U34" i="37"/>
  <c r="AA34" i="37"/>
  <c r="AC43" i="34"/>
  <c r="AB42" i="34"/>
  <c r="J19" i="34"/>
  <c r="AC19" i="34" s="1"/>
  <c r="H37" i="33"/>
  <c r="W43" i="34"/>
  <c r="AA42" i="34"/>
  <c r="S42" i="34"/>
  <c r="AC38" i="34"/>
  <c r="W38" i="34"/>
  <c r="AA38" i="34"/>
  <c r="S38" i="34"/>
  <c r="J37" i="33"/>
  <c r="W37" i="33" s="1"/>
  <c r="J42" i="21"/>
  <c r="J44" i="34"/>
  <c r="AC44" i="34" s="1"/>
  <c r="F44" i="34"/>
  <c r="S44" i="34" s="1"/>
  <c r="J10" i="35"/>
  <c r="W10" i="35" s="1"/>
  <c r="AL5" i="3"/>
  <c r="BQ13" i="3"/>
  <c r="J14" i="21"/>
  <c r="W14" i="21" s="1"/>
  <c r="F14" i="21"/>
  <c r="AA14" i="21" s="1"/>
  <c r="H14" i="21"/>
  <c r="H28" i="21"/>
  <c r="H30" i="21"/>
  <c r="S30" i="21"/>
  <c r="J30" i="21"/>
  <c r="W30" i="21" s="1"/>
  <c r="H46" i="21"/>
  <c r="AB46" i="21" s="1"/>
  <c r="J46" i="21"/>
  <c r="W46" i="21" s="1"/>
  <c r="F46" i="21"/>
  <c r="F33" i="35"/>
  <c r="S33" i="35" s="1"/>
  <c r="J33" i="35"/>
  <c r="W33" i="35" s="1"/>
  <c r="F30" i="35"/>
  <c r="H10" i="36"/>
  <c r="AB10" i="36" s="1"/>
  <c r="F28" i="36"/>
  <c r="S28" i="36" s="1"/>
  <c r="F27" i="36"/>
  <c r="S27" i="36" s="1"/>
  <c r="H13" i="21"/>
  <c r="J13" i="21"/>
  <c r="AC13" i="21"/>
  <c r="F13" i="21"/>
  <c r="AA13" i="21" s="1"/>
  <c r="H27" i="21"/>
  <c r="AB27" i="21" s="1"/>
  <c r="J27" i="21"/>
  <c r="W27" i="21" s="1"/>
  <c r="F27" i="21"/>
  <c r="J31" i="21"/>
  <c r="AC31" i="21" s="1"/>
  <c r="H31" i="21"/>
  <c r="U31" i="21" s="1"/>
  <c r="F31" i="21"/>
  <c r="S31" i="21"/>
  <c r="J45" i="21"/>
  <c r="W45" i="21" s="1"/>
  <c r="F45" i="21"/>
  <c r="S45" i="21" s="1"/>
  <c r="H45" i="21"/>
  <c r="U45" i="21" s="1"/>
  <c r="J27" i="33"/>
  <c r="AC27" i="33" s="1"/>
  <c r="F27" i="33"/>
  <c r="S27" i="33" s="1"/>
  <c r="J29" i="33"/>
  <c r="AC29" i="33" s="1"/>
  <c r="W29" i="33"/>
  <c r="H31" i="33"/>
  <c r="J45" i="33"/>
  <c r="F11" i="35"/>
  <c r="S11" i="35" s="1"/>
  <c r="H28" i="36"/>
  <c r="U28" i="36" s="1"/>
  <c r="H32" i="36"/>
  <c r="AB32" i="36"/>
  <c r="J32" i="36"/>
  <c r="J11" i="36"/>
  <c r="W11" i="36" s="1"/>
  <c r="H13" i="36"/>
  <c r="AB13" i="36" s="1"/>
  <c r="E89" i="37"/>
  <c r="F89" i="37" s="1"/>
  <c r="G89" i="37" s="1"/>
  <c r="H89" i="37" s="1"/>
  <c r="I89" i="37" s="1"/>
  <c r="J89" i="37" s="1"/>
  <c r="K89" i="37" s="1"/>
  <c r="L89" i="37" s="1"/>
  <c r="M89" i="37" s="1"/>
  <c r="J29" i="37"/>
  <c r="W29" i="37"/>
  <c r="F29" i="37"/>
  <c r="AA29" i="37" s="1"/>
  <c r="AB36" i="37"/>
  <c r="F107" i="37"/>
  <c r="G107" i="37" s="1"/>
  <c r="H107" i="37" s="1"/>
  <c r="J37" i="37"/>
  <c r="AC37" i="37" s="1"/>
  <c r="H37" i="37"/>
  <c r="H40" i="37"/>
  <c r="U40" i="37" s="1"/>
  <c r="J40" i="37"/>
  <c r="W40" i="37" s="1"/>
  <c r="F40" i="37"/>
  <c r="AA40" i="37" s="1"/>
  <c r="H14" i="33"/>
  <c r="U14" i="33" s="1"/>
  <c r="F14" i="33"/>
  <c r="AA14" i="33" s="1"/>
  <c r="J14" i="33"/>
  <c r="AC14" i="33" s="1"/>
  <c r="H30" i="33"/>
  <c r="AB30" i="33"/>
  <c r="F30" i="33"/>
  <c r="AA30" i="33" s="1"/>
  <c r="S30" i="33"/>
  <c r="J30" i="33"/>
  <c r="AC30" i="33" s="1"/>
  <c r="U44" i="33"/>
  <c r="J44" i="33"/>
  <c r="AC44" i="33" s="1"/>
  <c r="F44" i="33"/>
  <c r="S44" i="33" s="1"/>
  <c r="J46" i="33"/>
  <c r="AC46" i="33" s="1"/>
  <c r="F46" i="33"/>
  <c r="AA46" i="33"/>
  <c r="H46" i="33"/>
  <c r="AB46" i="33" s="1"/>
  <c r="H13" i="34"/>
  <c r="U13" i="34" s="1"/>
  <c r="J13" i="34"/>
  <c r="W13" i="34"/>
  <c r="S29" i="34"/>
  <c r="H29" i="34"/>
  <c r="U29" i="34" s="1"/>
  <c r="J31" i="34"/>
  <c r="W31" i="34" s="1"/>
  <c r="AC31" i="34"/>
  <c r="H31" i="34"/>
  <c r="AB31" i="34" s="1"/>
  <c r="F31" i="34"/>
  <c r="AA31" i="34" s="1"/>
  <c r="H45" i="34"/>
  <c r="AB45" i="34" s="1"/>
  <c r="U45" i="34"/>
  <c r="J45" i="34"/>
  <c r="W45" i="34"/>
  <c r="F45" i="34"/>
  <c r="F47" i="34"/>
  <c r="AA47" i="34" s="1"/>
  <c r="J35" i="35"/>
  <c r="AC35" i="35" s="1"/>
  <c r="S35" i="35"/>
  <c r="H35" i="35"/>
  <c r="U35" i="35" s="1"/>
  <c r="J25" i="36"/>
  <c r="W25" i="36"/>
  <c r="F25" i="36"/>
  <c r="AB25" i="36"/>
  <c r="H13" i="37"/>
  <c r="AB13" i="37" s="1"/>
  <c r="J13" i="37"/>
  <c r="AC13" i="37" s="1"/>
  <c r="H28" i="37"/>
  <c r="U28" i="37" s="1"/>
  <c r="H38" i="37"/>
  <c r="AB38" i="37" s="1"/>
  <c r="AC38" i="37"/>
  <c r="F38" i="37"/>
  <c r="F14" i="37"/>
  <c r="F27" i="37"/>
  <c r="AA27" i="37"/>
  <c r="J14" i="37"/>
  <c r="W14" i="37"/>
  <c r="J27" i="37"/>
  <c r="W46" i="33"/>
  <c r="U30" i="33"/>
  <c r="J36" i="37"/>
  <c r="G105" i="37"/>
  <c r="S46" i="33"/>
  <c r="U36" i="37"/>
  <c r="AA27" i="33"/>
  <c r="AB27" i="33"/>
  <c r="G529" i="3"/>
  <c r="G521" i="3"/>
  <c r="G517" i="3"/>
  <c r="G508" i="3"/>
  <c r="G499" i="3"/>
  <c r="G493" i="3"/>
  <c r="G565" i="3"/>
  <c r="G561" i="3"/>
  <c r="G557" i="3"/>
  <c r="G549" i="3"/>
  <c r="G545" i="3"/>
  <c r="G539" i="3"/>
  <c r="BL557" i="3"/>
  <c r="BL519" i="3"/>
  <c r="BL555" i="3"/>
  <c r="G518" i="3"/>
  <c r="G514" i="3"/>
  <c r="G510" i="3"/>
  <c r="BA555" i="3"/>
  <c r="AZ555" i="3" s="1"/>
  <c r="BA505" i="3"/>
  <c r="BA487" i="3"/>
  <c r="BA566" i="3"/>
  <c r="BA520" i="3"/>
  <c r="BA502" i="3"/>
  <c r="BA498" i="3"/>
  <c r="BA20" i="3"/>
  <c r="G556" i="3"/>
  <c r="G550" i="3"/>
  <c r="G546" i="3"/>
  <c r="AC542" i="3"/>
  <c r="G542" i="3" s="1"/>
  <c r="BQ542" i="3"/>
  <c r="BL542" i="3" s="1"/>
  <c r="BQ568" i="3"/>
  <c r="BQ566" i="3"/>
  <c r="BQ564" i="3"/>
  <c r="BQ562" i="3"/>
  <c r="BQ560" i="3"/>
  <c r="BQ558" i="3"/>
  <c r="BL558" i="3"/>
  <c r="BQ556" i="3"/>
  <c r="BQ554" i="3"/>
  <c r="BQ552" i="3"/>
  <c r="BQ550" i="3"/>
  <c r="BQ548" i="3"/>
  <c r="BQ546" i="3"/>
  <c r="BQ544" i="3"/>
  <c r="G544" i="3"/>
  <c r="G538" i="3"/>
  <c r="G530" i="3"/>
  <c r="G522" i="3"/>
  <c r="BQ540" i="3"/>
  <c r="BQ538" i="3"/>
  <c r="BQ536" i="3"/>
  <c r="BQ534" i="3"/>
  <c r="BQ532" i="3"/>
  <c r="BQ530" i="3"/>
  <c r="BQ528" i="3"/>
  <c r="BQ526" i="3"/>
  <c r="BQ524" i="3"/>
  <c r="BQ522" i="3"/>
  <c r="BQ520" i="3"/>
  <c r="BL520" i="3" s="1"/>
  <c r="AZ520" i="3" s="1"/>
  <c r="BQ518" i="3"/>
  <c r="BQ516" i="3"/>
  <c r="BQ514" i="3"/>
  <c r="BQ512" i="3"/>
  <c r="BQ510" i="3"/>
  <c r="BQ508" i="3"/>
  <c r="BL508" i="3" s="1"/>
  <c r="AC506" i="3"/>
  <c r="G506" i="3" s="1"/>
  <c r="BQ506" i="3"/>
  <c r="G502" i="3"/>
  <c r="BQ504" i="3"/>
  <c r="BQ502" i="3"/>
  <c r="BQ500" i="3"/>
  <c r="BQ498" i="3"/>
  <c r="BQ496" i="3"/>
  <c r="AC494" i="3"/>
  <c r="BQ494" i="3"/>
  <c r="G484" i="3"/>
  <c r="BQ492" i="3"/>
  <c r="BQ490" i="3"/>
  <c r="BQ488" i="3"/>
  <c r="BL488" i="3" s="1"/>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c r="H43" i="33"/>
  <c r="U43" i="33" s="1"/>
  <c r="H17" i="37"/>
  <c r="U17" i="37"/>
  <c r="F23" i="37"/>
  <c r="F79" i="37"/>
  <c r="G79" i="37" s="1"/>
  <c r="AB27" i="37"/>
  <c r="F39" i="33"/>
  <c r="AA39" i="33" s="1"/>
  <c r="E123" i="33"/>
  <c r="F123" i="33" s="1"/>
  <c r="G123" i="33" s="1"/>
  <c r="H123" i="33" s="1"/>
  <c r="I123" i="33" s="1"/>
  <c r="J123" i="33" s="1"/>
  <c r="K123" i="33" s="1"/>
  <c r="L123" i="33" s="1"/>
  <c r="M123" i="33" s="1"/>
  <c r="F22" i="36"/>
  <c r="S22" i="36" s="1"/>
  <c r="H35" i="34"/>
  <c r="U35" i="34"/>
  <c r="F41" i="34"/>
  <c r="S41" i="34" s="1"/>
  <c r="H41" i="34"/>
  <c r="U41" i="34" s="1"/>
  <c r="J41" i="34"/>
  <c r="F10" i="35"/>
  <c r="AA10" i="35" s="1"/>
  <c r="F24" i="35"/>
  <c r="AA24" i="35" s="1"/>
  <c r="H24" i="35"/>
  <c r="AB24" i="35" s="1"/>
  <c r="H23" i="37"/>
  <c r="U23" i="37" s="1"/>
  <c r="AB23" i="37"/>
  <c r="J32" i="37"/>
  <c r="AC32" i="37"/>
  <c r="F36" i="37"/>
  <c r="F37" i="37"/>
  <c r="AA37" i="37" s="1"/>
  <c r="J43" i="33"/>
  <c r="AC43" i="33" s="1"/>
  <c r="J23" i="37"/>
  <c r="W23" i="37" s="1"/>
  <c r="F17" i="37"/>
  <c r="AA17" i="37"/>
  <c r="D3" i="21"/>
  <c r="W23" i="35"/>
  <c r="S27" i="37"/>
  <c r="U39" i="37"/>
  <c r="AC8" i="37"/>
  <c r="AB8" i="34"/>
  <c r="U19" i="21"/>
  <c r="AC33" i="21"/>
  <c r="AA36" i="21"/>
  <c r="AB44" i="33"/>
  <c r="I107" i="37"/>
  <c r="J107" i="37" s="1"/>
  <c r="K107" i="37" s="1"/>
  <c r="L107" i="37" s="1"/>
  <c r="M107" i="37" s="1"/>
  <c r="F37" i="21"/>
  <c r="S37" i="21" s="1"/>
  <c r="J37" i="21"/>
  <c r="W37" i="21" s="1"/>
  <c r="H19" i="34"/>
  <c r="AB19" i="34"/>
  <c r="J10" i="37"/>
  <c r="AC10" i="37" s="1"/>
  <c r="F36" i="35"/>
  <c r="S36" i="35" s="1"/>
  <c r="J9" i="37"/>
  <c r="W9" i="37" s="1"/>
  <c r="H9" i="37"/>
  <c r="U9" i="37" s="1"/>
  <c r="F9" i="37"/>
  <c r="S9" i="37" s="1"/>
  <c r="F11" i="37"/>
  <c r="J12" i="37"/>
  <c r="H15" i="37"/>
  <c r="U15" i="37"/>
  <c r="E94" i="37"/>
  <c r="F94" i="37" s="1"/>
  <c r="G94" i="37" s="1"/>
  <c r="H94" i="37" s="1"/>
  <c r="F31" i="37"/>
  <c r="S31" i="37" s="1"/>
  <c r="I94" i="37"/>
  <c r="J94" i="37" s="1"/>
  <c r="K94" i="37" s="1"/>
  <c r="L94" i="37" s="1"/>
  <c r="M94" i="37" s="1"/>
  <c r="H31" i="37"/>
  <c r="J15" i="37"/>
  <c r="W15" i="37"/>
  <c r="J11" i="37"/>
  <c r="E89" i="40"/>
  <c r="F89" i="40" s="1"/>
  <c r="G89" i="40" s="1"/>
  <c r="F21" i="40"/>
  <c r="S21" i="40" s="1"/>
  <c r="J21" i="40"/>
  <c r="AC21" i="40" s="1"/>
  <c r="S27" i="31"/>
  <c r="G515" i="3"/>
  <c r="G507" i="3"/>
  <c r="G501" i="3"/>
  <c r="BA15" i="3"/>
  <c r="AZ15" i="3" s="1"/>
  <c r="BL17" i="3"/>
  <c r="BL15" i="3"/>
  <c r="BA14" i="3"/>
  <c r="AZ14" i="3" s="1"/>
  <c r="J57" i="39"/>
  <c r="H13" i="40"/>
  <c r="U13" i="40" s="1"/>
  <c r="I4" i="4"/>
  <c r="K141" i="21"/>
  <c r="K143" i="21"/>
  <c r="K144" i="21"/>
  <c r="I58" i="40"/>
  <c r="C58" i="40" s="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AZ361" i="3" s="1"/>
  <c r="BL361" i="3"/>
  <c r="G362" i="3"/>
  <c r="BA363" i="3"/>
  <c r="AZ363" i="3" s="1"/>
  <c r="G371" i="3"/>
  <c r="BL372" i="3"/>
  <c r="G373" i="3"/>
  <c r="BL374" i="3"/>
  <c r="BA376" i="3"/>
  <c r="BA377" i="3"/>
  <c r="AZ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AZ154" i="3" s="1"/>
  <c r="G155" i="3"/>
  <c r="BA157" i="3"/>
  <c r="BL158" i="3"/>
  <c r="G159" i="3"/>
  <c r="BA161" i="3"/>
  <c r="BL162" i="3"/>
  <c r="G163" i="3"/>
  <c r="BA165" i="3"/>
  <c r="BL166" i="3"/>
  <c r="G167" i="3"/>
  <c r="BA169" i="3"/>
  <c r="AZ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BA298" i="3"/>
  <c r="AZ298" i="3" s="1"/>
  <c r="BA299" i="3"/>
  <c r="AZ299" i="3" s="1"/>
  <c r="BL299" i="3"/>
  <c r="G300" i="3"/>
  <c r="G303" i="3"/>
  <c r="BL304" i="3"/>
  <c r="BA306" i="3"/>
  <c r="BA307" i="3"/>
  <c r="BL307" i="3"/>
  <c r="G308" i="3"/>
  <c r="G319" i="3"/>
  <c r="BL320" i="3"/>
  <c r="BA322" i="3"/>
  <c r="BA323" i="3"/>
  <c r="AZ323" i="3" s="1"/>
  <c r="BL323" i="3"/>
  <c r="G324" i="3"/>
  <c r="G327" i="3"/>
  <c r="BL328" i="3"/>
  <c r="BA330" i="3"/>
  <c r="BA331" i="3"/>
  <c r="BL331" i="3"/>
  <c r="G332" i="3"/>
  <c r="G335" i="3"/>
  <c r="BL336" i="3"/>
  <c r="BA338" i="3"/>
  <c r="BA339" i="3"/>
  <c r="AZ339" i="3" s="1"/>
  <c r="BL339" i="3"/>
  <c r="G340" i="3"/>
  <c r="G343" i="3"/>
  <c r="BL344" i="3"/>
  <c r="BA346" i="3"/>
  <c r="BA347" i="3"/>
  <c r="AZ347" i="3" s="1"/>
  <c r="BL347" i="3"/>
  <c r="G348" i="3"/>
  <c r="G351" i="3"/>
  <c r="BL352" i="3"/>
  <c r="BA354" i="3"/>
  <c r="AZ354" i="3" s="1"/>
  <c r="BA355" i="3"/>
  <c r="BL355" i="3"/>
  <c r="G356" i="3"/>
  <c r="BA358" i="3"/>
  <c r="AZ358" i="3" s="1"/>
  <c r="BA359" i="3"/>
  <c r="BL359" i="3"/>
  <c r="G360" i="3"/>
  <c r="G361" i="3"/>
  <c r="BL362" i="3"/>
  <c r="BA364" i="3"/>
  <c r="BA365" i="3"/>
  <c r="AZ365" i="3" s="1"/>
  <c r="BL365" i="3"/>
  <c r="G366" i="3"/>
  <c r="G369" i="3"/>
  <c r="BL370" i="3"/>
  <c r="BA372" i="3"/>
  <c r="AZ372" i="3" s="1"/>
  <c r="BA373" i="3"/>
  <c r="AZ373" i="3" s="1"/>
  <c r="BL373" i="3"/>
  <c r="G374" i="3"/>
  <c r="G377" i="3"/>
  <c r="BL378" i="3"/>
  <c r="AZ378" i="3" s="1"/>
  <c r="BA380" i="3"/>
  <c r="BA381" i="3"/>
  <c r="AZ381" i="3" s="1"/>
  <c r="BL381" i="3"/>
  <c r="G382" i="3"/>
  <c r="G385" i="3"/>
  <c r="G523" i="3"/>
  <c r="BL297" i="3"/>
  <c r="G298" i="3"/>
  <c r="BA300" i="3"/>
  <c r="AZ300" i="3" s="1"/>
  <c r="BL301" i="3"/>
  <c r="G302" i="3"/>
  <c r="BA304" i="3"/>
  <c r="BL305" i="3"/>
  <c r="G306" i="3"/>
  <c r="BA308" i="3"/>
  <c r="BL309" i="3"/>
  <c r="G310" i="3"/>
  <c r="BA310" i="3"/>
  <c r="BL311" i="3"/>
  <c r="G312" i="3"/>
  <c r="BA312" i="3"/>
  <c r="BL313" i="3"/>
  <c r="G314" i="3"/>
  <c r="BA314" i="3"/>
  <c r="BL315" i="3"/>
  <c r="G316" i="3"/>
  <c r="BA316" i="3"/>
  <c r="BL317" i="3"/>
  <c r="G318" i="3"/>
  <c r="BA320" i="3"/>
  <c r="AZ320" i="3" s="1"/>
  <c r="BL321" i="3"/>
  <c r="G322" i="3"/>
  <c r="BA324" i="3"/>
  <c r="BL325" i="3"/>
  <c r="G326" i="3"/>
  <c r="BA328" i="3"/>
  <c r="BL329" i="3"/>
  <c r="G330" i="3"/>
  <c r="BA332" i="3"/>
  <c r="BL333" i="3"/>
  <c r="G334" i="3"/>
  <c r="BA336" i="3"/>
  <c r="BL337" i="3"/>
  <c r="G338" i="3"/>
  <c r="BA340" i="3"/>
  <c r="BL341" i="3"/>
  <c r="G342" i="3"/>
  <c r="BA344" i="3"/>
  <c r="BL345" i="3"/>
  <c r="G346" i="3"/>
  <c r="BA348" i="3"/>
  <c r="BL349" i="3"/>
  <c r="G350" i="3"/>
  <c r="BA352" i="3"/>
  <c r="AZ352" i="3" s="1"/>
  <c r="BL353" i="3"/>
  <c r="G354" i="3"/>
  <c r="BA356" i="3"/>
  <c r="AZ356" i="3" s="1"/>
  <c r="BL357" i="3"/>
  <c r="G358" i="3"/>
  <c r="BA362" i="3"/>
  <c r="BL363" i="3"/>
  <c r="G364" i="3"/>
  <c r="BA366" i="3"/>
  <c r="BL367" i="3"/>
  <c r="AZ353" i="3"/>
  <c r="G368" i="3"/>
  <c r="BA370" i="3"/>
  <c r="AZ370" i="3" s="1"/>
  <c r="BL371" i="3"/>
  <c r="G372" i="3"/>
  <c r="BA374" i="3"/>
  <c r="BL375" i="3"/>
  <c r="G376" i="3"/>
  <c r="BA378" i="3"/>
  <c r="BL379" i="3"/>
  <c r="G380" i="3"/>
  <c r="BA382" i="3"/>
  <c r="BL383" i="3"/>
  <c r="G384" i="3"/>
  <c r="F37" i="46"/>
  <c r="AB15" i="37"/>
  <c r="AA43" i="21"/>
  <c r="U43" i="21"/>
  <c r="AA13" i="40"/>
  <c r="F77" i="40"/>
  <c r="G77" i="40" s="1"/>
  <c r="H77" i="40"/>
  <c r="I77" i="40" s="1"/>
  <c r="J77" i="40" s="1"/>
  <c r="K77" i="40" s="1"/>
  <c r="L77" i="40" s="1"/>
  <c r="M77" i="40" s="1"/>
  <c r="R16" i="4"/>
  <c r="D3" i="35"/>
  <c r="G4" i="4"/>
  <c r="J16" i="35"/>
  <c r="W16" i="35" s="1"/>
  <c r="AC26" i="36"/>
  <c r="AA36" i="35"/>
  <c r="H11" i="37"/>
  <c r="AB11" i="37"/>
  <c r="W37" i="37"/>
  <c r="AB17" i="37"/>
  <c r="AC11" i="36"/>
  <c r="AC14" i="37"/>
  <c r="AB35" i="35"/>
  <c r="W44" i="33"/>
  <c r="W30" i="33"/>
  <c r="AC29" i="37"/>
  <c r="J33" i="34"/>
  <c r="AC33" i="34" s="1"/>
  <c r="AB36" i="34"/>
  <c r="J40" i="34"/>
  <c r="F16" i="35"/>
  <c r="J35" i="34"/>
  <c r="I107" i="34"/>
  <c r="J107" i="34" s="1"/>
  <c r="K107" i="34" s="1"/>
  <c r="L107" i="34" s="1"/>
  <c r="M107" i="34" s="1"/>
  <c r="S30" i="36"/>
  <c r="H16" i="36"/>
  <c r="AB16" i="36" s="1"/>
  <c r="H35" i="37"/>
  <c r="AB35" i="37"/>
  <c r="S26" i="21"/>
  <c r="H32" i="21"/>
  <c r="U32" i="21" s="1"/>
  <c r="AB26" i="21"/>
  <c r="U26" i="21"/>
  <c r="S33" i="21"/>
  <c r="U39" i="21"/>
  <c r="J32" i="21"/>
  <c r="AC32" i="21" s="1"/>
  <c r="F17" i="21"/>
  <c r="H17" i="21"/>
  <c r="AB17" i="21" s="1"/>
  <c r="J17" i="21"/>
  <c r="AC17" i="21" s="1"/>
  <c r="H37" i="21"/>
  <c r="U37" i="21" s="1"/>
  <c r="F40" i="21"/>
  <c r="S40" i="21" s="1"/>
  <c r="H40" i="21"/>
  <c r="AB40" i="21" s="1"/>
  <c r="H119" i="21"/>
  <c r="I119" i="21" s="1"/>
  <c r="J119" i="21" s="1"/>
  <c r="K119" i="21" s="1"/>
  <c r="L119" i="21" s="1"/>
  <c r="M119" i="21" s="1"/>
  <c r="AA8" i="33"/>
  <c r="AC8" i="33"/>
  <c r="F10" i="33"/>
  <c r="AA10" i="33" s="1"/>
  <c r="F32" i="33"/>
  <c r="AA32" i="33"/>
  <c r="J32" i="33"/>
  <c r="AC32" i="33" s="1"/>
  <c r="F35" i="33"/>
  <c r="AA35" i="33" s="1"/>
  <c r="F11" i="34"/>
  <c r="S11" i="34"/>
  <c r="E80" i="34"/>
  <c r="F80" i="34" s="1"/>
  <c r="H17" i="34"/>
  <c r="AB28" i="35"/>
  <c r="U28" i="35"/>
  <c r="H29" i="33"/>
  <c r="AB29" i="33" s="1"/>
  <c r="F29" i="33"/>
  <c r="J12" i="34"/>
  <c r="AC12" i="34"/>
  <c r="H12" i="34"/>
  <c r="AB12" i="34"/>
  <c r="F12" i="34"/>
  <c r="J14" i="34"/>
  <c r="W14" i="34" s="1"/>
  <c r="F14" i="34"/>
  <c r="S14" i="34" s="1"/>
  <c r="H14" i="34"/>
  <c r="AB14" i="34" s="1"/>
  <c r="H30" i="34"/>
  <c r="F30" i="34"/>
  <c r="S30" i="34" s="1"/>
  <c r="W30" i="34"/>
  <c r="H32" i="34"/>
  <c r="AB32" i="34" s="1"/>
  <c r="W32" i="34"/>
  <c r="H46" i="34"/>
  <c r="AB46" i="34"/>
  <c r="F46" i="34"/>
  <c r="S46" i="34" s="1"/>
  <c r="AA46" i="34"/>
  <c r="J46" i="34"/>
  <c r="AC46" i="34" s="1"/>
  <c r="H11" i="35"/>
  <c r="U11" i="35" s="1"/>
  <c r="J11" i="35"/>
  <c r="AC11" i="35" s="1"/>
  <c r="F96" i="37"/>
  <c r="G96" i="37" s="1"/>
  <c r="H32" i="37"/>
  <c r="AB32" i="37" s="1"/>
  <c r="U31" i="34"/>
  <c r="AC40" i="37"/>
  <c r="W27" i="33"/>
  <c r="AC45" i="21"/>
  <c r="S14" i="21"/>
  <c r="AA44" i="34"/>
  <c r="AA35" i="37"/>
  <c r="AA32" i="21"/>
  <c r="S32" i="21"/>
  <c r="U38" i="21"/>
  <c r="F42" i="21"/>
  <c r="AA42" i="21" s="1"/>
  <c r="AB40" i="33"/>
  <c r="U40" i="33"/>
  <c r="AA35" i="34"/>
  <c r="S35" i="34"/>
  <c r="AB27" i="34"/>
  <c r="AB8" i="35"/>
  <c r="U8" i="35"/>
  <c r="S9" i="35"/>
  <c r="J14" i="35"/>
  <c r="AC14" i="35"/>
  <c r="F14" i="35"/>
  <c r="AA14" i="35" s="1"/>
  <c r="H14" i="35"/>
  <c r="U14" i="35" s="1"/>
  <c r="E80" i="35"/>
  <c r="F80" i="35" s="1"/>
  <c r="E94" i="35"/>
  <c r="F94" i="35" s="1"/>
  <c r="G94" i="35" s="1"/>
  <c r="H94" i="35"/>
  <c r="I94" i="35" s="1"/>
  <c r="J94" i="35" s="1"/>
  <c r="K94" i="35" s="1"/>
  <c r="L94" i="35" s="1"/>
  <c r="M94" i="35" s="1"/>
  <c r="J32" i="35"/>
  <c r="AC32" i="35" s="1"/>
  <c r="H11" i="36"/>
  <c r="AB11" i="36" s="1"/>
  <c r="F11" i="36"/>
  <c r="S11" i="36"/>
  <c r="W16" i="36"/>
  <c r="AC16" i="36"/>
  <c r="E78" i="36"/>
  <c r="F78" i="36" s="1"/>
  <c r="G78" i="36"/>
  <c r="H78" i="36" s="1"/>
  <c r="I78" i="36" s="1"/>
  <c r="J78" i="36" s="1"/>
  <c r="K78" i="36" s="1"/>
  <c r="L78" i="36" s="1"/>
  <c r="M78" i="36" s="1"/>
  <c r="F26" i="36"/>
  <c r="S26" i="36" s="1"/>
  <c r="U34" i="36"/>
  <c r="H33" i="36"/>
  <c r="F33" i="36"/>
  <c r="AA33" i="36" s="1"/>
  <c r="H27" i="36"/>
  <c r="AB27" i="36" s="1"/>
  <c r="AA31" i="36"/>
  <c r="AB29" i="37"/>
  <c r="AA30" i="37"/>
  <c r="S30" i="37"/>
  <c r="AC30" i="37"/>
  <c r="AC31" i="37"/>
  <c r="W31" i="37"/>
  <c r="AB14" i="37"/>
  <c r="F17" i="39"/>
  <c r="H17" i="39"/>
  <c r="U17" i="39" s="1"/>
  <c r="J17" i="39"/>
  <c r="F21" i="39"/>
  <c r="H21" i="39"/>
  <c r="AB21" i="39" s="1"/>
  <c r="J21" i="39"/>
  <c r="W21" i="39"/>
  <c r="F33" i="39"/>
  <c r="H33" i="39"/>
  <c r="U33" i="39" s="1"/>
  <c r="J33" i="39"/>
  <c r="E127" i="39"/>
  <c r="F127" i="39" s="1"/>
  <c r="G127" i="39" s="1"/>
  <c r="H127" i="39" s="1"/>
  <c r="I127" i="39" s="1"/>
  <c r="J127" i="39" s="1"/>
  <c r="K127" i="39" s="1"/>
  <c r="L127" i="39" s="1"/>
  <c r="M127" i="39" s="1"/>
  <c r="F46" i="39"/>
  <c r="S46" i="39" s="1"/>
  <c r="H46" i="39"/>
  <c r="F29" i="39"/>
  <c r="AA29" i="39" s="1"/>
  <c r="E102" i="39"/>
  <c r="F102" i="39" s="1"/>
  <c r="G102" i="39" s="1"/>
  <c r="H29" i="39"/>
  <c r="U29" i="39" s="1"/>
  <c r="F34" i="39"/>
  <c r="AA34" i="39" s="1"/>
  <c r="H34" i="39"/>
  <c r="AB34" i="39" s="1"/>
  <c r="J34" i="39"/>
  <c r="AC34" i="39" s="1"/>
  <c r="F39" i="39"/>
  <c r="AA39" i="39" s="1"/>
  <c r="H39" i="39"/>
  <c r="AB39" i="39" s="1"/>
  <c r="J39" i="39"/>
  <c r="AC39" i="39" s="1"/>
  <c r="J29" i="35"/>
  <c r="AC29" i="35"/>
  <c r="F29" i="35"/>
  <c r="S29" i="35" s="1"/>
  <c r="W30" i="36"/>
  <c r="AC30" i="36"/>
  <c r="F37" i="39"/>
  <c r="S37" i="39" s="1"/>
  <c r="H37" i="39"/>
  <c r="U37" i="39" s="1"/>
  <c r="J37" i="39"/>
  <c r="W37" i="39" s="1"/>
  <c r="BL568" i="3"/>
  <c r="BL566" i="3"/>
  <c r="AZ566" i="3" s="1"/>
  <c r="BA564" i="3"/>
  <c r="BA553" i="3"/>
  <c r="BA537" i="3"/>
  <c r="BA523" i="3"/>
  <c r="BL521" i="3"/>
  <c r="BA514" i="3"/>
  <c r="BL513" i="3"/>
  <c r="BA510" i="3"/>
  <c r="BA507" i="3"/>
  <c r="BA504" i="3"/>
  <c r="BL497" i="3"/>
  <c r="BA496" i="3"/>
  <c r="BA495" i="3"/>
  <c r="G494" i="3"/>
  <c r="BL489" i="3"/>
  <c r="BA489" i="3"/>
  <c r="AZ489" i="3" s="1"/>
  <c r="BL19" i="3"/>
  <c r="H38" i="34"/>
  <c r="H30" i="40"/>
  <c r="G99" i="40"/>
  <c r="J30" i="40"/>
  <c r="AC30" i="40"/>
  <c r="F38" i="40"/>
  <c r="AA36" i="34"/>
  <c r="AB33" i="21"/>
  <c r="AB10" i="21"/>
  <c r="U8" i="21"/>
  <c r="AB8" i="21"/>
  <c r="S34" i="21"/>
  <c r="AC36" i="21"/>
  <c r="U8" i="33"/>
  <c r="H34" i="33"/>
  <c r="U34" i="33" s="1"/>
  <c r="F34" i="33"/>
  <c r="S34" i="33" s="1"/>
  <c r="E121" i="33"/>
  <c r="F121" i="33" s="1"/>
  <c r="G121" i="33" s="1"/>
  <c r="H121" i="33" s="1"/>
  <c r="I121" i="33" s="1"/>
  <c r="J121" i="33" s="1"/>
  <c r="K121" i="33" s="1"/>
  <c r="L121" i="33" s="1"/>
  <c r="M121" i="33" s="1"/>
  <c r="F41" i="33"/>
  <c r="S41" i="33"/>
  <c r="AC34" i="34"/>
  <c r="W34" i="34"/>
  <c r="AA39" i="34"/>
  <c r="S39" i="34"/>
  <c r="S43" i="34"/>
  <c r="E78" i="34"/>
  <c r="F78" i="34" s="1"/>
  <c r="G78" i="34" s="1"/>
  <c r="F15" i="34"/>
  <c r="AC28" i="35"/>
  <c r="W28" i="35"/>
  <c r="J20" i="35"/>
  <c r="F72" i="35"/>
  <c r="G72" i="35" s="1"/>
  <c r="H22" i="35"/>
  <c r="AB22" i="35" s="1"/>
  <c r="H23" i="35"/>
  <c r="U23" i="35" s="1"/>
  <c r="F23" i="35"/>
  <c r="AA23" i="35"/>
  <c r="U31" i="36"/>
  <c r="S8" i="37"/>
  <c r="AA8" i="37"/>
  <c r="F14" i="39"/>
  <c r="AA14" i="39" s="1"/>
  <c r="H14" i="39"/>
  <c r="AB14" i="39"/>
  <c r="J14" i="39"/>
  <c r="AC14" i="39"/>
  <c r="H16" i="39"/>
  <c r="U16" i="39" s="1"/>
  <c r="E96" i="39"/>
  <c r="H23" i="39" s="1"/>
  <c r="AB23" i="39" s="1"/>
  <c r="F15" i="40"/>
  <c r="J15" i="40"/>
  <c r="AC15" i="40" s="1"/>
  <c r="H15" i="40"/>
  <c r="AB15" i="40" s="1"/>
  <c r="E91" i="40"/>
  <c r="F91" i="40" s="1"/>
  <c r="G91" i="40" s="1"/>
  <c r="H23" i="40"/>
  <c r="U23" i="40" s="1"/>
  <c r="H41" i="40"/>
  <c r="F41" i="40"/>
  <c r="AA41" i="40" s="1"/>
  <c r="H36" i="33"/>
  <c r="AB36" i="33" s="1"/>
  <c r="H37" i="34"/>
  <c r="F15" i="39"/>
  <c r="H15" i="39"/>
  <c r="J15" i="39"/>
  <c r="AC15" i="39"/>
  <c r="H25" i="39"/>
  <c r="U25" i="39" s="1"/>
  <c r="J25" i="39"/>
  <c r="AC25" i="39" s="1"/>
  <c r="F25" i="39"/>
  <c r="AA25" i="39" s="1"/>
  <c r="F45" i="39"/>
  <c r="H45" i="39"/>
  <c r="U45" i="39" s="1"/>
  <c r="J45" i="39"/>
  <c r="H47" i="39"/>
  <c r="AB47" i="39" s="1"/>
  <c r="F41" i="39"/>
  <c r="AA41" i="39" s="1"/>
  <c r="H41" i="39"/>
  <c r="AB41" i="39" s="1"/>
  <c r="J41" i="39"/>
  <c r="AC41" i="39" s="1"/>
  <c r="J25" i="40"/>
  <c r="AC25" i="40" s="1"/>
  <c r="J32" i="40"/>
  <c r="H32" i="40"/>
  <c r="U32" i="40" s="1"/>
  <c r="H33" i="40"/>
  <c r="AB33" i="40" s="1"/>
  <c r="F33" i="40"/>
  <c r="AA33" i="40" s="1"/>
  <c r="J33" i="40"/>
  <c r="AC33" i="40" s="1"/>
  <c r="H35" i="40"/>
  <c r="AB35" i="40" s="1"/>
  <c r="F35" i="40"/>
  <c r="AA35" i="40" s="1"/>
  <c r="J35" i="40"/>
  <c r="AC35" i="40" s="1"/>
  <c r="J38" i="39"/>
  <c r="W38" i="39" s="1"/>
  <c r="H38" i="39"/>
  <c r="U38" i="39"/>
  <c r="J14" i="40"/>
  <c r="H42" i="40"/>
  <c r="H40" i="40"/>
  <c r="U40" i="40" s="1"/>
  <c r="H34" i="40"/>
  <c r="U34" i="40" s="1"/>
  <c r="B41" i="1"/>
  <c r="J40" i="40"/>
  <c r="AC40" i="40"/>
  <c r="J34" i="40"/>
  <c r="AC34" i="40" s="1"/>
  <c r="H16" i="40"/>
  <c r="H14" i="40"/>
  <c r="U14" i="40" s="1"/>
  <c r="F32" i="40"/>
  <c r="AA32" i="40" s="1"/>
  <c r="F61" i="46"/>
  <c r="H61" i="46" s="1"/>
  <c r="F72" i="46"/>
  <c r="J13" i="40"/>
  <c r="AC13" i="40" s="1"/>
  <c r="AB14" i="40"/>
  <c r="W40" i="40"/>
  <c r="S33" i="40"/>
  <c r="U37" i="34"/>
  <c r="AB37" i="34"/>
  <c r="AC41" i="40"/>
  <c r="W41" i="40"/>
  <c r="J23" i="40"/>
  <c r="F23" i="40"/>
  <c r="S23" i="40" s="1"/>
  <c r="W14" i="39"/>
  <c r="AB23" i="35"/>
  <c r="H20" i="35"/>
  <c r="AB20" i="35" s="1"/>
  <c r="F20" i="35"/>
  <c r="AA20" i="35" s="1"/>
  <c r="H15" i="34"/>
  <c r="J15" i="34"/>
  <c r="W15" i="34" s="1"/>
  <c r="H41" i="33"/>
  <c r="U41" i="33" s="1"/>
  <c r="F30" i="40"/>
  <c r="H99" i="40"/>
  <c r="I99" i="40" s="1"/>
  <c r="J99" i="40" s="1"/>
  <c r="K99" i="40" s="1"/>
  <c r="L99" i="40" s="1"/>
  <c r="M99" i="40" s="1"/>
  <c r="AB37" i="39"/>
  <c r="AA29" i="35"/>
  <c r="U39" i="39"/>
  <c r="J29" i="39"/>
  <c r="AB17" i="39"/>
  <c r="AA11" i="36"/>
  <c r="F33" i="37"/>
  <c r="U46" i="34"/>
  <c r="AC30" i="34"/>
  <c r="AA14" i="34"/>
  <c r="W12" i="34"/>
  <c r="U29" i="33"/>
  <c r="AA11" i="34"/>
  <c r="AA40" i="21"/>
  <c r="U17" i="21"/>
  <c r="AB34" i="40"/>
  <c r="H25" i="40"/>
  <c r="G93" i="40"/>
  <c r="W15" i="39"/>
  <c r="J37" i="34"/>
  <c r="J36" i="33"/>
  <c r="W36" i="33" s="1"/>
  <c r="S41" i="40"/>
  <c r="AB23" i="40"/>
  <c r="S15" i="34"/>
  <c r="AA15" i="34"/>
  <c r="AA41" i="33"/>
  <c r="J34" i="33"/>
  <c r="AC34" i="33" s="1"/>
  <c r="AA37" i="39"/>
  <c r="W29" i="35"/>
  <c r="W39" i="39"/>
  <c r="S39" i="39"/>
  <c r="AC33" i="39"/>
  <c r="W33" i="39"/>
  <c r="AA33" i="39"/>
  <c r="S33" i="39"/>
  <c r="G80" i="35"/>
  <c r="H80" i="35" s="1"/>
  <c r="I80" i="35" s="1"/>
  <c r="J80" i="35" s="1"/>
  <c r="K80" i="35" s="1"/>
  <c r="L80" i="35" s="1"/>
  <c r="M80" i="35" s="1"/>
  <c r="W14" i="35"/>
  <c r="F90" i="34"/>
  <c r="G90" i="34" s="1"/>
  <c r="H90" i="34" s="1"/>
  <c r="I90" i="34" s="1"/>
  <c r="J90" i="34" s="1"/>
  <c r="K90" i="34" s="1"/>
  <c r="L90" i="34" s="1"/>
  <c r="M90" i="34" s="1"/>
  <c r="F27" i="34"/>
  <c r="H96" i="37"/>
  <c r="I96" i="37" s="1"/>
  <c r="J96" i="37" s="1"/>
  <c r="K96" i="37" s="1"/>
  <c r="L96" i="37" s="1"/>
  <c r="M96" i="37" s="1"/>
  <c r="F32" i="37"/>
  <c r="U32" i="34"/>
  <c r="U14" i="34"/>
  <c r="AC14" i="34"/>
  <c r="U12" i="34"/>
  <c r="G80" i="34"/>
  <c r="F17" i="34"/>
  <c r="J17" i="34"/>
  <c r="H11" i="34"/>
  <c r="AB11" i="34" s="1"/>
  <c r="J35" i="33"/>
  <c r="W35" i="33" s="1"/>
  <c r="S32" i="33"/>
  <c r="H11" i="33"/>
  <c r="U11" i="33" s="1"/>
  <c r="H10" i="33"/>
  <c r="U10" i="33" s="1"/>
  <c r="J10" i="33"/>
  <c r="W10" i="33" s="1"/>
  <c r="U40" i="21"/>
  <c r="U11" i="37"/>
  <c r="AC16" i="35"/>
  <c r="J11" i="34"/>
  <c r="F25" i="40"/>
  <c r="AA25" i="40" s="1"/>
  <c r="J11" i="33"/>
  <c r="W11" i="33" s="1"/>
  <c r="H33" i="37"/>
  <c r="U33" i="37" s="1"/>
  <c r="AB33" i="37"/>
  <c r="AC15" i="34"/>
  <c r="U20" i="35"/>
  <c r="B11" i="1"/>
  <c r="E11" i="1" s="1"/>
  <c r="K11" i="1"/>
  <c r="M11" i="1" s="1"/>
  <c r="B9" i="1"/>
  <c r="E9" i="1" s="1"/>
  <c r="K9" i="1"/>
  <c r="M9" i="1" s="1"/>
  <c r="B7" i="1"/>
  <c r="E7" i="1" s="1"/>
  <c r="K7" i="1"/>
  <c r="M7" i="1" s="1"/>
  <c r="AP6" i="1"/>
  <c r="AC25" i="36"/>
  <c r="S8" i="36"/>
  <c r="AA26" i="36"/>
  <c r="AA28" i="36"/>
  <c r="U25" i="36"/>
  <c r="H20" i="36"/>
  <c r="U20" i="36"/>
  <c r="G68" i="36"/>
  <c r="J20" i="36"/>
  <c r="AC20" i="36" s="1"/>
  <c r="F20" i="36"/>
  <c r="AA20" i="36" s="1"/>
  <c r="S20" i="36"/>
  <c r="F62" i="36"/>
  <c r="G62" i="36"/>
  <c r="J14" i="36"/>
  <c r="H14" i="36"/>
  <c r="F14" i="36"/>
  <c r="AA14" i="36" s="1"/>
  <c r="U32" i="36"/>
  <c r="AB12" i="36"/>
  <c r="U9" i="36"/>
  <c r="S33" i="36"/>
  <c r="AA27" i="36"/>
  <c r="S29" i="36"/>
  <c r="AC33" i="35"/>
  <c r="U22" i="35"/>
  <c r="S8" i="35"/>
  <c r="S23" i="35"/>
  <c r="AB14" i="35"/>
  <c r="AC18" i="35"/>
  <c r="W18" i="35"/>
  <c r="U18" i="35"/>
  <c r="AB18" i="35"/>
  <c r="AA35" i="35"/>
  <c r="AB30" i="35"/>
  <c r="S27" i="35"/>
  <c r="S28" i="35"/>
  <c r="F26" i="35"/>
  <c r="S26" i="35" s="1"/>
  <c r="H26" i="35"/>
  <c r="AB26" i="35" s="1"/>
  <c r="AB9" i="37"/>
  <c r="S17" i="37"/>
  <c r="AA31" i="37"/>
  <c r="S33" i="37"/>
  <c r="AA33" i="37"/>
  <c r="U32" i="37"/>
  <c r="J33" i="37"/>
  <c r="W33" i="37"/>
  <c r="S29" i="37"/>
  <c r="J19" i="37"/>
  <c r="F19" i="37"/>
  <c r="AA19" i="37" s="1"/>
  <c r="H19" i="37"/>
  <c r="U19" i="37" s="1"/>
  <c r="J17" i="37"/>
  <c r="S15" i="37"/>
  <c r="AC21" i="37"/>
  <c r="W21" i="37"/>
  <c r="AC9" i="37"/>
  <c r="W32" i="37"/>
  <c r="U35" i="37"/>
  <c r="U8" i="37"/>
  <c r="AB21" i="37"/>
  <c r="U21" i="37"/>
  <c r="S37" i="37"/>
  <c r="S40" i="37"/>
  <c r="W46" i="34"/>
  <c r="AC45" i="34"/>
  <c r="AA40" i="34"/>
  <c r="W33" i="34"/>
  <c r="AB33" i="34"/>
  <c r="AA30" i="34"/>
  <c r="AC32" i="34"/>
  <c r="AA33" i="34"/>
  <c r="U44" i="34"/>
  <c r="U34" i="34"/>
  <c r="J25" i="34"/>
  <c r="AC25" i="34" s="1"/>
  <c r="H25" i="34"/>
  <c r="AB25" i="34" s="1"/>
  <c r="F25" i="34"/>
  <c r="AA25" i="34" s="1"/>
  <c r="J23" i="34"/>
  <c r="AC23" i="34" s="1"/>
  <c r="F86" i="34"/>
  <c r="G86" i="34"/>
  <c r="F23" i="34"/>
  <c r="H23" i="34"/>
  <c r="AB23" i="34" s="1"/>
  <c r="U11" i="34"/>
  <c r="W44" i="34"/>
  <c r="AC21" i="34"/>
  <c r="W21" i="34"/>
  <c r="AB21" i="34"/>
  <c r="U21" i="34"/>
  <c r="U27" i="34"/>
  <c r="U19" i="34"/>
  <c r="AB41" i="34"/>
  <c r="S13" i="34"/>
  <c r="AA41" i="34"/>
  <c r="S9" i="34"/>
  <c r="U46" i="33"/>
  <c r="H25" i="33"/>
  <c r="AB25" i="33" s="1"/>
  <c r="J25" i="33"/>
  <c r="W25" i="33" s="1"/>
  <c r="F87" i="33"/>
  <c r="G87" i="33"/>
  <c r="H87" i="33" s="1"/>
  <c r="I87" i="33" s="1"/>
  <c r="J87" i="33" s="1"/>
  <c r="K87" i="33" s="1"/>
  <c r="L87" i="33" s="1"/>
  <c r="M87" i="33" s="1"/>
  <c r="F25" i="33"/>
  <c r="S25" i="33" s="1"/>
  <c r="S14" i="33"/>
  <c r="AC21" i="33"/>
  <c r="W21" i="33"/>
  <c r="W14" i="33"/>
  <c r="AB21" i="33"/>
  <c r="U21" i="33"/>
  <c r="AA21" i="33"/>
  <c r="S21" i="33"/>
  <c r="AA44" i="33"/>
  <c r="AA36" i="33"/>
  <c r="W39" i="21"/>
  <c r="AC34" i="21"/>
  <c r="W32" i="21"/>
  <c r="U35" i="21"/>
  <c r="W43" i="21"/>
  <c r="AA37" i="21"/>
  <c r="S42" i="21"/>
  <c r="AB37" i="21"/>
  <c r="AB32" i="21"/>
  <c r="AC46" i="21"/>
  <c r="AC26" i="21"/>
  <c r="G85" i="21"/>
  <c r="J23" i="21"/>
  <c r="W23" i="21" s="1"/>
  <c r="F23" i="21"/>
  <c r="S23" i="21" s="1"/>
  <c r="H23" i="21"/>
  <c r="AB23" i="21" s="1"/>
  <c r="W17" i="21"/>
  <c r="F15" i="21"/>
  <c r="AA15" i="21" s="1"/>
  <c r="S15" i="21"/>
  <c r="J15" i="21"/>
  <c r="AC15" i="21" s="1"/>
  <c r="H15" i="21"/>
  <c r="U15" i="21" s="1"/>
  <c r="AB11" i="21"/>
  <c r="W13" i="21"/>
  <c r="AA11" i="21"/>
  <c r="AC21" i="21"/>
  <c r="W21" i="21"/>
  <c r="W10" i="21"/>
  <c r="AC38" i="21"/>
  <c r="AB21" i="21"/>
  <c r="U21" i="21"/>
  <c r="AA30" i="21"/>
  <c r="AA31" i="21"/>
  <c r="W33" i="40"/>
  <c r="S35" i="40"/>
  <c r="U15" i="40"/>
  <c r="S14" i="40"/>
  <c r="AB13" i="40"/>
  <c r="W11" i="40"/>
  <c r="AA21" i="40"/>
  <c r="U21" i="40"/>
  <c r="W25" i="40"/>
  <c r="U35" i="40"/>
  <c r="F37" i="40"/>
  <c r="S37" i="40" s="1"/>
  <c r="J37" i="40"/>
  <c r="AC37" i="40" s="1"/>
  <c r="H37" i="40"/>
  <c r="AB37" i="40" s="1"/>
  <c r="G112" i="40"/>
  <c r="H112" i="40"/>
  <c r="I112" i="40" s="1"/>
  <c r="J112" i="40" s="1"/>
  <c r="K112" i="40" s="1"/>
  <c r="L112" i="40" s="1"/>
  <c r="M112" i="40" s="1"/>
  <c r="F39" i="40"/>
  <c r="AA39" i="40" s="1"/>
  <c r="H39" i="40"/>
  <c r="AB39" i="40" s="1"/>
  <c r="J39" i="40"/>
  <c r="AC39" i="40" s="1"/>
  <c r="W38" i="40"/>
  <c r="F29" i="40"/>
  <c r="S29" i="40" s="1"/>
  <c r="H29" i="40"/>
  <c r="AB29" i="40" s="1"/>
  <c r="J29" i="40"/>
  <c r="F97" i="40"/>
  <c r="G97" i="40" s="1"/>
  <c r="H97" i="40" s="1"/>
  <c r="I97" i="40" s="1"/>
  <c r="J97" i="40" s="1"/>
  <c r="K97" i="40" s="1"/>
  <c r="L97" i="40" s="1"/>
  <c r="M97" i="40" s="1"/>
  <c r="AA23" i="40"/>
  <c r="G87" i="40"/>
  <c r="F19" i="40"/>
  <c r="S19" i="40" s="1"/>
  <c r="H19" i="40"/>
  <c r="AB19" i="40" s="1"/>
  <c r="J19" i="40"/>
  <c r="W19" i="40" s="1"/>
  <c r="W17" i="40"/>
  <c r="AC17" i="40"/>
  <c r="F17" i="40"/>
  <c r="AA17" i="40" s="1"/>
  <c r="H17" i="40"/>
  <c r="U17" i="40" s="1"/>
  <c r="W21" i="40"/>
  <c r="AB40" i="40"/>
  <c r="U10" i="40"/>
  <c r="U27" i="40"/>
  <c r="AB27" i="40"/>
  <c r="S11" i="39"/>
  <c r="AB45" i="39"/>
  <c r="AC38" i="39"/>
  <c r="AC21" i="39"/>
  <c r="S14" i="39"/>
  <c r="U11" i="39"/>
  <c r="AB38" i="39"/>
  <c r="U31" i="39"/>
  <c r="AB31" i="39"/>
  <c r="S38" i="39"/>
  <c r="D18" i="9"/>
  <c r="M44" i="9" s="1"/>
  <c r="M43" i="9"/>
  <c r="D96" i="9"/>
  <c r="A18" i="64"/>
  <c r="B74" i="63"/>
  <c r="C53" i="10"/>
  <c r="A25" i="64" s="1"/>
  <c r="A18" i="51"/>
  <c r="B14" i="63" s="1"/>
  <c r="BA16" i="3"/>
  <c r="AZ16" i="3" s="1"/>
  <c r="BA17" i="3"/>
  <c r="AZ17" i="3" s="1"/>
  <c r="F3" i="35"/>
  <c r="K1" i="43"/>
  <c r="K1" i="12"/>
  <c r="G1" i="44"/>
  <c r="I4" i="6"/>
  <c r="G3" i="46" s="1"/>
  <c r="Z7" i="46" s="1"/>
  <c r="BL16" i="3"/>
  <c r="G28" i="12"/>
  <c r="D24" i="44"/>
  <c r="D26" i="44"/>
  <c r="F50" i="46"/>
  <c r="H52" i="46" s="1"/>
  <c r="M5" i="46"/>
  <c r="C6" i="46" s="1"/>
  <c r="I5" i="48"/>
  <c r="K21" i="46"/>
  <c r="F42" i="46"/>
  <c r="D74" i="46"/>
  <c r="D87" i="46"/>
  <c r="D72" i="46"/>
  <c r="A4" i="51"/>
  <c r="B6" i="63" s="1"/>
  <c r="H83" i="46"/>
  <c r="H87" i="46"/>
  <c r="W11" i="35"/>
  <c r="AA11" i="35"/>
  <c r="S13" i="21"/>
  <c r="C24" i="9"/>
  <c r="C25" i="9"/>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K6" i="1"/>
  <c r="G1" i="15"/>
  <c r="F66" i="36"/>
  <c r="G66" i="36" s="1"/>
  <c r="H18" i="36"/>
  <c r="U18" i="36" s="1"/>
  <c r="U16" i="36"/>
  <c r="AA34" i="36"/>
  <c r="AC27" i="36"/>
  <c r="W28" i="36"/>
  <c r="AA32" i="36"/>
  <c r="U13" i="36"/>
  <c r="AA22" i="36"/>
  <c r="W29" i="36"/>
  <c r="W9" i="36"/>
  <c r="S9" i="36"/>
  <c r="W8" i="36"/>
  <c r="U24" i="35"/>
  <c r="W32" i="35"/>
  <c r="S24" i="35"/>
  <c r="AA33" i="35"/>
  <c r="U32" i="35"/>
  <c r="W22" i="35"/>
  <c r="S32" i="35"/>
  <c r="W35" i="37"/>
  <c r="AC33" i="37"/>
  <c r="AC15" i="37"/>
  <c r="W38" i="37"/>
  <c r="AB28" i="37"/>
  <c r="W13" i="37"/>
  <c r="U38" i="37"/>
  <c r="S26" i="37"/>
  <c r="AB35" i="34"/>
  <c r="AB13" i="34"/>
  <c r="AC13" i="34"/>
  <c r="S47" i="34"/>
  <c r="AA29" i="34"/>
  <c r="S19" i="34"/>
  <c r="S8" i="34"/>
  <c r="AC25" i="33"/>
  <c r="S43" i="33"/>
  <c r="AB14" i="33"/>
  <c r="S26" i="33"/>
  <c r="AB12" i="33"/>
  <c r="S39" i="21"/>
  <c r="AB25" i="21"/>
  <c r="AB45" i="21"/>
  <c r="W25" i="21"/>
  <c r="AA25" i="21"/>
  <c r="AC37" i="21"/>
  <c r="U27" i="21"/>
  <c r="W31" i="21"/>
  <c r="AC27" i="21"/>
  <c r="G95" i="40"/>
  <c r="J27" i="40"/>
  <c r="W27" i="40" s="1"/>
  <c r="W37" i="40"/>
  <c r="W30" i="40"/>
  <c r="U38" i="40"/>
  <c r="S40" i="40"/>
  <c r="G104" i="39"/>
  <c r="J31" i="39"/>
  <c r="W31" i="39" s="1"/>
  <c r="AB33" i="39"/>
  <c r="AC46" i="39"/>
  <c r="S34" i="39"/>
  <c r="W42" i="39"/>
  <c r="W36" i="39"/>
  <c r="AC37" i="39"/>
  <c r="U14" i="39"/>
  <c r="AA46" i="39"/>
  <c r="W10" i="39"/>
  <c r="W11" i="39"/>
  <c r="U42" i="39"/>
  <c r="C27" i="39"/>
  <c r="C17" i="39"/>
  <c r="C19" i="39"/>
  <c r="C21" i="39"/>
  <c r="C23" i="40"/>
  <c r="B51" i="46"/>
  <c r="B54" i="46"/>
  <c r="B58" i="46"/>
  <c r="B65" i="46"/>
  <c r="B69" i="46"/>
  <c r="B56" i="46"/>
  <c r="B67" i="46"/>
  <c r="D24" i="15"/>
  <c r="AB20" i="36"/>
  <c r="AC14" i="36"/>
  <c r="W14" i="36"/>
  <c r="U14" i="36"/>
  <c r="AB14" i="36"/>
  <c r="AB18" i="36"/>
  <c r="AA26" i="35"/>
  <c r="U26" i="35"/>
  <c r="W26" i="35"/>
  <c r="AC26" i="35"/>
  <c r="AC17" i="37"/>
  <c r="W17" i="37"/>
  <c r="U25" i="34"/>
  <c r="W25" i="34"/>
  <c r="AA23" i="34"/>
  <c r="S23" i="34"/>
  <c r="AA25" i="33"/>
  <c r="S39" i="40"/>
  <c r="U37" i="40"/>
  <c r="U29" i="40"/>
  <c r="AC29" i="40"/>
  <c r="W29" i="40"/>
  <c r="AC19" i="40"/>
  <c r="AA19" i="40"/>
  <c r="AT6" i="3"/>
  <c r="J18" i="36"/>
  <c r="W18" i="36"/>
  <c r="AC18" i="36"/>
  <c r="L20" i="6"/>
  <c r="C45" i="9"/>
  <c r="B7" i="66" s="1"/>
  <c r="N76" i="9"/>
  <c r="C46" i="9"/>
  <c r="O41" i="9" s="1"/>
  <c r="R8" i="54" s="1"/>
  <c r="B54" i="63" s="1"/>
  <c r="B8" i="66"/>
  <c r="J21" i="46"/>
  <c r="F38" i="46"/>
  <c r="F41" i="46"/>
  <c r="F40" i="46"/>
  <c r="H117" i="46"/>
  <c r="F24" i="59"/>
  <c r="F23" i="59"/>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B22" i="59"/>
  <c r="B21" i="59"/>
  <c r="B20" i="59" s="1"/>
  <c r="B19" i="59" s="1"/>
  <c r="B18" i="59" s="1"/>
  <c r="S21" i="59"/>
  <c r="C24" i="46"/>
  <c r="F9" i="67"/>
  <c r="J7" i="65"/>
  <c r="J6" i="65"/>
  <c r="F8" i="67"/>
  <c r="N5" i="65"/>
  <c r="J3" i="65"/>
  <c r="B10" i="67"/>
  <c r="N4" i="65"/>
  <c r="F26" i="15"/>
  <c r="I5" i="65"/>
  <c r="F9" i="44"/>
  <c r="F45" i="44"/>
  <c r="F14" i="67"/>
  <c r="F13" i="67"/>
  <c r="E11" i="67"/>
  <c r="I4" i="65"/>
  <c r="E9" i="67"/>
  <c r="B8" i="67"/>
  <c r="J5" i="65"/>
  <c r="F11" i="67"/>
  <c r="I3" i="65"/>
  <c r="E10" i="67"/>
  <c r="N3" i="65"/>
  <c r="E8" i="67"/>
  <c r="I6" i="65"/>
  <c r="F12" i="67"/>
  <c r="N7" i="65"/>
  <c r="B12" i="67"/>
  <c r="N6" i="65"/>
  <c r="F18" i="44"/>
  <c r="B11" i="67"/>
  <c r="F10" i="67"/>
  <c r="B9" i="67"/>
  <c r="E14" i="67"/>
  <c r="E13" i="67"/>
  <c r="I7" i="65"/>
  <c r="B13" i="67"/>
  <c r="J4" i="65"/>
  <c r="B14" i="67"/>
  <c r="E12" i="67"/>
  <c r="M24" i="44"/>
  <c r="F42" i="15"/>
  <c r="AB29" i="39" l="1"/>
  <c r="S29" i="39"/>
  <c r="W20" i="36"/>
  <c r="AC29" i="39"/>
  <c r="W29" i="39"/>
  <c r="AB42" i="40"/>
  <c r="U42" i="40"/>
  <c r="AA45" i="39"/>
  <c r="S45" i="39"/>
  <c r="AZ553" i="3"/>
  <c r="AC17" i="34"/>
  <c r="W17" i="34"/>
  <c r="AC23" i="40"/>
  <c r="W23" i="40"/>
  <c r="AA15" i="39"/>
  <c r="S15" i="39"/>
  <c r="AZ184" i="3"/>
  <c r="AC19" i="37"/>
  <c r="W19" i="37"/>
  <c r="AC27" i="40"/>
  <c r="U23" i="34"/>
  <c r="AB15" i="34"/>
  <c r="U15" i="34"/>
  <c r="U16" i="40"/>
  <c r="AB16" i="40"/>
  <c r="F72" i="9"/>
  <c r="M20" i="44"/>
  <c r="M18" i="15"/>
  <c r="AB15" i="21"/>
  <c r="AB25" i="40"/>
  <c r="U25" i="40"/>
  <c r="AC26" i="37"/>
  <c r="W26" i="37"/>
  <c r="A17" i="51"/>
  <c r="B13" i="63" s="1"/>
  <c r="AA27" i="34"/>
  <c r="S27" i="34"/>
  <c r="AC37" i="34"/>
  <c r="W37" i="34"/>
  <c r="U19" i="40"/>
  <c r="AA29" i="40"/>
  <c r="AA37" i="40"/>
  <c r="W15" i="21"/>
  <c r="S19" i="37"/>
  <c r="S32" i="40"/>
  <c r="U25" i="33"/>
  <c r="AA28" i="21"/>
  <c r="S28" i="21"/>
  <c r="U44" i="21"/>
  <c r="AB44" i="21"/>
  <c r="AA25" i="37"/>
  <c r="S25" i="37"/>
  <c r="AZ302" i="3"/>
  <c r="BL571" i="3"/>
  <c r="BL567" i="3"/>
  <c r="BA567" i="3"/>
  <c r="BA546" i="3"/>
  <c r="BA544" i="3"/>
  <c r="BL540" i="3"/>
  <c r="BL539" i="3"/>
  <c r="BL537" i="3"/>
  <c r="AZ537" i="3" s="1"/>
  <c r="BL533" i="3"/>
  <c r="BL531" i="3"/>
  <c r="BA531" i="3"/>
  <c r="BA529" i="3"/>
  <c r="BL523" i="3"/>
  <c r="AZ523" i="3" s="1"/>
  <c r="BL522" i="3"/>
  <c r="BA522" i="3"/>
  <c r="BL503" i="3"/>
  <c r="BN5" i="3"/>
  <c r="BL490" i="3"/>
  <c r="BA19" i="3"/>
  <c r="S20" i="35"/>
  <c r="W13" i="40"/>
  <c r="AZ312" i="3"/>
  <c r="AZ305" i="3"/>
  <c r="AZ359" i="3"/>
  <c r="AZ338" i="3"/>
  <c r="AZ331" i="3"/>
  <c r="AZ307" i="3"/>
  <c r="E125" i="33"/>
  <c r="F125" i="33" s="1"/>
  <c r="G125" i="33" s="1"/>
  <c r="S19" i="21"/>
  <c r="AC30" i="21"/>
  <c r="F44" i="21"/>
  <c r="J44" i="21"/>
  <c r="W34" i="36"/>
  <c r="AA38" i="21"/>
  <c r="W38" i="33"/>
  <c r="G572" i="3"/>
  <c r="H5" i="3"/>
  <c r="BK5" i="3"/>
  <c r="H26" i="37"/>
  <c r="AB26" i="37" s="1"/>
  <c r="H25" i="37"/>
  <c r="G567" i="3"/>
  <c r="BA565" i="3"/>
  <c r="BA561" i="3"/>
  <c r="BA560" i="3"/>
  <c r="G560" i="3"/>
  <c r="BL559" i="3"/>
  <c r="BA559" i="3"/>
  <c r="AZ559" i="3" s="1"/>
  <c r="BA558" i="3"/>
  <c r="AZ558" i="3" s="1"/>
  <c r="G558" i="3"/>
  <c r="BL556" i="3"/>
  <c r="BA549" i="3"/>
  <c r="BL541" i="3"/>
  <c r="BA541" i="3"/>
  <c r="AZ541" i="3" s="1"/>
  <c r="BL535" i="3"/>
  <c r="BA535" i="3"/>
  <c r="AZ535" i="3" s="1"/>
  <c r="BL530" i="3"/>
  <c r="BL528" i="3"/>
  <c r="G526" i="3"/>
  <c r="G525" i="3"/>
  <c r="BL518" i="3"/>
  <c r="BL515" i="3"/>
  <c r="BL512" i="3"/>
  <c r="BA512" i="3"/>
  <c r="G509" i="3"/>
  <c r="BL505" i="3"/>
  <c r="BL504" i="3"/>
  <c r="AZ504" i="3" s="1"/>
  <c r="U21" i="39"/>
  <c r="S37" i="34"/>
  <c r="AZ344" i="3"/>
  <c r="AZ328" i="3"/>
  <c r="AZ135" i="3"/>
  <c r="U46" i="21"/>
  <c r="AB40" i="37"/>
  <c r="J28" i="21"/>
  <c r="AC40" i="21"/>
  <c r="J36" i="35"/>
  <c r="BL553" i="3"/>
  <c r="BL551" i="3"/>
  <c r="BL549" i="3"/>
  <c r="G528" i="3"/>
  <c r="G527" i="3"/>
  <c r="BA526" i="3"/>
  <c r="BA524" i="3"/>
  <c r="G520" i="3"/>
  <c r="G519" i="3"/>
  <c r="BL517" i="3"/>
  <c r="G503" i="3"/>
  <c r="BL499" i="3"/>
  <c r="BL498" i="3"/>
  <c r="AZ498" i="3" s="1"/>
  <c r="BA497" i="3"/>
  <c r="AZ497" i="3" s="1"/>
  <c r="U27" i="36"/>
  <c r="AZ332" i="3"/>
  <c r="AZ346" i="3"/>
  <c r="AZ200" i="3"/>
  <c r="AZ123" i="3"/>
  <c r="AZ379" i="3"/>
  <c r="AZ343" i="3"/>
  <c r="AB31" i="21"/>
  <c r="J31" i="33"/>
  <c r="AA45" i="21"/>
  <c r="H26" i="33"/>
  <c r="AB8" i="36"/>
  <c r="W30" i="35"/>
  <c r="AB41" i="21"/>
  <c r="AA35" i="21"/>
  <c r="W41" i="33"/>
  <c r="J26" i="33"/>
  <c r="J27" i="34"/>
  <c r="J34" i="35"/>
  <c r="G564" i="3"/>
  <c r="BL563" i="3"/>
  <c r="G563" i="3"/>
  <c r="BA554" i="3"/>
  <c r="BL548" i="3"/>
  <c r="G540" i="3"/>
  <c r="BL501" i="3"/>
  <c r="BS5" i="3"/>
  <c r="F28" i="6" s="1"/>
  <c r="G500" i="3"/>
  <c r="BL486" i="3"/>
  <c r="BD5" i="3"/>
  <c r="G486" i="3"/>
  <c r="BQ5" i="3"/>
  <c r="BH5" i="3"/>
  <c r="G485" i="3"/>
  <c r="BL483" i="3"/>
  <c r="BJ5" i="3"/>
  <c r="BA482" i="3"/>
  <c r="BO5" i="3"/>
  <c r="BA481" i="3"/>
  <c r="G16" i="3"/>
  <c r="BL389" i="3"/>
  <c r="BA392" i="3"/>
  <c r="BL406" i="3"/>
  <c r="BA417" i="3"/>
  <c r="AZ464" i="3"/>
  <c r="BL312" i="3"/>
  <c r="BA389" i="3"/>
  <c r="AZ389" i="3" s="1"/>
  <c r="BL396" i="3"/>
  <c r="BA398" i="3"/>
  <c r="BA405" i="3"/>
  <c r="BL409" i="3"/>
  <c r="BA413" i="3"/>
  <c r="BL419" i="3"/>
  <c r="BA420" i="3"/>
  <c r="BL423" i="3"/>
  <c r="BA425" i="3"/>
  <c r="AZ425" i="3" s="1"/>
  <c r="BL431" i="3"/>
  <c r="BA433" i="3"/>
  <c r="BA439" i="3"/>
  <c r="BA297" i="3"/>
  <c r="AZ297" i="3" s="1"/>
  <c r="BL215" i="3"/>
  <c r="BL391" i="3"/>
  <c r="G397" i="3"/>
  <c r="BA397" i="3"/>
  <c r="BA399" i="3"/>
  <c r="BL400" i="3"/>
  <c r="BL404" i="3"/>
  <c r="BA415" i="3"/>
  <c r="G419" i="3"/>
  <c r="BL422" i="3"/>
  <c r="BA423" i="3"/>
  <c r="BA427" i="3"/>
  <c r="BA437" i="3"/>
  <c r="BA443" i="3"/>
  <c r="BA444" i="3"/>
  <c r="BL446" i="3"/>
  <c r="G449" i="3"/>
  <c r="BL455" i="3"/>
  <c r="BL461" i="3"/>
  <c r="BL469" i="3"/>
  <c r="BA471" i="3"/>
  <c r="BL302" i="3"/>
  <c r="BL319" i="3"/>
  <c r="BA248" i="3"/>
  <c r="G513" i="3"/>
  <c r="G512" i="3"/>
  <c r="BL511" i="3"/>
  <c r="BA511" i="3"/>
  <c r="BL510" i="3"/>
  <c r="AZ510" i="3" s="1"/>
  <c r="BL509" i="3"/>
  <c r="BL495" i="3"/>
  <c r="AZ495" i="3" s="1"/>
  <c r="BL493" i="3"/>
  <c r="G492" i="3"/>
  <c r="BL491" i="3"/>
  <c r="BA491" i="3"/>
  <c r="G482" i="3"/>
  <c r="G17" i="3"/>
  <c r="G15" i="3"/>
  <c r="BL390" i="3"/>
  <c r="G391" i="3"/>
  <c r="BL394" i="3"/>
  <c r="G395" i="3"/>
  <c r="BL398" i="3"/>
  <c r="G400" i="3"/>
  <c r="G404" i="3"/>
  <c r="BL407" i="3"/>
  <c r="BA409" i="3"/>
  <c r="AZ409" i="3" s="1"/>
  <c r="BL412" i="3"/>
  <c r="BA414" i="3"/>
  <c r="BL420" i="3"/>
  <c r="BL425" i="3"/>
  <c r="BL430" i="3"/>
  <c r="BL435" i="3"/>
  <c r="BL441" i="3"/>
  <c r="BL445" i="3"/>
  <c r="G461" i="3"/>
  <c r="G464" i="3"/>
  <c r="BA466" i="3"/>
  <c r="BA474" i="3"/>
  <c r="BL476" i="3"/>
  <c r="BA479" i="3"/>
  <c r="BL346" i="3"/>
  <c r="BA387" i="3"/>
  <c r="BA447" i="3"/>
  <c r="G450" i="3"/>
  <c r="G451" i="3"/>
  <c r="BL453" i="3"/>
  <c r="G457" i="3"/>
  <c r="BL460" i="3"/>
  <c r="BA465" i="3"/>
  <c r="BL465" i="3"/>
  <c r="BA470" i="3"/>
  <c r="BA475" i="3"/>
  <c r="BA476" i="3"/>
  <c r="BA478" i="3"/>
  <c r="BA301" i="3"/>
  <c r="AZ301" i="3" s="1"/>
  <c r="BA311" i="3"/>
  <c r="AZ311" i="3" s="1"/>
  <c r="BA318" i="3"/>
  <c r="BL326" i="3"/>
  <c r="AZ326" i="3" s="1"/>
  <c r="BA334" i="3"/>
  <c r="BL342" i="3"/>
  <c r="AZ342" i="3" s="1"/>
  <c r="BL351" i="3"/>
  <c r="G370" i="3"/>
  <c r="BA375" i="3"/>
  <c r="G386" i="3"/>
  <c r="G207" i="3"/>
  <c r="G210" i="3"/>
  <c r="G214" i="3"/>
  <c r="BA219" i="3"/>
  <c r="G223" i="3"/>
  <c r="G227" i="3"/>
  <c r="G233" i="3"/>
  <c r="G237" i="3"/>
  <c r="BA240" i="3"/>
  <c r="BL242" i="3"/>
  <c r="BL247" i="3"/>
  <c r="BA250" i="3"/>
  <c r="BL258" i="3"/>
  <c r="BA271" i="3"/>
  <c r="BA272" i="3"/>
  <c r="BL274" i="3"/>
  <c r="BL275" i="3"/>
  <c r="BL276" i="3"/>
  <c r="BL285" i="3"/>
  <c r="BA287" i="3"/>
  <c r="BL290" i="3"/>
  <c r="BL291" i="3"/>
  <c r="BL292" i="3"/>
  <c r="BL130" i="3"/>
  <c r="AZ130" i="3" s="1"/>
  <c r="BA135" i="3"/>
  <c r="BA139" i="3"/>
  <c r="AZ139" i="3" s="1"/>
  <c r="BA143" i="3"/>
  <c r="AZ143" i="3" s="1"/>
  <c r="G145" i="3"/>
  <c r="BA145" i="3"/>
  <c r="G160" i="3"/>
  <c r="G164" i="3"/>
  <c r="BL167" i="3"/>
  <c r="BA168" i="3"/>
  <c r="BA170" i="3"/>
  <c r="AZ170" i="3" s="1"/>
  <c r="G176" i="3"/>
  <c r="BA191" i="3"/>
  <c r="C32" i="59"/>
  <c r="D31" i="59"/>
  <c r="BL308" i="3"/>
  <c r="AZ308" i="3" s="1"/>
  <c r="BA309" i="3"/>
  <c r="BL316" i="3"/>
  <c r="AZ316" i="3" s="1"/>
  <c r="BA317" i="3"/>
  <c r="BA341" i="3"/>
  <c r="AZ341" i="3" s="1"/>
  <c r="BA350" i="3"/>
  <c r="BL368" i="3"/>
  <c r="BL384" i="3"/>
  <c r="BA388" i="3"/>
  <c r="BA205" i="3"/>
  <c r="BL206" i="3"/>
  <c r="BA214" i="3"/>
  <c r="AZ214" i="3" s="1"/>
  <c r="BA216" i="3"/>
  <c r="BA217" i="3"/>
  <c r="BA221" i="3"/>
  <c r="BA232" i="3"/>
  <c r="BL238" i="3"/>
  <c r="G242" i="3"/>
  <c r="BL246" i="3"/>
  <c r="G249" i="3"/>
  <c r="BA251" i="3"/>
  <c r="G258" i="3"/>
  <c r="G263" i="3"/>
  <c r="BA266" i="3"/>
  <c r="BL269" i="3"/>
  <c r="BA270" i="3"/>
  <c r="G274" i="3"/>
  <c r="G279" i="3"/>
  <c r="BA286" i="3"/>
  <c r="G290" i="3"/>
  <c r="G295" i="3"/>
  <c r="G113" i="3"/>
  <c r="G117" i="3"/>
  <c r="BL137" i="3"/>
  <c r="BL200" i="3"/>
  <c r="BA27" i="3"/>
  <c r="G46" i="3"/>
  <c r="G54" i="3"/>
  <c r="BL464" i="3"/>
  <c r="BL468" i="3"/>
  <c r="BA469" i="3"/>
  <c r="AZ469" i="3" s="1"/>
  <c r="BA473" i="3"/>
  <c r="BL473" i="3"/>
  <c r="G477" i="3"/>
  <c r="BL306" i="3"/>
  <c r="BA315" i="3"/>
  <c r="AZ315" i="3" s="1"/>
  <c r="BA321" i="3"/>
  <c r="AZ321" i="3" s="1"/>
  <c r="BL332" i="3"/>
  <c r="BA337" i="3"/>
  <c r="AZ337" i="3" s="1"/>
  <c r="BL348" i="3"/>
  <c r="AZ348" i="3" s="1"/>
  <c r="BA349" i="3"/>
  <c r="G367" i="3"/>
  <c r="G381" i="3"/>
  <c r="G209" i="3"/>
  <c r="G212" i="3"/>
  <c r="BA213" i="3"/>
  <c r="G221" i="3"/>
  <c r="G224" i="3"/>
  <c r="BA229" i="3"/>
  <c r="BA245" i="3"/>
  <c r="BA246" i="3"/>
  <c r="BA256" i="3"/>
  <c r="AZ258" i="3"/>
  <c r="BA260" i="3"/>
  <c r="BA263" i="3"/>
  <c r="BA265" i="3"/>
  <c r="BA267" i="3"/>
  <c r="BA283" i="3"/>
  <c r="BA295" i="3"/>
  <c r="BL114" i="3"/>
  <c r="AZ114" i="3" s="1"/>
  <c r="BA124" i="3"/>
  <c r="BA127" i="3"/>
  <c r="AZ127" i="3" s="1"/>
  <c r="BL133" i="3"/>
  <c r="BL134" i="3"/>
  <c r="AZ134" i="3" s="1"/>
  <c r="BA137" i="3"/>
  <c r="BA156" i="3"/>
  <c r="G161" i="3"/>
  <c r="G165" i="3"/>
  <c r="BL168" i="3"/>
  <c r="BA174" i="3"/>
  <c r="AZ174" i="3" s="1"/>
  <c r="G177" i="3"/>
  <c r="BL180" i="3"/>
  <c r="BL184" i="3"/>
  <c r="BA187" i="3"/>
  <c r="G188" i="3"/>
  <c r="BA190" i="3"/>
  <c r="BL32" i="3"/>
  <c r="BA43" i="3"/>
  <c r="G49" i="3"/>
  <c r="Q67" i="59"/>
  <c r="Q66" i="59"/>
  <c r="BL254" i="3"/>
  <c r="G255" i="3"/>
  <c r="G257" i="3"/>
  <c r="BA257" i="3"/>
  <c r="BA259" i="3"/>
  <c r="BL266" i="3"/>
  <c r="BL282" i="3"/>
  <c r="BA123" i="3"/>
  <c r="BL152" i="3"/>
  <c r="G56" i="3"/>
  <c r="BA195" i="3"/>
  <c r="G201" i="3"/>
  <c r="BA24" i="3"/>
  <c r="BA25" i="3"/>
  <c r="BA29" i="3"/>
  <c r="BA32" i="3"/>
  <c r="AZ32" i="3" s="1"/>
  <c r="BL34" i="3"/>
  <c r="BA39" i="3"/>
  <c r="G42" i="3"/>
  <c r="BA54" i="3"/>
  <c r="BA58" i="3"/>
  <c r="BA62" i="3"/>
  <c r="G81" i="3"/>
  <c r="BA94" i="3"/>
  <c r="BA96" i="3"/>
  <c r="BL101" i="3"/>
  <c r="BA103" i="3"/>
  <c r="D52" i="59"/>
  <c r="C71" i="59"/>
  <c r="D71" i="59" s="1"/>
  <c r="E76" i="59"/>
  <c r="E75" i="59" s="1"/>
  <c r="Q69" i="59"/>
  <c r="Q68" i="59"/>
  <c r="X31" i="59"/>
  <c r="AB39" i="59"/>
  <c r="B56" i="59"/>
  <c r="B57" i="59" s="1"/>
  <c r="S57" i="59" s="1"/>
  <c r="T73" i="59"/>
  <c r="S77" i="59"/>
  <c r="V81" i="59"/>
  <c r="X39" i="59"/>
  <c r="X27" i="59"/>
  <c r="BL121" i="3"/>
  <c r="G130" i="3"/>
  <c r="BL136" i="3"/>
  <c r="G146" i="3"/>
  <c r="G152" i="3"/>
  <c r="BL155" i="3"/>
  <c r="G158" i="3"/>
  <c r="G162" i="3"/>
  <c r="G172" i="3"/>
  <c r="BL175" i="3"/>
  <c r="G178" i="3"/>
  <c r="G179" i="3"/>
  <c r="BA183" i="3"/>
  <c r="BA194" i="3"/>
  <c r="G197" i="3"/>
  <c r="BA199" i="3"/>
  <c r="G203" i="3"/>
  <c r="G27" i="3"/>
  <c r="G35" i="3"/>
  <c r="BL45" i="3"/>
  <c r="BL47" i="3"/>
  <c r="BL53" i="3"/>
  <c r="BA61" i="3"/>
  <c r="BA64" i="3"/>
  <c r="G65" i="3"/>
  <c r="G66" i="3"/>
  <c r="G71" i="3"/>
  <c r="G73" i="3"/>
  <c r="BA74" i="3"/>
  <c r="G76" i="3"/>
  <c r="G77" i="3"/>
  <c r="BA80" i="3"/>
  <c r="BL82" i="3"/>
  <c r="G83" i="3"/>
  <c r="BL86" i="3"/>
  <c r="G87" i="3"/>
  <c r="BL88" i="3"/>
  <c r="G89" i="3"/>
  <c r="BL95" i="3"/>
  <c r="G103" i="3"/>
  <c r="G105" i="3"/>
  <c r="G108" i="3"/>
  <c r="BL108" i="3"/>
  <c r="BL111" i="3"/>
  <c r="AA21" i="34"/>
  <c r="U69" i="59"/>
  <c r="E67" i="59"/>
  <c r="F44" i="59"/>
  <c r="F45" i="59" s="1"/>
  <c r="V45" i="59" s="1"/>
  <c r="BL21" i="3"/>
  <c r="BL25" i="3"/>
  <c r="BL29" i="3"/>
  <c r="BL37" i="3"/>
  <c r="BL38" i="3"/>
  <c r="G47" i="3"/>
  <c r="BL48" i="3"/>
  <c r="AZ48" i="3" s="1"/>
  <c r="G58" i="3"/>
  <c r="BL63" i="3"/>
  <c r="BL67" i="3"/>
  <c r="G70" i="3"/>
  <c r="BA71" i="3"/>
  <c r="BA73" i="3"/>
  <c r="AZ73" i="3" s="1"/>
  <c r="G75" i="3"/>
  <c r="BL78" i="3"/>
  <c r="G82" i="3"/>
  <c r="BA87" i="3"/>
  <c r="BA88" i="3"/>
  <c r="AZ88" i="3" s="1"/>
  <c r="BL92" i="3"/>
  <c r="BL93" i="3"/>
  <c r="G95" i="3"/>
  <c r="BL99" i="3"/>
  <c r="G102" i="3"/>
  <c r="G111" i="3"/>
  <c r="C84" i="59"/>
  <c r="P69" i="59"/>
  <c r="C56" i="59"/>
  <c r="X34" i="59"/>
  <c r="X35" i="59"/>
  <c r="X37" i="59"/>
  <c r="E56" i="59"/>
  <c r="E57" i="59" s="1"/>
  <c r="U57" i="59" s="1"/>
  <c r="L76" i="9"/>
  <c r="X26" i="59"/>
  <c r="AZ531" i="3"/>
  <c r="AB25" i="35"/>
  <c r="U25" i="35"/>
  <c r="W28" i="33"/>
  <c r="AC28" i="33"/>
  <c r="AC13" i="35"/>
  <c r="W13" i="35"/>
  <c r="F20" i="59"/>
  <c r="F19" i="59" s="1"/>
  <c r="F18" i="59" s="1"/>
  <c r="F17" i="59" s="1"/>
  <c r="V21" i="59"/>
  <c r="AZ491" i="3"/>
  <c r="J13" i="33"/>
  <c r="F13" i="33"/>
  <c r="S14" i="36"/>
  <c r="BM5" i="3"/>
  <c r="F29" i="6" s="1"/>
  <c r="F30" i="6" s="1"/>
  <c r="BA486" i="3"/>
  <c r="U46" i="39"/>
  <c r="AB46" i="39"/>
  <c r="S12" i="34"/>
  <c r="AA12" i="34"/>
  <c r="H13" i="33"/>
  <c r="W40" i="34"/>
  <c r="AC40" i="34"/>
  <c r="AA11" i="37"/>
  <c r="S11" i="37"/>
  <c r="BL534" i="3"/>
  <c r="AZ534" i="3" s="1"/>
  <c r="AA14" i="37"/>
  <c r="S14" i="37"/>
  <c r="W45" i="33"/>
  <c r="AC45" i="33"/>
  <c r="AB37" i="33"/>
  <c r="U37" i="33"/>
  <c r="G69" i="33"/>
  <c r="H69" i="33" s="1"/>
  <c r="I69" i="33" s="1"/>
  <c r="J69" i="33" s="1"/>
  <c r="K69" i="33" s="1"/>
  <c r="L69" i="33" s="1"/>
  <c r="M69" i="33" s="1"/>
  <c r="F11" i="33"/>
  <c r="S11" i="33" s="1"/>
  <c r="S23" i="37"/>
  <c r="AA23" i="37"/>
  <c r="AB39" i="33"/>
  <c r="U39" i="33"/>
  <c r="BA547" i="3"/>
  <c r="AZ547" i="3" s="1"/>
  <c r="BA545" i="3"/>
  <c r="BA543" i="3"/>
  <c r="AZ543" i="3" s="1"/>
  <c r="W11" i="34"/>
  <c r="AC11" i="34"/>
  <c r="AB15" i="39"/>
  <c r="U15" i="39"/>
  <c r="H29" i="21"/>
  <c r="J29" i="21"/>
  <c r="B94" i="46"/>
  <c r="B84" i="46"/>
  <c r="C19" i="40"/>
  <c r="J25" i="35"/>
  <c r="F25" i="35"/>
  <c r="BA484" i="3"/>
  <c r="AA23" i="21"/>
  <c r="AB41" i="33"/>
  <c r="AB16" i="39"/>
  <c r="W20" i="35"/>
  <c r="AC20" i="35"/>
  <c r="S21" i="39"/>
  <c r="AA21" i="39"/>
  <c r="AC34" i="37"/>
  <c r="AC23" i="37"/>
  <c r="BL492" i="3"/>
  <c r="BL500" i="3"/>
  <c r="BL544" i="3"/>
  <c r="AZ544" i="3" s="1"/>
  <c r="W35" i="35"/>
  <c r="J29" i="34"/>
  <c r="U37" i="37"/>
  <c r="AB37" i="37"/>
  <c r="F29" i="21"/>
  <c r="U30" i="21"/>
  <c r="AB30" i="21"/>
  <c r="J9" i="33"/>
  <c r="AC9" i="33" s="1"/>
  <c r="F9" i="33"/>
  <c r="AA9" i="33" s="1"/>
  <c r="AC13" i="36"/>
  <c r="W13" i="36"/>
  <c r="W25" i="37"/>
  <c r="AC25" i="37"/>
  <c r="F16" i="39"/>
  <c r="J16" i="39"/>
  <c r="J44" i="39"/>
  <c r="W44" i="39" s="1"/>
  <c r="F44" i="39"/>
  <c r="S44" i="39" s="1"/>
  <c r="BA551" i="3"/>
  <c r="AZ551" i="3" s="1"/>
  <c r="BA540" i="3"/>
  <c r="AZ540" i="3" s="1"/>
  <c r="G536" i="3"/>
  <c r="BA533" i="3"/>
  <c r="AZ533" i="3" s="1"/>
  <c r="BA532" i="3"/>
  <c r="BA515" i="3"/>
  <c r="AZ515" i="3" s="1"/>
  <c r="BA513" i="3"/>
  <c r="AZ513" i="3" s="1"/>
  <c r="BA508" i="3"/>
  <c r="AZ508" i="3" s="1"/>
  <c r="BA506" i="3"/>
  <c r="AZ506" i="3" s="1"/>
  <c r="AZ505" i="3"/>
  <c r="BL494" i="3"/>
  <c r="BA493" i="3"/>
  <c r="AZ493" i="3" s="1"/>
  <c r="BA490" i="3"/>
  <c r="AZ490" i="3" s="1"/>
  <c r="BA488" i="3"/>
  <c r="AZ488" i="3" s="1"/>
  <c r="BL487" i="3"/>
  <c r="AZ487" i="3" s="1"/>
  <c r="G487" i="3"/>
  <c r="AZ19" i="3"/>
  <c r="BR5" i="3"/>
  <c r="AC5" i="3"/>
  <c r="U33" i="40"/>
  <c r="AC12" i="33"/>
  <c r="U33" i="35"/>
  <c r="W34" i="40"/>
  <c r="W15" i="40"/>
  <c r="H74" i="46"/>
  <c r="H72" i="46"/>
  <c r="AC32" i="40"/>
  <c r="W32" i="40"/>
  <c r="H44" i="39"/>
  <c r="U44" i="39" s="1"/>
  <c r="AB29" i="35"/>
  <c r="S17" i="21"/>
  <c r="AA17" i="21"/>
  <c r="AZ322" i="3"/>
  <c r="BL20" i="3"/>
  <c r="BL524" i="3"/>
  <c r="BL546" i="3"/>
  <c r="AZ546" i="3" s="1"/>
  <c r="BL560" i="3"/>
  <c r="AZ560" i="3" s="1"/>
  <c r="W27" i="37"/>
  <c r="AC27" i="37"/>
  <c r="S31" i="34"/>
  <c r="AA44" i="21"/>
  <c r="S44" i="21"/>
  <c r="W33" i="36"/>
  <c r="AA10" i="21"/>
  <c r="S10" i="21"/>
  <c r="AC27" i="35"/>
  <c r="W27" i="35"/>
  <c r="H23" i="36"/>
  <c r="J23" i="36"/>
  <c r="F23" i="36"/>
  <c r="H12" i="37"/>
  <c r="F12" i="37"/>
  <c r="AC39" i="37"/>
  <c r="W39" i="37"/>
  <c r="BA538" i="3"/>
  <c r="U39" i="40"/>
  <c r="S25" i="34"/>
  <c r="U26" i="37"/>
  <c r="AB11" i="35"/>
  <c r="U47" i="39"/>
  <c r="AB28" i="36"/>
  <c r="U34" i="21"/>
  <c r="AB34" i="21"/>
  <c r="AB9" i="33"/>
  <c r="U9" i="33"/>
  <c r="BA552" i="3"/>
  <c r="BL550" i="3"/>
  <c r="W11" i="37"/>
  <c r="AC11" i="37"/>
  <c r="AA27" i="21"/>
  <c r="S27" i="21"/>
  <c r="F13" i="35"/>
  <c r="H13" i="35"/>
  <c r="BA563" i="3"/>
  <c r="AZ563" i="3" s="1"/>
  <c r="BL554" i="3"/>
  <c r="BL552" i="3"/>
  <c r="BA548" i="3"/>
  <c r="AZ548" i="3" s="1"/>
  <c r="W23" i="34"/>
  <c r="C17" i="40"/>
  <c r="U13" i="37"/>
  <c r="S32" i="37"/>
  <c r="AA32" i="37"/>
  <c r="U11" i="36"/>
  <c r="F96" i="39"/>
  <c r="G96" i="39" s="1"/>
  <c r="AA17" i="39"/>
  <c r="S17" i="39"/>
  <c r="S29" i="33"/>
  <c r="AA29" i="33"/>
  <c r="AB17" i="34"/>
  <c r="U17" i="34"/>
  <c r="W35" i="34"/>
  <c r="AC35" i="34"/>
  <c r="W41" i="34"/>
  <c r="AC41" i="34"/>
  <c r="BL514" i="3"/>
  <c r="AZ514" i="3" s="1"/>
  <c r="BL564" i="3"/>
  <c r="AZ564" i="3" s="1"/>
  <c r="F13" i="36"/>
  <c r="U30" i="37"/>
  <c r="J9" i="21"/>
  <c r="F9" i="21"/>
  <c r="H9" i="21"/>
  <c r="AC8" i="34"/>
  <c r="W8" i="34"/>
  <c r="F47" i="39"/>
  <c r="J47" i="39"/>
  <c r="W47" i="39" s="1"/>
  <c r="AC42" i="34"/>
  <c r="W42" i="34"/>
  <c r="BL569" i="3"/>
  <c r="AZ567" i="3"/>
  <c r="BL565" i="3"/>
  <c r="AZ565" i="3" s="1"/>
  <c r="BA539" i="3"/>
  <c r="BL538" i="3"/>
  <c r="BL536" i="3"/>
  <c r="BA530" i="3"/>
  <c r="AZ530" i="3" s="1"/>
  <c r="BA528" i="3"/>
  <c r="AZ522" i="3"/>
  <c r="BA521" i="3"/>
  <c r="AZ521" i="3" s="1"/>
  <c r="BA519" i="3"/>
  <c r="AZ519" i="3" s="1"/>
  <c r="BL507" i="3"/>
  <c r="AZ507" i="3" s="1"/>
  <c r="BL506" i="3"/>
  <c r="BA503" i="3"/>
  <c r="AZ503" i="3" s="1"/>
  <c r="BL502" i="3"/>
  <c r="AZ502" i="3" s="1"/>
  <c r="BA501" i="3"/>
  <c r="AZ501" i="3" s="1"/>
  <c r="BA500" i="3"/>
  <c r="AZ500" i="3" s="1"/>
  <c r="BL485" i="3"/>
  <c r="BA485" i="3"/>
  <c r="AZ485" i="3" s="1"/>
  <c r="BA483" i="3"/>
  <c r="BL18" i="3"/>
  <c r="F28" i="33"/>
  <c r="H28" i="33"/>
  <c r="S25" i="40"/>
  <c r="W39" i="40"/>
  <c r="U23" i="21"/>
  <c r="AA9" i="37"/>
  <c r="U33" i="36"/>
  <c r="AB33" i="36"/>
  <c r="S36" i="37"/>
  <c r="AA36" i="37"/>
  <c r="W11" i="21"/>
  <c r="AC11" i="21"/>
  <c r="BL572" i="3"/>
  <c r="BA571" i="3"/>
  <c r="AZ571" i="3" s="1"/>
  <c r="B73" i="46"/>
  <c r="C23" i="39"/>
  <c r="B62" i="46"/>
  <c r="AB36" i="35"/>
  <c r="U36" i="35"/>
  <c r="J24" i="36"/>
  <c r="H24" i="36"/>
  <c r="F24" i="36"/>
  <c r="AA13" i="37"/>
  <c r="S13" i="37"/>
  <c r="BA499" i="3"/>
  <c r="AZ499" i="3" s="1"/>
  <c r="BL496" i="3"/>
  <c r="AZ496" i="3" s="1"/>
  <c r="AB29" i="34"/>
  <c r="BC5" i="3"/>
  <c r="AC23" i="21"/>
  <c r="AA17" i="34"/>
  <c r="S17" i="34"/>
  <c r="S14" i="35"/>
  <c r="AB30" i="40"/>
  <c r="U30" i="40"/>
  <c r="BL481" i="3"/>
  <c r="AC14" i="21"/>
  <c r="AA45" i="34"/>
  <c r="S45" i="34"/>
  <c r="AA30" i="35"/>
  <c r="S30" i="35"/>
  <c r="U28" i="21"/>
  <c r="AB28" i="21"/>
  <c r="U34" i="35"/>
  <c r="J42" i="33"/>
  <c r="AC42" i="33" s="1"/>
  <c r="H42" i="33"/>
  <c r="U42" i="33" s="1"/>
  <c r="H28" i="34"/>
  <c r="F28" i="34"/>
  <c r="J28" i="34"/>
  <c r="S38" i="37"/>
  <c r="AA38" i="37"/>
  <c r="W32" i="36"/>
  <c r="AC32" i="36"/>
  <c r="U31" i="35"/>
  <c r="AB31" i="35"/>
  <c r="BA527" i="3"/>
  <c r="AZ527" i="3" s="1"/>
  <c r="W19" i="34"/>
  <c r="AB41" i="40"/>
  <c r="U41" i="40"/>
  <c r="F23" i="39"/>
  <c r="AA23" i="39" s="1"/>
  <c r="J23" i="39"/>
  <c r="AC23" i="39" s="1"/>
  <c r="AB38" i="34"/>
  <c r="U38" i="34"/>
  <c r="U31" i="37"/>
  <c r="AB31" i="37"/>
  <c r="AC12" i="37"/>
  <c r="W12" i="37"/>
  <c r="U14" i="21"/>
  <c r="AB14" i="21"/>
  <c r="U43" i="34"/>
  <c r="AB43" i="34"/>
  <c r="U12" i="21"/>
  <c r="AB12" i="21"/>
  <c r="U39" i="34"/>
  <c r="AB39" i="34"/>
  <c r="U26" i="36"/>
  <c r="AB26" i="36"/>
  <c r="BA550" i="3"/>
  <c r="AZ550" i="3" s="1"/>
  <c r="BA525" i="3"/>
  <c r="BA518" i="3"/>
  <c r="AZ518" i="3" s="1"/>
  <c r="BA516" i="3"/>
  <c r="AZ511" i="3"/>
  <c r="BA509" i="3"/>
  <c r="AZ509" i="3" s="1"/>
  <c r="BA494" i="3"/>
  <c r="AZ494" i="3" s="1"/>
  <c r="AA30" i="40"/>
  <c r="S30" i="40"/>
  <c r="AC45" i="39"/>
  <c r="W45" i="39"/>
  <c r="AA15" i="40"/>
  <c r="S15" i="40"/>
  <c r="BL516" i="3"/>
  <c r="AB31" i="33"/>
  <c r="U31" i="33"/>
  <c r="S46" i="21"/>
  <c r="AA46" i="21"/>
  <c r="W19" i="21"/>
  <c r="AC19" i="21"/>
  <c r="H45" i="33"/>
  <c r="F45" i="33"/>
  <c r="AC24" i="35"/>
  <c r="W24" i="35"/>
  <c r="F16" i="40"/>
  <c r="J16" i="40"/>
  <c r="AA34" i="40"/>
  <c r="S34" i="40"/>
  <c r="BA569" i="3"/>
  <c r="BA536" i="3"/>
  <c r="BL529" i="3"/>
  <c r="AZ529" i="3" s="1"/>
  <c r="BP5" i="3"/>
  <c r="BB5" i="3"/>
  <c r="BA18" i="3"/>
  <c r="S38" i="40"/>
  <c r="AA38" i="40"/>
  <c r="W17" i="39"/>
  <c r="AC17" i="39"/>
  <c r="AB30" i="34"/>
  <c r="U30" i="34"/>
  <c r="AA16" i="35"/>
  <c r="S16" i="35"/>
  <c r="U42" i="21"/>
  <c r="AZ314" i="3"/>
  <c r="U13" i="21"/>
  <c r="AB13" i="21"/>
  <c r="AC42" i="21"/>
  <c r="W42" i="21"/>
  <c r="U16" i="35"/>
  <c r="AB16" i="35"/>
  <c r="AB9" i="34"/>
  <c r="U9" i="34"/>
  <c r="U40" i="34"/>
  <c r="AB40" i="34"/>
  <c r="J47" i="34"/>
  <c r="H47" i="34"/>
  <c r="F28" i="37"/>
  <c r="J28" i="37"/>
  <c r="AB19" i="37"/>
  <c r="W14" i="40"/>
  <c r="AC14" i="40"/>
  <c r="F32" i="34"/>
  <c r="AZ374" i="3"/>
  <c r="S22" i="31"/>
  <c r="BL482" i="3"/>
  <c r="AZ482" i="3" s="1"/>
  <c r="AC36" i="37"/>
  <c r="W36" i="37"/>
  <c r="AA25" i="36"/>
  <c r="S25" i="36"/>
  <c r="AA16" i="36"/>
  <c r="S16" i="36"/>
  <c r="AC36" i="34"/>
  <c r="W36" i="34"/>
  <c r="AA31" i="33"/>
  <c r="S31" i="33"/>
  <c r="AC22" i="36"/>
  <c r="W22" i="36"/>
  <c r="F42" i="40"/>
  <c r="J42" i="40"/>
  <c r="AZ340" i="3"/>
  <c r="AZ329" i="3"/>
  <c r="AZ306" i="3"/>
  <c r="H9" i="35"/>
  <c r="J9" i="35"/>
  <c r="J12" i="35"/>
  <c r="F12" i="35"/>
  <c r="H12" i="35"/>
  <c r="BA568" i="3"/>
  <c r="AZ568" i="3" s="1"/>
  <c r="BA562" i="3"/>
  <c r="G562" i="3"/>
  <c r="BL561" i="3"/>
  <c r="AZ561" i="3" s="1"/>
  <c r="BA557" i="3"/>
  <c r="AZ557" i="3" s="1"/>
  <c r="BA556" i="3"/>
  <c r="AZ556" i="3" s="1"/>
  <c r="G543" i="3"/>
  <c r="BA542" i="3"/>
  <c r="AZ542" i="3" s="1"/>
  <c r="BA517" i="3"/>
  <c r="G511" i="3"/>
  <c r="BA492" i="3"/>
  <c r="AZ336" i="3"/>
  <c r="AZ303" i="3"/>
  <c r="BL526" i="3"/>
  <c r="AZ526" i="3" s="1"/>
  <c r="E5" i="6"/>
  <c r="D12" i="11" s="1"/>
  <c r="C12" i="11" s="1"/>
  <c r="BL570" i="3"/>
  <c r="BF5" i="3"/>
  <c r="S12" i="33"/>
  <c r="AA12" i="33"/>
  <c r="AB38" i="33"/>
  <c r="U38" i="33"/>
  <c r="J12" i="36"/>
  <c r="F12" i="36"/>
  <c r="F92" i="39"/>
  <c r="H19" i="39" s="1"/>
  <c r="BL545" i="3"/>
  <c r="BL525" i="3"/>
  <c r="AZ362" i="3"/>
  <c r="AZ304" i="3"/>
  <c r="AZ327" i="3"/>
  <c r="BL484" i="3"/>
  <c r="BL532" i="3"/>
  <c r="AZ532" i="3" s="1"/>
  <c r="BA570" i="3"/>
  <c r="BE5" i="3"/>
  <c r="F12" i="21"/>
  <c r="J12" i="21"/>
  <c r="AC39" i="34"/>
  <c r="W39" i="34"/>
  <c r="G568" i="3"/>
  <c r="G555" i="3"/>
  <c r="AZ345" i="3"/>
  <c r="AZ324" i="3"/>
  <c r="AZ355" i="3"/>
  <c r="BL562" i="3"/>
  <c r="G570" i="3"/>
  <c r="G481" i="3"/>
  <c r="BA572" i="3"/>
  <c r="G535" i="3"/>
  <c r="AZ350" i="3"/>
  <c r="AZ398" i="3"/>
  <c r="AZ407" i="3"/>
  <c r="AZ423" i="3"/>
  <c r="AZ309" i="3"/>
  <c r="AZ313" i="3"/>
  <c r="AZ317" i="3"/>
  <c r="AZ349" i="3"/>
  <c r="AZ364" i="3"/>
  <c r="AZ375" i="3"/>
  <c r="AZ246" i="3"/>
  <c r="X19" i="59"/>
  <c r="X18" i="59"/>
  <c r="X3" i="59"/>
  <c r="BA390" i="3"/>
  <c r="AZ390" i="3" s="1"/>
  <c r="BL405" i="3"/>
  <c r="AZ412" i="3"/>
  <c r="BA440" i="3"/>
  <c r="BL466" i="3"/>
  <c r="AZ466" i="3" s="1"/>
  <c r="BL467" i="3"/>
  <c r="AZ476" i="3"/>
  <c r="BL310" i="3"/>
  <c r="AZ310" i="3" s="1"/>
  <c r="BL314" i="3"/>
  <c r="BA247" i="3"/>
  <c r="AZ247" i="3" s="1"/>
  <c r="BA255" i="3"/>
  <c r="BA262" i="3"/>
  <c r="BL267" i="3"/>
  <c r="AZ267" i="3" s="1"/>
  <c r="BL268" i="3"/>
  <c r="C29" i="59"/>
  <c r="Y28" i="59"/>
  <c r="Z28" i="59" s="1"/>
  <c r="Y29" i="59"/>
  <c r="Z29" i="59" s="1"/>
  <c r="S29" i="59"/>
  <c r="B28" i="59"/>
  <c r="B27" i="59" s="1"/>
  <c r="Y19" i="59"/>
  <c r="Z19" i="59" s="1"/>
  <c r="BA391" i="3"/>
  <c r="AZ391" i="3" s="1"/>
  <c r="BA393" i="3"/>
  <c r="BA429" i="3"/>
  <c r="AZ429" i="3" s="1"/>
  <c r="BL437" i="3"/>
  <c r="AZ437" i="3" s="1"/>
  <c r="BA445" i="3"/>
  <c r="AZ445" i="3" s="1"/>
  <c r="BA472" i="3"/>
  <c r="AZ472" i="3" s="1"/>
  <c r="BA477" i="3"/>
  <c r="AZ477" i="3" s="1"/>
  <c r="BL318" i="3"/>
  <c r="AZ318" i="3" s="1"/>
  <c r="BL350" i="3"/>
  <c r="BL243" i="3"/>
  <c r="BL244" i="3"/>
  <c r="BL245" i="3"/>
  <c r="AZ245" i="3" s="1"/>
  <c r="BA249" i="3"/>
  <c r="BA254" i="3"/>
  <c r="AZ254" i="3" s="1"/>
  <c r="BL259" i="3"/>
  <c r="BL260" i="3"/>
  <c r="AZ260" i="3" s="1"/>
  <c r="E29" i="59"/>
  <c r="AA28" i="59"/>
  <c r="AA29" i="59"/>
  <c r="AA27" i="59"/>
  <c r="AA24" i="59"/>
  <c r="Y25" i="59"/>
  <c r="Z25" i="59" s="1"/>
  <c r="A11" i="55"/>
  <c r="B62" i="63" s="1"/>
  <c r="BA395" i="3"/>
  <c r="BA396" i="3"/>
  <c r="AZ396" i="3" s="1"/>
  <c r="BL411" i="3"/>
  <c r="BL427" i="3"/>
  <c r="BA430" i="3"/>
  <c r="AZ430" i="3" s="1"/>
  <c r="BL443" i="3"/>
  <c r="AZ443" i="3" s="1"/>
  <c r="BA446" i="3"/>
  <c r="AZ446" i="3" s="1"/>
  <c r="BL474" i="3"/>
  <c r="BL475" i="3"/>
  <c r="AZ475" i="3" s="1"/>
  <c r="BL330" i="3"/>
  <c r="AZ330" i="3" s="1"/>
  <c r="BL250" i="3"/>
  <c r="AZ250" i="3" s="1"/>
  <c r="BL251" i="3"/>
  <c r="BL252" i="3"/>
  <c r="AZ252" i="3" s="1"/>
  <c r="AZ155" i="3"/>
  <c r="BA26" i="3"/>
  <c r="AZ26" i="3" s="1"/>
  <c r="BA65" i="3"/>
  <c r="AB27" i="59"/>
  <c r="F29" i="59"/>
  <c r="AB28" i="59"/>
  <c r="AB29" i="59"/>
  <c r="X25" i="59"/>
  <c r="Y27" i="59"/>
  <c r="Z27" i="59" s="1"/>
  <c r="Y26" i="59"/>
  <c r="Z26" i="59" s="1"/>
  <c r="C24" i="59"/>
  <c r="T25" i="59"/>
  <c r="D25" i="59"/>
  <c r="AA19" i="59"/>
  <c r="BL393" i="3"/>
  <c r="BA416" i="3"/>
  <c r="BA418" i="3"/>
  <c r="BL428" i="3"/>
  <c r="AZ428" i="3" s="1"/>
  <c r="BA431" i="3"/>
  <c r="G440" i="3"/>
  <c r="BL440" i="3"/>
  <c r="BL444" i="3"/>
  <c r="AZ444" i="3" s="1"/>
  <c r="BA448" i="3"/>
  <c r="BA451" i="3"/>
  <c r="G473" i="3"/>
  <c r="BA480" i="3"/>
  <c r="BA383" i="3"/>
  <c r="AZ383" i="3" s="1"/>
  <c r="BL385" i="3"/>
  <c r="AZ385" i="3" s="1"/>
  <c r="BA211" i="3"/>
  <c r="BA215" i="3"/>
  <c r="AZ215" i="3" s="1"/>
  <c r="BL231" i="3"/>
  <c r="G238" i="3"/>
  <c r="BL286" i="3"/>
  <c r="AZ286" i="3" s="1"/>
  <c r="BA292" i="3"/>
  <c r="AZ292" i="3" s="1"/>
  <c r="BA293" i="3"/>
  <c r="AZ293" i="3" s="1"/>
  <c r="BA119" i="3"/>
  <c r="AZ119" i="3" s="1"/>
  <c r="BA121" i="3"/>
  <c r="AZ121" i="3" s="1"/>
  <c r="BA132" i="3"/>
  <c r="BL132" i="3"/>
  <c r="BA141" i="3"/>
  <c r="BA144" i="3"/>
  <c r="BL146" i="3"/>
  <c r="AZ146" i="3" s="1"/>
  <c r="BL150" i="3"/>
  <c r="AZ150" i="3" s="1"/>
  <c r="BA63" i="3"/>
  <c r="AZ63" i="3" s="1"/>
  <c r="Y39" i="59"/>
  <c r="Z39" i="59" s="1"/>
  <c r="Y30" i="59"/>
  <c r="Z30" i="59" s="1"/>
  <c r="Y31" i="59"/>
  <c r="Z31" i="59" s="1"/>
  <c r="C40" i="59"/>
  <c r="AB25" i="59"/>
  <c r="G392" i="3"/>
  <c r="G393" i="3"/>
  <c r="BL395" i="3"/>
  <c r="BA401" i="3"/>
  <c r="AZ401" i="3" s="1"/>
  <c r="BA402" i="3"/>
  <c r="BA403" i="3"/>
  <c r="BA404" i="3"/>
  <c r="AZ404" i="3" s="1"/>
  <c r="BL413" i="3"/>
  <c r="BA434" i="3"/>
  <c r="BL449" i="3"/>
  <c r="BA453" i="3"/>
  <c r="AZ453" i="3" s="1"/>
  <c r="BA459" i="3"/>
  <c r="BA460" i="3"/>
  <c r="AZ460" i="3" s="1"/>
  <c r="G472" i="3"/>
  <c r="BL472" i="3"/>
  <c r="BA325" i="3"/>
  <c r="AZ325" i="3" s="1"/>
  <c r="G329" i="3"/>
  <c r="BA335" i="3"/>
  <c r="AZ335" i="3" s="1"/>
  <c r="BA369" i="3"/>
  <c r="BL382" i="3"/>
  <c r="AZ382" i="3" s="1"/>
  <c r="BA209" i="3"/>
  <c r="BL210" i="3"/>
  <c r="BL211" i="3"/>
  <c r="BL212" i="3"/>
  <c r="BL213" i="3"/>
  <c r="AZ213" i="3" s="1"/>
  <c r="BA224" i="3"/>
  <c r="BA226" i="3"/>
  <c r="BL230" i="3"/>
  <c r="BA237" i="3"/>
  <c r="BL278" i="3"/>
  <c r="BA284" i="3"/>
  <c r="BA285" i="3"/>
  <c r="AZ285" i="3" s="1"/>
  <c r="BA291" i="3"/>
  <c r="AZ291" i="3" s="1"/>
  <c r="BA113" i="3"/>
  <c r="BA116" i="3"/>
  <c r="BL116" i="3"/>
  <c r="BA125" i="3"/>
  <c r="BA128" i="3"/>
  <c r="BL153" i="3"/>
  <c r="AZ153" i="3" s="1"/>
  <c r="BA38" i="3"/>
  <c r="AZ38" i="3" s="1"/>
  <c r="BA41" i="3"/>
  <c r="BA400" i="3"/>
  <c r="AZ400" i="3" s="1"/>
  <c r="BL414" i="3"/>
  <c r="AZ414" i="3" s="1"/>
  <c r="G417" i="3"/>
  <c r="BL417" i="3"/>
  <c r="AZ417" i="3" s="1"/>
  <c r="BL418" i="3"/>
  <c r="BA421" i="3"/>
  <c r="AZ421" i="3" s="1"/>
  <c r="BA436" i="3"/>
  <c r="AZ436" i="3" s="1"/>
  <c r="BL451" i="3"/>
  <c r="BA454" i="3"/>
  <c r="AZ454" i="3" s="1"/>
  <c r="BA456" i="3"/>
  <c r="AZ456" i="3" s="1"/>
  <c r="BA458" i="3"/>
  <c r="BA461" i="3"/>
  <c r="AZ461" i="3" s="1"/>
  <c r="BA367" i="3"/>
  <c r="AZ367" i="3" s="1"/>
  <c r="BL369" i="3"/>
  <c r="AZ369" i="3" s="1"/>
  <c r="BL380" i="3"/>
  <c r="AZ380" i="3" s="1"/>
  <c r="BL387" i="3"/>
  <c r="AZ387" i="3" s="1"/>
  <c r="BA206" i="3"/>
  <c r="BA208" i="3"/>
  <c r="BL208" i="3"/>
  <c r="BA218" i="3"/>
  <c r="AZ218" i="3" s="1"/>
  <c r="BL222" i="3"/>
  <c r="BA228" i="3"/>
  <c r="AZ228" i="3" s="1"/>
  <c r="BL270" i="3"/>
  <c r="AZ270" i="3" s="1"/>
  <c r="BA276" i="3"/>
  <c r="AZ276" i="3" s="1"/>
  <c r="BA277" i="3"/>
  <c r="AZ277" i="3" s="1"/>
  <c r="AZ279" i="3"/>
  <c r="BA288" i="3"/>
  <c r="AZ288" i="3" s="1"/>
  <c r="BA296" i="3"/>
  <c r="BL118" i="3"/>
  <c r="AZ118" i="3" s="1"/>
  <c r="BL138" i="3"/>
  <c r="AZ138" i="3" s="1"/>
  <c r="BL141" i="3"/>
  <c r="BL178" i="3"/>
  <c r="AZ178" i="3" s="1"/>
  <c r="BA35" i="3"/>
  <c r="BL39" i="3"/>
  <c r="AZ39" i="3" s="1"/>
  <c r="D3" i="33"/>
  <c r="BL397" i="3"/>
  <c r="AZ397" i="3" s="1"/>
  <c r="BL401" i="3"/>
  <c r="BL402" i="3"/>
  <c r="BL403" i="3"/>
  <c r="BA406" i="3"/>
  <c r="AZ406" i="3" s="1"/>
  <c r="G416" i="3"/>
  <c r="BL416" i="3"/>
  <c r="BA422" i="3"/>
  <c r="AZ422" i="3" s="1"/>
  <c r="G432" i="3"/>
  <c r="G433" i="3"/>
  <c r="BL433" i="3"/>
  <c r="AZ433" i="3" s="1"/>
  <c r="BL434" i="3"/>
  <c r="G448" i="3"/>
  <c r="BL448" i="3"/>
  <c r="BL452" i="3"/>
  <c r="AZ452" i="3" s="1"/>
  <c r="BA455" i="3"/>
  <c r="AZ455" i="3" s="1"/>
  <c r="BA457" i="3"/>
  <c r="BL457" i="3"/>
  <c r="BL458" i="3"/>
  <c r="BL459" i="3"/>
  <c r="BA467" i="3"/>
  <c r="BA468" i="3"/>
  <c r="G480" i="3"/>
  <c r="BL480" i="3"/>
  <c r="BA319" i="3"/>
  <c r="AZ319" i="3" s="1"/>
  <c r="G336" i="3"/>
  <c r="BA351" i="3"/>
  <c r="AZ351" i="3" s="1"/>
  <c r="BL366" i="3"/>
  <c r="AZ366" i="3" s="1"/>
  <c r="G208" i="3"/>
  <c r="G222" i="3"/>
  <c r="BL224" i="3"/>
  <c r="BL226" i="3"/>
  <c r="BA230" i="3"/>
  <c r="BA231" i="3"/>
  <c r="AZ231" i="3" s="1"/>
  <c r="BL262" i="3"/>
  <c r="AZ266" i="3"/>
  <c r="BA268" i="3"/>
  <c r="AZ268" i="3" s="1"/>
  <c r="BA269" i="3"/>
  <c r="BA275" i="3"/>
  <c r="AZ275" i="3" s="1"/>
  <c r="BA278" i="3"/>
  <c r="AZ278" i="3" s="1"/>
  <c r="BA280" i="3"/>
  <c r="BL283" i="3"/>
  <c r="BL284" i="3"/>
  <c r="G166" i="3"/>
  <c r="G86" i="3"/>
  <c r="BL110" i="3"/>
  <c r="BL360" i="3"/>
  <c r="AZ360" i="3" s="1"/>
  <c r="BL376" i="3"/>
  <c r="AZ376" i="3" s="1"/>
  <c r="BL388" i="3"/>
  <c r="AZ388" i="3" s="1"/>
  <c r="BA207" i="3"/>
  <c r="AZ207" i="3" s="1"/>
  <c r="BA220" i="3"/>
  <c r="BL229" i="3"/>
  <c r="AZ229" i="3" s="1"/>
  <c r="BA234" i="3"/>
  <c r="BA236" i="3"/>
  <c r="BL253" i="3"/>
  <c r="AZ253" i="3" s="1"/>
  <c r="BL255" i="3"/>
  <c r="BL261" i="3"/>
  <c r="AZ261" i="3" s="1"/>
  <c r="BL263" i="3"/>
  <c r="BL122" i="3"/>
  <c r="AZ122" i="3" s="1"/>
  <c r="BL125" i="3"/>
  <c r="BA176" i="3"/>
  <c r="BA185" i="3"/>
  <c r="AZ185" i="3" s="1"/>
  <c r="BA189" i="3"/>
  <c r="AZ189" i="3" s="1"/>
  <c r="BA193" i="3"/>
  <c r="AZ193" i="3" s="1"/>
  <c r="BA33" i="3"/>
  <c r="BL62" i="3"/>
  <c r="S21" i="21"/>
  <c r="AA21" i="21"/>
  <c r="AB30" i="59"/>
  <c r="F31" i="59"/>
  <c r="F32" i="59" s="1"/>
  <c r="F33" i="59" s="1"/>
  <c r="V33" i="59" s="1"/>
  <c r="AB31" i="59"/>
  <c r="AB32" i="59"/>
  <c r="C36" i="59"/>
  <c r="D35" i="59"/>
  <c r="AA39" i="59"/>
  <c r="AA10" i="59"/>
  <c r="D88" i="59"/>
  <c r="C87" i="59"/>
  <c r="D87" i="59" s="1"/>
  <c r="AA13" i="59"/>
  <c r="BL438" i="3"/>
  <c r="AZ438" i="3" s="1"/>
  <c r="BA441" i="3"/>
  <c r="AZ441" i="3" s="1"/>
  <c r="BA449" i="3"/>
  <c r="AZ449" i="3" s="1"/>
  <c r="BL462" i="3"/>
  <c r="AZ462" i="3" s="1"/>
  <c r="BL470" i="3"/>
  <c r="AZ470" i="3" s="1"/>
  <c r="BL478" i="3"/>
  <c r="AZ478" i="3" s="1"/>
  <c r="BA333" i="3"/>
  <c r="AZ333" i="3" s="1"/>
  <c r="BA357" i="3"/>
  <c r="AZ357" i="3" s="1"/>
  <c r="BL205" i="3"/>
  <c r="AZ205" i="3" s="1"/>
  <c r="BL216" i="3"/>
  <c r="AZ216" i="3" s="1"/>
  <c r="BL218" i="3"/>
  <c r="BA222" i="3"/>
  <c r="AZ222" i="3" s="1"/>
  <c r="BA235" i="3"/>
  <c r="BA238" i="3"/>
  <c r="AZ238" i="3" s="1"/>
  <c r="BL273" i="3"/>
  <c r="BL281" i="3"/>
  <c r="BL289" i="3"/>
  <c r="BL144" i="3"/>
  <c r="BL157" i="3"/>
  <c r="AZ157" i="3" s="1"/>
  <c r="BA166" i="3"/>
  <c r="AZ166" i="3" s="1"/>
  <c r="BA172" i="3"/>
  <c r="BA175" i="3"/>
  <c r="AZ175" i="3" s="1"/>
  <c r="BA177" i="3"/>
  <c r="BL177" i="3"/>
  <c r="BL182" i="3"/>
  <c r="AZ182" i="3" s="1"/>
  <c r="BL183" i="3"/>
  <c r="AZ183" i="3" s="1"/>
  <c r="BA22" i="3"/>
  <c r="BA23" i="3"/>
  <c r="BA51" i="3"/>
  <c r="BL54" i="3"/>
  <c r="BL55" i="3"/>
  <c r="AZ55" i="3" s="1"/>
  <c r="BA57" i="3"/>
  <c r="B13" i="1"/>
  <c r="E13" i="1" s="1"/>
  <c r="K13" i="1"/>
  <c r="M13" i="1" s="1"/>
  <c r="O13" i="1" s="1"/>
  <c r="P13" i="1" s="1"/>
  <c r="D53" i="59"/>
  <c r="AA34" i="59"/>
  <c r="C64" i="59"/>
  <c r="D63" i="59"/>
  <c r="BA394" i="3"/>
  <c r="BL399" i="3"/>
  <c r="AZ399" i="3" s="1"/>
  <c r="BA410" i="3"/>
  <c r="AZ410" i="3" s="1"/>
  <c r="BL415" i="3"/>
  <c r="AZ415" i="3" s="1"/>
  <c r="BA426" i="3"/>
  <c r="AZ426" i="3" s="1"/>
  <c r="BL439" i="3"/>
  <c r="AZ439" i="3" s="1"/>
  <c r="BA442" i="3"/>
  <c r="AZ442" i="3" s="1"/>
  <c r="BL447" i="3"/>
  <c r="BA450" i="3"/>
  <c r="AZ450" i="3" s="1"/>
  <c r="BL463" i="3"/>
  <c r="AZ463" i="3" s="1"/>
  <c r="BL471" i="3"/>
  <c r="AZ471" i="3" s="1"/>
  <c r="BL479" i="3"/>
  <c r="AZ479" i="3" s="1"/>
  <c r="BA368" i="3"/>
  <c r="AZ368" i="3" s="1"/>
  <c r="BA371" i="3"/>
  <c r="AZ371" i="3" s="1"/>
  <c r="BA384" i="3"/>
  <c r="AZ384" i="3" s="1"/>
  <c r="BA210" i="3"/>
  <c r="BL219" i="3"/>
  <c r="BL220" i="3"/>
  <c r="BA223" i="3"/>
  <c r="AZ223" i="3" s="1"/>
  <c r="BL234" i="3"/>
  <c r="BL235" i="3"/>
  <c r="BL236" i="3"/>
  <c r="BA239" i="3"/>
  <c r="AZ239" i="3" s="1"/>
  <c r="BL128" i="3"/>
  <c r="BL163" i="3"/>
  <c r="BL186" i="3"/>
  <c r="AZ186" i="3" s="1"/>
  <c r="BL188" i="3"/>
  <c r="AZ188" i="3" s="1"/>
  <c r="AZ25" i="3"/>
  <c r="BL31" i="3"/>
  <c r="C33" i="59"/>
  <c r="D32" i="59"/>
  <c r="X30" i="59"/>
  <c r="AA22" i="59"/>
  <c r="BL392" i="3"/>
  <c r="AZ392" i="3" s="1"/>
  <c r="BL408" i="3"/>
  <c r="AZ408" i="3" s="1"/>
  <c r="BA419" i="3"/>
  <c r="AZ419" i="3" s="1"/>
  <c r="BL424" i="3"/>
  <c r="AZ424" i="3" s="1"/>
  <c r="BL432" i="3"/>
  <c r="AZ432" i="3" s="1"/>
  <c r="BA435" i="3"/>
  <c r="AZ435" i="3" s="1"/>
  <c r="BL334" i="3"/>
  <c r="AZ334" i="3" s="1"/>
  <c r="BA386" i="3"/>
  <c r="AZ386" i="3" s="1"/>
  <c r="BA212" i="3"/>
  <c r="BL221" i="3"/>
  <c r="AZ221" i="3" s="1"/>
  <c r="G234" i="3"/>
  <c r="BL237" i="3"/>
  <c r="BA242" i="3"/>
  <c r="AZ242" i="3" s="1"/>
  <c r="BA244" i="3"/>
  <c r="BL272" i="3"/>
  <c r="AZ272" i="3" s="1"/>
  <c r="BL280" i="3"/>
  <c r="BL288" i="3"/>
  <c r="BL296" i="3"/>
  <c r="BA151" i="3"/>
  <c r="AZ151" i="3" s="1"/>
  <c r="BA152" i="3"/>
  <c r="BA162" i="3"/>
  <c r="AZ162" i="3" s="1"/>
  <c r="BL165" i="3"/>
  <c r="AZ165" i="3" s="1"/>
  <c r="BL172" i="3"/>
  <c r="BL196" i="3"/>
  <c r="AZ196" i="3" s="1"/>
  <c r="BA203" i="3"/>
  <c r="BL22" i="3"/>
  <c r="BL23" i="3"/>
  <c r="BL41" i="3"/>
  <c r="BA45" i="3"/>
  <c r="BA49" i="3"/>
  <c r="BA67" i="3"/>
  <c r="AZ67" i="3" s="1"/>
  <c r="C67" i="59"/>
  <c r="O68" i="59"/>
  <c r="D68" i="59"/>
  <c r="AA33" i="59"/>
  <c r="AB19" i="59"/>
  <c r="AB11" i="59"/>
  <c r="BA273" i="3"/>
  <c r="BA281" i="3"/>
  <c r="AZ281" i="3" s="1"/>
  <c r="BA289" i="3"/>
  <c r="BL294" i="3"/>
  <c r="AZ294" i="3" s="1"/>
  <c r="BL124" i="3"/>
  <c r="AZ124" i="3" s="1"/>
  <c r="BL140" i="3"/>
  <c r="AZ140" i="3" s="1"/>
  <c r="BA158" i="3"/>
  <c r="AZ158" i="3" s="1"/>
  <c r="BA160" i="3"/>
  <c r="AZ160" i="3" s="1"/>
  <c r="BL171" i="3"/>
  <c r="AZ171" i="3" s="1"/>
  <c r="BL187" i="3"/>
  <c r="AZ187" i="3" s="1"/>
  <c r="BA198" i="3"/>
  <c r="BA202" i="3"/>
  <c r="AZ202" i="3" s="1"/>
  <c r="G21" i="3"/>
  <c r="BL24" i="3"/>
  <c r="AZ24" i="3" s="1"/>
  <c r="G29" i="3"/>
  <c r="BA34" i="3"/>
  <c r="AZ34" i="3" s="1"/>
  <c r="G37" i="3"/>
  <c r="BL40" i="3"/>
  <c r="AZ40" i="3" s="1"/>
  <c r="G45" i="3"/>
  <c r="BA50" i="3"/>
  <c r="AZ50" i="3" s="1"/>
  <c r="G53" i="3"/>
  <c r="BL56" i="3"/>
  <c r="AZ56" i="3" s="1"/>
  <c r="G60" i="3"/>
  <c r="BL61" i="3"/>
  <c r="AZ61" i="3" s="1"/>
  <c r="G67" i="3"/>
  <c r="BL69" i="3"/>
  <c r="BL70" i="3"/>
  <c r="AZ70" i="3" s="1"/>
  <c r="BA72" i="3"/>
  <c r="AZ72" i="3" s="1"/>
  <c r="BL77" i="3"/>
  <c r="BA100" i="3"/>
  <c r="BA102" i="3"/>
  <c r="B32" i="59"/>
  <c r="B33" i="59" s="1"/>
  <c r="S33" i="59" s="1"/>
  <c r="Y38" i="59"/>
  <c r="Z38" i="59" s="1"/>
  <c r="C48" i="59"/>
  <c r="D48" i="59" s="1"/>
  <c r="D47" i="59"/>
  <c r="Y36" i="59"/>
  <c r="Z36" i="59" s="1"/>
  <c r="BL271" i="3"/>
  <c r="BA274" i="3"/>
  <c r="AZ274" i="3" s="1"/>
  <c r="BL279" i="3"/>
  <c r="BA282" i="3"/>
  <c r="AZ282" i="3" s="1"/>
  <c r="BL287" i="3"/>
  <c r="BA290" i="3"/>
  <c r="AZ290" i="3" s="1"/>
  <c r="BL295" i="3"/>
  <c r="BL126" i="3"/>
  <c r="AZ126" i="3" s="1"/>
  <c r="BL142" i="3"/>
  <c r="AZ142" i="3" s="1"/>
  <c r="BL156" i="3"/>
  <c r="AZ156" i="3" s="1"/>
  <c r="BA163" i="3"/>
  <c r="BL173" i="3"/>
  <c r="AZ173" i="3" s="1"/>
  <c r="BL190" i="3"/>
  <c r="BL192" i="3"/>
  <c r="AZ192" i="3" s="1"/>
  <c r="BL194" i="3"/>
  <c r="BA197" i="3"/>
  <c r="AZ197" i="3" s="1"/>
  <c r="BA201" i="3"/>
  <c r="AZ201" i="3" s="1"/>
  <c r="BL203" i="3"/>
  <c r="BA204" i="3"/>
  <c r="BL28" i="3"/>
  <c r="BL35" i="3"/>
  <c r="BA36" i="3"/>
  <c r="BL44" i="3"/>
  <c r="BL51" i="3"/>
  <c r="BA52" i="3"/>
  <c r="BA59" i="3"/>
  <c r="BL65" i="3"/>
  <c r="BL66" i="3"/>
  <c r="BL71" i="3"/>
  <c r="AZ71" i="3" s="1"/>
  <c r="AZ87" i="3"/>
  <c r="BA98" i="3"/>
  <c r="BA106" i="3"/>
  <c r="D53" i="46"/>
  <c r="J53" i="46"/>
  <c r="Y35" i="59"/>
  <c r="Z35" i="59" s="1"/>
  <c r="Y37" i="59"/>
  <c r="Z37" i="59" s="1"/>
  <c r="E49" i="59"/>
  <c r="U49" i="59" s="1"/>
  <c r="C60" i="59"/>
  <c r="D59" i="59"/>
  <c r="AA14" i="59"/>
  <c r="BL232" i="3"/>
  <c r="BL240" i="3"/>
  <c r="AZ240" i="3" s="1"/>
  <c r="BL248" i="3"/>
  <c r="AZ248" i="3" s="1"/>
  <c r="BL256" i="3"/>
  <c r="AZ256" i="3" s="1"/>
  <c r="BL264" i="3"/>
  <c r="AZ264" i="3" s="1"/>
  <c r="BA115" i="3"/>
  <c r="AZ115" i="3" s="1"/>
  <c r="BA117" i="3"/>
  <c r="AZ117" i="3" s="1"/>
  <c r="BA131" i="3"/>
  <c r="AZ131" i="3" s="1"/>
  <c r="BA133" i="3"/>
  <c r="BA147" i="3"/>
  <c r="AZ147" i="3" s="1"/>
  <c r="BA149" i="3"/>
  <c r="AZ149" i="3" s="1"/>
  <c r="BL159" i="3"/>
  <c r="AZ159" i="3" s="1"/>
  <c r="BA164" i="3"/>
  <c r="AZ164" i="3" s="1"/>
  <c r="BA180" i="3"/>
  <c r="AZ180" i="3" s="1"/>
  <c r="BL195" i="3"/>
  <c r="AZ195" i="3" s="1"/>
  <c r="BL198" i="3"/>
  <c r="BL57" i="3"/>
  <c r="BL75" i="3"/>
  <c r="BL85" i="3"/>
  <c r="BA91" i="3"/>
  <c r="BA93" i="3"/>
  <c r="AZ93" i="3" s="1"/>
  <c r="BA95" i="3"/>
  <c r="AZ95" i="3" s="1"/>
  <c r="BA97" i="3"/>
  <c r="BL100" i="3"/>
  <c r="BA110" i="3"/>
  <c r="AA35" i="59"/>
  <c r="S69" i="59"/>
  <c r="B68" i="59"/>
  <c r="B72" i="59"/>
  <c r="B71" i="59" s="1"/>
  <c r="AB12" i="59"/>
  <c r="AB18" i="59"/>
  <c r="X15" i="59"/>
  <c r="X14" i="59"/>
  <c r="X12" i="59"/>
  <c r="X13" i="59"/>
  <c r="X11" i="59"/>
  <c r="X17" i="59"/>
  <c r="AA12" i="59"/>
  <c r="BL209" i="3"/>
  <c r="BL217" i="3"/>
  <c r="AZ217" i="3" s="1"/>
  <c r="BL225" i="3"/>
  <c r="AZ225" i="3" s="1"/>
  <c r="BL233" i="3"/>
  <c r="AZ233" i="3" s="1"/>
  <c r="BL241" i="3"/>
  <c r="AZ241" i="3" s="1"/>
  <c r="BL249" i="3"/>
  <c r="BL257" i="3"/>
  <c r="AZ257" i="3" s="1"/>
  <c r="BL265" i="3"/>
  <c r="AZ265" i="3" s="1"/>
  <c r="BL113" i="3"/>
  <c r="BA120" i="3"/>
  <c r="AZ120" i="3" s="1"/>
  <c r="BL129" i="3"/>
  <c r="AZ129" i="3" s="1"/>
  <c r="BA136" i="3"/>
  <c r="AZ136" i="3" s="1"/>
  <c r="BL145" i="3"/>
  <c r="AZ145" i="3" s="1"/>
  <c r="BL161" i="3"/>
  <c r="AZ161" i="3" s="1"/>
  <c r="BA167" i="3"/>
  <c r="BL176" i="3"/>
  <c r="BA179" i="3"/>
  <c r="AZ179" i="3" s="1"/>
  <c r="BA181" i="3"/>
  <c r="AZ181" i="3" s="1"/>
  <c r="BL199" i="3"/>
  <c r="AZ199" i="3" s="1"/>
  <c r="G85" i="3"/>
  <c r="BL87" i="3"/>
  <c r="BL91" i="3"/>
  <c r="BL102" i="3"/>
  <c r="BA105" i="3"/>
  <c r="C57" i="59"/>
  <c r="D56" i="59"/>
  <c r="AA31" i="59"/>
  <c r="C44" i="59"/>
  <c r="D43" i="59"/>
  <c r="T69" i="59"/>
  <c r="O69" i="59"/>
  <c r="D69" i="59"/>
  <c r="X28" i="59"/>
  <c r="X29" i="59"/>
  <c r="Y33" i="59"/>
  <c r="Z33" i="59" s="1"/>
  <c r="AB26" i="59"/>
  <c r="AB24" i="59"/>
  <c r="Y12" i="59"/>
  <c r="Z12" i="59" s="1"/>
  <c r="Y11" i="59"/>
  <c r="Z11" i="59" s="1"/>
  <c r="Y15" i="59"/>
  <c r="Z15" i="59" s="1"/>
  <c r="Y13" i="59"/>
  <c r="Z13" i="59" s="1"/>
  <c r="Y14" i="59"/>
  <c r="Z14" i="59" s="1"/>
  <c r="BA28" i="3"/>
  <c r="BL33" i="3"/>
  <c r="BA44" i="3"/>
  <c r="AZ44" i="3" s="1"/>
  <c r="BL49" i="3"/>
  <c r="BA66" i="3"/>
  <c r="BA76" i="3"/>
  <c r="BA77" i="3"/>
  <c r="AZ77" i="3" s="1"/>
  <c r="BL94" i="3"/>
  <c r="AZ94" i="3" s="1"/>
  <c r="BL98" i="3"/>
  <c r="G99" i="3"/>
  <c r="BA104" i="3"/>
  <c r="AZ104" i="3" s="1"/>
  <c r="S18" i="36"/>
  <c r="V73" i="59"/>
  <c r="F72" i="59"/>
  <c r="F71" i="59" s="1"/>
  <c r="T77" i="59"/>
  <c r="X36" i="59"/>
  <c r="Y18" i="59"/>
  <c r="Z18" i="59" s="1"/>
  <c r="AA18" i="59"/>
  <c r="AA3" i="59"/>
  <c r="BA21" i="3"/>
  <c r="AZ21" i="3" s="1"/>
  <c r="BL26" i="3"/>
  <c r="BA37" i="3"/>
  <c r="AZ37" i="3" s="1"/>
  <c r="BL42" i="3"/>
  <c r="AZ42" i="3" s="1"/>
  <c r="BA53" i="3"/>
  <c r="AZ53" i="3" s="1"/>
  <c r="BL64" i="3"/>
  <c r="AZ64" i="3" s="1"/>
  <c r="G74" i="3"/>
  <c r="BL74" i="3"/>
  <c r="AZ74" i="3" s="1"/>
  <c r="BA78" i="3"/>
  <c r="AZ78" i="3" s="1"/>
  <c r="BA84" i="3"/>
  <c r="G98" i="3"/>
  <c r="BA107" i="3"/>
  <c r="AZ107" i="3" s="1"/>
  <c r="BA109" i="3"/>
  <c r="X32" i="59"/>
  <c r="AA38" i="59"/>
  <c r="Y6" i="59"/>
  <c r="Z6" i="59" s="1"/>
  <c r="Y8" i="59"/>
  <c r="Z8" i="59" s="1"/>
  <c r="Y7" i="59"/>
  <c r="Z7" i="59" s="1"/>
  <c r="Y5" i="59"/>
  <c r="Z5" i="59" s="1"/>
  <c r="Y10" i="59"/>
  <c r="Z10" i="59" s="1"/>
  <c r="E24" i="59"/>
  <c r="E23" i="59" s="1"/>
  <c r="E22" i="59" s="1"/>
  <c r="E21" i="59" s="1"/>
  <c r="U25" i="59"/>
  <c r="X24" i="59"/>
  <c r="X22" i="59"/>
  <c r="BL27" i="3"/>
  <c r="AZ27" i="3" s="1"/>
  <c r="BA30" i="3"/>
  <c r="AZ30" i="3" s="1"/>
  <c r="BL43" i="3"/>
  <c r="AZ43" i="3" s="1"/>
  <c r="BA46" i="3"/>
  <c r="AZ46" i="3" s="1"/>
  <c r="BL58" i="3"/>
  <c r="AZ58" i="3" s="1"/>
  <c r="BA60" i="3"/>
  <c r="AZ60" i="3" s="1"/>
  <c r="BA68" i="3"/>
  <c r="AZ68" i="3" s="1"/>
  <c r="BL76" i="3"/>
  <c r="BA79" i="3"/>
  <c r="AZ79" i="3" s="1"/>
  <c r="BA82" i="3"/>
  <c r="BA83" i="3"/>
  <c r="BA86" i="3"/>
  <c r="AZ86" i="3" s="1"/>
  <c r="BL97" i="3"/>
  <c r="BL103" i="3"/>
  <c r="BL107" i="3"/>
  <c r="BA111" i="3"/>
  <c r="AZ111" i="3" s="1"/>
  <c r="AA30" i="59"/>
  <c r="Y32" i="59"/>
  <c r="Z32" i="59" s="1"/>
  <c r="E35" i="59"/>
  <c r="E36" i="59" s="1"/>
  <c r="E37" i="59" s="1"/>
  <c r="U37" i="59" s="1"/>
  <c r="F39" i="59"/>
  <c r="F40" i="59" s="1"/>
  <c r="F41" i="59" s="1"/>
  <c r="V41" i="59" s="1"/>
  <c r="AB38" i="59"/>
  <c r="AA5" i="59"/>
  <c r="AA6" i="59"/>
  <c r="AA8" i="59"/>
  <c r="AA7" i="59"/>
  <c r="AA40" i="59"/>
  <c r="AB34" i="59"/>
  <c r="Y24" i="59"/>
  <c r="Z24" i="59" s="1"/>
  <c r="AB3" i="59"/>
  <c r="BL191" i="3"/>
  <c r="BL204" i="3"/>
  <c r="BA31" i="3"/>
  <c r="AZ31" i="3" s="1"/>
  <c r="BL36" i="3"/>
  <c r="BA47" i="3"/>
  <c r="BL52" i="3"/>
  <c r="BL59" i="3"/>
  <c r="BA69" i="3"/>
  <c r="BA81" i="3"/>
  <c r="AZ81" i="3" s="1"/>
  <c r="BL83" i="3"/>
  <c r="BL84" i="3"/>
  <c r="G106" i="3"/>
  <c r="G107" i="3"/>
  <c r="BL109" i="3"/>
  <c r="BA112" i="3"/>
  <c r="AZ112" i="3" s="1"/>
  <c r="D76" i="59"/>
  <c r="AA32" i="59"/>
  <c r="F64" i="59"/>
  <c r="F65" i="59" s="1"/>
  <c r="V65" i="59" s="1"/>
  <c r="U81" i="59"/>
  <c r="E80" i="59"/>
  <c r="E79" i="59" s="1"/>
  <c r="AA26" i="59"/>
  <c r="BA75" i="3"/>
  <c r="AZ75" i="3" s="1"/>
  <c r="BL80" i="3"/>
  <c r="AZ80" i="3" s="1"/>
  <c r="BL96" i="3"/>
  <c r="AZ96" i="3" s="1"/>
  <c r="BA99" i="3"/>
  <c r="E72" i="59"/>
  <c r="E71" i="59" s="1"/>
  <c r="AB8" i="59"/>
  <c r="AB10" i="59"/>
  <c r="AB6" i="59"/>
  <c r="AB7" i="59"/>
  <c r="AB5" i="59"/>
  <c r="Y34" i="59"/>
  <c r="Z34" i="59" s="1"/>
  <c r="AA16" i="59"/>
  <c r="AA11" i="59"/>
  <c r="BL73" i="3"/>
  <c r="BL89" i="3"/>
  <c r="AZ89" i="3" s="1"/>
  <c r="BA92" i="3"/>
  <c r="BL105" i="3"/>
  <c r="BA108" i="3"/>
  <c r="AZ108" i="3" s="1"/>
  <c r="C27" i="40"/>
  <c r="C80" i="59"/>
  <c r="E39" i="59"/>
  <c r="E40" i="59" s="1"/>
  <c r="E41" i="59" s="1"/>
  <c r="U41" i="59" s="1"/>
  <c r="AB16" i="59"/>
  <c r="AB13" i="59"/>
  <c r="AA15" i="59"/>
  <c r="BA85" i="3"/>
  <c r="BL90" i="3"/>
  <c r="AZ90" i="3" s="1"/>
  <c r="BA101" i="3"/>
  <c r="AZ101" i="3" s="1"/>
  <c r="BL106" i="3"/>
  <c r="S31" i="39"/>
  <c r="X8" i="59"/>
  <c r="X6" i="59"/>
  <c r="X5" i="59"/>
  <c r="X7" i="59"/>
  <c r="X10" i="59"/>
  <c r="AB14" i="59"/>
  <c r="AB15" i="59"/>
  <c r="O40" i="9"/>
  <c r="K31" i="9" s="1"/>
  <c r="K32" i="9" s="1"/>
  <c r="K33" i="9"/>
  <c r="K34" i="9" s="1"/>
  <c r="J51" i="15"/>
  <c r="S25" i="39"/>
  <c r="W25" i="39"/>
  <c r="AB25" i="39"/>
  <c r="M6" i="1"/>
  <c r="O6" i="1" s="1"/>
  <c r="P6" i="1" s="1"/>
  <c r="C15" i="12" s="1"/>
  <c r="AH6" i="1"/>
  <c r="H125" i="39"/>
  <c r="I125" i="39" s="1"/>
  <c r="J125" i="39" s="1"/>
  <c r="K125" i="39" s="1"/>
  <c r="L125" i="39" s="1"/>
  <c r="M125" i="39" s="1"/>
  <c r="F43" i="39"/>
  <c r="AA43" i="39" s="1"/>
  <c r="J43" i="39"/>
  <c r="AC43" i="39" s="1"/>
  <c r="H43" i="39"/>
  <c r="U41" i="39"/>
  <c r="S41" i="39"/>
  <c r="W34" i="39"/>
  <c r="U34" i="39"/>
  <c r="AA44" i="39"/>
  <c r="AC44" i="39"/>
  <c r="U23" i="39"/>
  <c r="S23" i="39"/>
  <c r="W23" i="39"/>
  <c r="F42" i="33"/>
  <c r="AA42" i="33" s="1"/>
  <c r="U33" i="33"/>
  <c r="W33" i="33"/>
  <c r="U36" i="33"/>
  <c r="AC36" i="33"/>
  <c r="AC37" i="33"/>
  <c r="AB34" i="33"/>
  <c r="S33" i="33"/>
  <c r="W43" i="33"/>
  <c r="AB43" i="33"/>
  <c r="S37" i="33"/>
  <c r="U35" i="33"/>
  <c r="S35" i="33"/>
  <c r="W34" i="33"/>
  <c r="W39" i="33"/>
  <c r="S39" i="33"/>
  <c r="AC35" i="33"/>
  <c r="AA34" i="33"/>
  <c r="U32" i="33"/>
  <c r="W32" i="33"/>
  <c r="F23" i="33"/>
  <c r="S23" i="33" s="1"/>
  <c r="F85" i="33"/>
  <c r="G85" i="33" s="1"/>
  <c r="J23" i="33"/>
  <c r="AC23" i="33" s="1"/>
  <c r="H23" i="33"/>
  <c r="AB23" i="33" s="1"/>
  <c r="G81" i="33"/>
  <c r="H19" i="33"/>
  <c r="AB19" i="33" s="1"/>
  <c r="J19" i="33"/>
  <c r="W19" i="33" s="1"/>
  <c r="F19" i="33"/>
  <c r="AC19" i="33"/>
  <c r="F79" i="33"/>
  <c r="G79" i="33" s="1"/>
  <c r="F17" i="33"/>
  <c r="AA17" i="33" s="1"/>
  <c r="J17" i="33"/>
  <c r="W17" i="33" s="1"/>
  <c r="H17" i="33"/>
  <c r="AB17" i="33" s="1"/>
  <c r="AB11" i="33"/>
  <c r="AC11" i="33"/>
  <c r="F77" i="33"/>
  <c r="F15" i="33" s="1"/>
  <c r="AC17" i="33"/>
  <c r="W9" i="33"/>
  <c r="A30" i="51"/>
  <c r="B22" i="63" s="1"/>
  <c r="A30" i="64"/>
  <c r="P75" i="15"/>
  <c r="F100" i="39"/>
  <c r="G100" i="39" s="1"/>
  <c r="H27" i="39"/>
  <c r="AB27" i="39" s="1"/>
  <c r="F27" i="39"/>
  <c r="AA27" i="39" s="1"/>
  <c r="J27" i="39"/>
  <c r="AC27" i="39" s="1"/>
  <c r="W41" i="39"/>
  <c r="B101" i="46"/>
  <c r="B79" i="46"/>
  <c r="B76" i="46"/>
  <c r="B77" i="46"/>
  <c r="C31" i="39"/>
  <c r="B68" i="46"/>
  <c r="G29" i="6"/>
  <c r="C51" i="10"/>
  <c r="A9" i="64" s="1"/>
  <c r="G12" i="1"/>
  <c r="D65" i="46"/>
  <c r="D50" i="46"/>
  <c r="F36" i="44"/>
  <c r="M22" i="44"/>
  <c r="M20" i="15"/>
  <c r="E29" i="6"/>
  <c r="BL13" i="3"/>
  <c r="L19" i="6"/>
  <c r="L27" i="6" s="1"/>
  <c r="C7" i="21"/>
  <c r="C58" i="21" s="1"/>
  <c r="D58" i="21" s="1"/>
  <c r="E58" i="21" s="1"/>
  <c r="F58" i="21" s="1"/>
  <c r="G58" i="21" s="1"/>
  <c r="H58" i="21" s="1"/>
  <c r="I58" i="21" s="1"/>
  <c r="J58" i="21" s="1"/>
  <c r="K58" i="21" s="1"/>
  <c r="L58" i="21" s="1"/>
  <c r="M58" i="21" s="1"/>
  <c r="N58" i="21" s="1"/>
  <c r="O58" i="21" s="1"/>
  <c r="C7" i="33"/>
  <c r="C58" i="33" s="1"/>
  <c r="D58" i="33" s="1"/>
  <c r="E58" i="33" s="1"/>
  <c r="F58" i="33" s="1"/>
  <c r="C7" i="34"/>
  <c r="C59" i="34" s="1"/>
  <c r="D59" i="34" s="1"/>
  <c r="E59" i="34" s="1"/>
  <c r="F59" i="34" s="1"/>
  <c r="G59" i="34" s="1"/>
  <c r="H59" i="34" s="1"/>
  <c r="I59" i="34" s="1"/>
  <c r="J59" i="34" s="1"/>
  <c r="K59" i="34" s="1"/>
  <c r="L59" i="34" s="1"/>
  <c r="M59" i="34" s="1"/>
  <c r="N59" i="34" s="1"/>
  <c r="O59" i="34" s="1"/>
  <c r="C9" i="39"/>
  <c r="C69" i="39" s="1"/>
  <c r="C9" i="40"/>
  <c r="C64" i="40" s="1"/>
  <c r="C66"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H50" i="46"/>
  <c r="H51" i="46"/>
  <c r="H56" i="46"/>
  <c r="H55" i="46"/>
  <c r="H58" i="46"/>
  <c r="H53" i="46"/>
  <c r="H54" i="46"/>
  <c r="BA13" i="3"/>
  <c r="E8" i="6"/>
  <c r="E53" i="40" s="1"/>
  <c r="AZ20" i="3"/>
  <c r="AZ484" i="3"/>
  <c r="AZ395" i="3"/>
  <c r="AZ405" i="3"/>
  <c r="AZ411" i="3"/>
  <c r="AZ413" i="3"/>
  <c r="AZ447" i="3"/>
  <c r="AZ451" i="3"/>
  <c r="AZ457" i="3"/>
  <c r="AZ465" i="3"/>
  <c r="AZ473" i="3"/>
  <c r="AZ206" i="3"/>
  <c r="AZ116" i="3"/>
  <c r="BT5" i="3"/>
  <c r="BI5" i="3"/>
  <c r="BG5" i="3"/>
  <c r="AZ211" i="3"/>
  <c r="AZ227" i="3"/>
  <c r="AZ235" i="3"/>
  <c r="AZ243" i="3"/>
  <c r="AZ251" i="3"/>
  <c r="AZ259" i="3"/>
  <c r="AZ271" i="3"/>
  <c r="AZ287" i="3"/>
  <c r="AZ168" i="3"/>
  <c r="AZ190" i="3"/>
  <c r="AZ194" i="3"/>
  <c r="AZ198" i="3"/>
  <c r="AZ29" i="3"/>
  <c r="AZ33" i="3"/>
  <c r="AZ45" i="3"/>
  <c r="AZ54" i="3"/>
  <c r="AZ100" i="3"/>
  <c r="AP7" i="1"/>
  <c r="AP16" i="1" s="1"/>
  <c r="F22" i="11" s="1"/>
  <c r="B21" i="63"/>
  <c r="N4" i="63"/>
  <c r="A28" i="64"/>
  <c r="G9" i="1"/>
  <c r="G11" i="1"/>
  <c r="G8" i="1"/>
  <c r="L16" i="4"/>
  <c r="N16" i="4"/>
  <c r="A3" i="55"/>
  <c r="B56" i="63" s="1"/>
  <c r="B37" i="50"/>
  <c r="B2" i="63" s="1"/>
  <c r="X9" i="59"/>
  <c r="AB9" i="59"/>
  <c r="Y9" i="59"/>
  <c r="Z9" i="59" s="1"/>
  <c r="AA9" i="59"/>
  <c r="S17" i="40"/>
  <c r="AB17" i="40"/>
  <c r="AB32" i="40"/>
  <c r="W35" i="40"/>
  <c r="W36" i="40"/>
  <c r="S36" i="40"/>
  <c r="S11" i="40"/>
  <c r="S10" i="40"/>
  <c r="S27" i="40"/>
  <c r="AC31" i="39"/>
  <c r="AA42" i="39"/>
  <c r="S42"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C28" i="15" s="1"/>
  <c r="F30" i="44"/>
  <c r="C30" i="44" s="1"/>
  <c r="D86" i="9"/>
  <c r="F29" i="12"/>
  <c r="F32" i="15"/>
  <c r="F59" i="15" s="1"/>
  <c r="F71" i="9"/>
  <c r="K15" i="1"/>
  <c r="O11" i="1"/>
  <c r="P11" i="1" s="1"/>
  <c r="D21" i="12"/>
  <c r="C21" i="12" s="1"/>
  <c r="O7" i="1"/>
  <c r="P7" i="1" s="1"/>
  <c r="O12" i="1"/>
  <c r="P12" i="1" s="1"/>
  <c r="O10" i="1"/>
  <c r="P10" i="1" s="1"/>
  <c r="O9" i="1"/>
  <c r="P9" i="1" s="1"/>
  <c r="G6" i="1"/>
  <c r="A25" i="51"/>
  <c r="B18" i="63" s="1"/>
  <c r="G10" i="1"/>
  <c r="G13" i="1"/>
  <c r="C95" i="9"/>
  <c r="C92" i="9" s="1"/>
  <c r="C25" i="12"/>
  <c r="C15" i="43"/>
  <c r="D23" i="15"/>
  <c r="L52" i="37"/>
  <c r="M52" i="37" s="1"/>
  <c r="N52" i="37" s="1"/>
  <c r="O52" i="37" s="1"/>
  <c r="L48" i="35"/>
  <c r="M48" i="35" s="1"/>
  <c r="N48" i="35" s="1"/>
  <c r="O48" i="35" s="1"/>
  <c r="G58" i="33"/>
  <c r="H58" i="33" s="1"/>
  <c r="I58" i="33" s="1"/>
  <c r="J58" i="33" s="1"/>
  <c r="K58" i="33" s="1"/>
  <c r="L58" i="33" s="1"/>
  <c r="M58" i="33" s="1"/>
  <c r="N58" i="33" s="1"/>
  <c r="O58" i="33" s="1"/>
  <c r="D69" i="39"/>
  <c r="C71" i="39"/>
  <c r="D64" i="40"/>
  <c r="C18" i="11"/>
  <c r="K77" i="9"/>
  <c r="K79" i="9" s="1"/>
  <c r="K81" i="9" s="1"/>
  <c r="E12" i="52"/>
  <c r="B17" i="59"/>
  <c r="X16" i="59"/>
  <c r="Y16" i="59"/>
  <c r="Z16" i="59" s="1"/>
  <c r="B4" i="52"/>
  <c r="B7" i="52"/>
  <c r="E14" i="52"/>
  <c r="E6" i="52"/>
  <c r="C4" i="4" s="1"/>
  <c r="B20" i="55" s="1"/>
  <c r="B70" i="63" s="1"/>
  <c r="E11" i="52"/>
  <c r="E4" i="4" s="1"/>
  <c r="B21" i="55" s="1"/>
  <c r="B72" i="63" s="1"/>
  <c r="E9" i="52"/>
  <c r="E7" i="52"/>
  <c r="B9" i="52"/>
  <c r="E4" i="52"/>
  <c r="E13" i="52"/>
  <c r="B8" i="52"/>
  <c r="E10" i="52"/>
  <c r="B10" i="52"/>
  <c r="B6" i="52"/>
  <c r="B5" i="52"/>
  <c r="B11" i="52"/>
  <c r="B12" i="52"/>
  <c r="E8" i="52"/>
  <c r="B14" i="52"/>
  <c r="E5" i="52"/>
  <c r="Y3" i="59"/>
  <c r="Z3" i="59" s="1"/>
  <c r="AB17" i="59"/>
  <c r="AA17" i="59"/>
  <c r="Y17" i="59"/>
  <c r="Z17" i="59" s="1"/>
  <c r="P29" i="46"/>
  <c r="B72" i="39" s="1"/>
  <c r="J1" i="65"/>
  <c r="C27" i="15"/>
  <c r="M9" i="44"/>
  <c r="C4" i="65"/>
  <c r="B39" i="1" s="1"/>
  <c r="M29" i="15"/>
  <c r="M24" i="15"/>
  <c r="F7" i="15"/>
  <c r="F38" i="44"/>
  <c r="M26" i="15"/>
  <c r="M8" i="44"/>
  <c r="F9" i="15"/>
  <c r="F8" i="15"/>
  <c r="M22" i="15"/>
  <c r="L48" i="15"/>
  <c r="M8" i="15"/>
  <c r="C18" i="44"/>
  <c r="F11" i="44"/>
  <c r="M26" i="44"/>
  <c r="M31" i="44"/>
  <c r="F40" i="15"/>
  <c r="M28" i="44"/>
  <c r="F39" i="44"/>
  <c r="F16" i="15"/>
  <c r="M30" i="44"/>
  <c r="M28" i="15"/>
  <c r="F40" i="44"/>
  <c r="M6" i="15"/>
  <c r="J15" i="15"/>
  <c r="M10" i="44"/>
  <c r="F43" i="44"/>
  <c r="F15" i="44"/>
  <c r="F43" i="15"/>
  <c r="M9" i="15"/>
  <c r="F8" i="44"/>
  <c r="F13" i="15"/>
  <c r="F37" i="15"/>
  <c r="F36" i="15"/>
  <c r="M23" i="15"/>
  <c r="L49" i="44"/>
  <c r="F10" i="44"/>
  <c r="F38" i="15"/>
  <c r="L48" i="44"/>
  <c r="M25" i="44"/>
  <c r="J17" i="44"/>
  <c r="M11" i="44"/>
  <c r="F6" i="15"/>
  <c r="L47" i="15"/>
  <c r="J36" i="15"/>
  <c r="F28" i="44"/>
  <c r="E2" i="65"/>
  <c r="E3" i="65"/>
  <c r="AB19" i="39" l="1"/>
  <c r="U19" i="39"/>
  <c r="AZ69" i="3"/>
  <c r="P66" i="59"/>
  <c r="P67" i="59"/>
  <c r="AC26" i="33"/>
  <c r="W26" i="33"/>
  <c r="AC31" i="33"/>
  <c r="W31" i="33"/>
  <c r="AZ549" i="3"/>
  <c r="BL5" i="3"/>
  <c r="AZ249" i="3"/>
  <c r="AC28" i="21"/>
  <c r="W28" i="21"/>
  <c r="AZ512" i="3"/>
  <c r="W23" i="33"/>
  <c r="AZ85" i="3"/>
  <c r="AZ83" i="3"/>
  <c r="AZ76" i="3"/>
  <c r="AZ176" i="3"/>
  <c r="AZ203" i="3"/>
  <c r="AZ23" i="3"/>
  <c r="AZ220" i="3"/>
  <c r="AZ458" i="3"/>
  <c r="AZ208" i="3"/>
  <c r="AZ141" i="3"/>
  <c r="AZ416" i="3"/>
  <c r="AZ516" i="3"/>
  <c r="D84" i="59"/>
  <c r="C83" i="59"/>
  <c r="D83" i="59" s="1"/>
  <c r="AC34" i="35"/>
  <c r="W34" i="35"/>
  <c r="U26" i="33"/>
  <c r="AB26" i="33"/>
  <c r="R7" i="54"/>
  <c r="B52" i="63" s="1"/>
  <c r="S9" i="33"/>
  <c r="AA11" i="33"/>
  <c r="W42" i="33"/>
  <c r="AB44" i="39"/>
  <c r="AB42" i="33"/>
  <c r="AZ92" i="3"/>
  <c r="AZ99" i="3"/>
  <c r="AZ47" i="3"/>
  <c r="AZ191" i="3"/>
  <c r="AZ103" i="3"/>
  <c r="AZ82" i="3"/>
  <c r="AZ66" i="3"/>
  <c r="AZ28" i="3"/>
  <c r="AZ167" i="3"/>
  <c r="AZ133" i="3"/>
  <c r="AZ232" i="3"/>
  <c r="AZ204" i="3"/>
  <c r="AZ295" i="3"/>
  <c r="AZ102" i="3"/>
  <c r="AZ152" i="3"/>
  <c r="AZ219" i="3"/>
  <c r="AZ394" i="3"/>
  <c r="AZ22" i="3"/>
  <c r="AZ177" i="3"/>
  <c r="AZ62" i="3"/>
  <c r="AZ263" i="3"/>
  <c r="AZ236" i="3"/>
  <c r="AZ283" i="3"/>
  <c r="AZ269" i="3"/>
  <c r="AZ468" i="3"/>
  <c r="AZ35" i="3"/>
  <c r="AZ128" i="3"/>
  <c r="AZ431" i="3"/>
  <c r="AZ474" i="3"/>
  <c r="AZ427" i="3"/>
  <c r="AZ262" i="3"/>
  <c r="AZ572" i="3"/>
  <c r="AZ517" i="3"/>
  <c r="AZ569" i="3"/>
  <c r="AZ481" i="3"/>
  <c r="AZ483" i="3"/>
  <c r="AZ528" i="3"/>
  <c r="AZ539" i="3"/>
  <c r="AZ554" i="3"/>
  <c r="AZ538" i="3"/>
  <c r="AZ524" i="3"/>
  <c r="AZ486" i="3"/>
  <c r="AZ137" i="3"/>
  <c r="AZ420" i="3"/>
  <c r="AC27" i="34"/>
  <c r="W27" i="34"/>
  <c r="AC36" i="35"/>
  <c r="W36" i="35"/>
  <c r="U25" i="37"/>
  <c r="AB25" i="37"/>
  <c r="W44" i="21"/>
  <c r="AC44" i="21"/>
  <c r="Q72" i="15"/>
  <c r="C29" i="44"/>
  <c r="L59" i="44"/>
  <c r="Q75" i="44" s="1"/>
  <c r="L60" i="44"/>
  <c r="Q63" i="44" s="1"/>
  <c r="F48" i="15"/>
  <c r="F64" i="15"/>
  <c r="J58" i="44"/>
  <c r="J56" i="44" s="1"/>
  <c r="J59" i="44" s="1"/>
  <c r="Q52" i="44" s="1"/>
  <c r="I55" i="44"/>
  <c r="J54" i="44"/>
  <c r="F1" i="44" s="1"/>
  <c r="L57" i="44"/>
  <c r="F33" i="44"/>
  <c r="C8" i="44"/>
  <c r="C34" i="44" s="1"/>
  <c r="J53" i="15"/>
  <c r="F1" i="15" s="1"/>
  <c r="L56" i="15"/>
  <c r="F70" i="15"/>
  <c r="F65" i="15"/>
  <c r="L58" i="15"/>
  <c r="Q74" i="15" s="1"/>
  <c r="L59" i="15"/>
  <c r="Q75" i="15" s="1"/>
  <c r="Q73" i="44"/>
  <c r="F67" i="15"/>
  <c r="F50" i="15"/>
  <c r="F63" i="15"/>
  <c r="J57" i="15"/>
  <c r="J55" i="15" s="1"/>
  <c r="J58" i="15" s="1"/>
  <c r="Q51" i="15" s="1"/>
  <c r="AZ105" i="3"/>
  <c r="C23" i="59"/>
  <c r="D24" i="59"/>
  <c r="AC12" i="36"/>
  <c r="W12" i="36"/>
  <c r="AA16" i="40"/>
  <c r="S16" i="40"/>
  <c r="U28" i="34"/>
  <c r="AB28" i="34"/>
  <c r="AA28" i="33"/>
  <c r="S28" i="33"/>
  <c r="S13" i="36"/>
  <c r="AA13" i="36"/>
  <c r="AB13" i="35"/>
  <c r="U13" i="35"/>
  <c r="AB29" i="21"/>
  <c r="U29" i="21"/>
  <c r="P27" i="46"/>
  <c r="AZ13" i="3"/>
  <c r="A1" i="70"/>
  <c r="U19" i="33"/>
  <c r="AZ84" i="3"/>
  <c r="AZ289" i="3"/>
  <c r="O67" i="59"/>
  <c r="D67" i="59"/>
  <c r="O66" i="59"/>
  <c r="AZ212" i="3"/>
  <c r="AZ57" i="3"/>
  <c r="AZ125" i="3"/>
  <c r="AZ237" i="3"/>
  <c r="AZ209" i="3"/>
  <c r="AZ402" i="3"/>
  <c r="AZ144" i="3"/>
  <c r="AZ480" i="3"/>
  <c r="AZ65" i="3"/>
  <c r="AZ255" i="3"/>
  <c r="AZ440" i="3"/>
  <c r="AZ570" i="3"/>
  <c r="AZ525" i="3"/>
  <c r="AZ18" i="3"/>
  <c r="AA47" i="39"/>
  <c r="S47" i="39"/>
  <c r="S13" i="35"/>
  <c r="AA13" i="35"/>
  <c r="O23" i="46"/>
  <c r="AZ91" i="3"/>
  <c r="AZ36" i="3"/>
  <c r="U12" i="35"/>
  <c r="AB12" i="35"/>
  <c r="AC28" i="37"/>
  <c r="W28" i="37"/>
  <c r="AC29" i="34"/>
  <c r="W29" i="34"/>
  <c r="F16" i="59"/>
  <c r="F15" i="59" s="1"/>
  <c r="F14" i="59" s="1"/>
  <c r="F13" i="59" s="1"/>
  <c r="V17" i="59"/>
  <c r="P26" i="46"/>
  <c r="S42" i="33"/>
  <c r="AZ273" i="3"/>
  <c r="AZ49" i="3"/>
  <c r="AZ210" i="3"/>
  <c r="AZ234" i="3"/>
  <c r="AZ226" i="3"/>
  <c r="D29" i="59"/>
  <c r="C28" i="59"/>
  <c r="T29" i="59"/>
  <c r="S12" i="35"/>
  <c r="AA12" i="35"/>
  <c r="B20" i="31"/>
  <c r="R22" i="31"/>
  <c r="B21" i="31" s="1"/>
  <c r="S28" i="37"/>
  <c r="AA28" i="37"/>
  <c r="AZ536" i="3"/>
  <c r="AA45" i="33"/>
  <c r="S45" i="33"/>
  <c r="AA12" i="37"/>
  <c r="S12" i="37"/>
  <c r="W25" i="35"/>
  <c r="AC25" i="35"/>
  <c r="AB13" i="33"/>
  <c r="U13" i="33"/>
  <c r="P28" i="46"/>
  <c r="B67" i="40" s="1"/>
  <c r="N68" i="59"/>
  <c r="B67" i="59"/>
  <c r="AA25" i="35"/>
  <c r="S25" i="35"/>
  <c r="J8" i="44"/>
  <c r="J20" i="44" s="1"/>
  <c r="AC47" i="39"/>
  <c r="A9" i="51"/>
  <c r="B9" i="63" s="1"/>
  <c r="D44" i="59"/>
  <c r="C45" i="59"/>
  <c r="AZ244" i="3"/>
  <c r="C65" i="59"/>
  <c r="D64" i="59"/>
  <c r="AZ51" i="3"/>
  <c r="AZ172" i="3"/>
  <c r="AZ459" i="3"/>
  <c r="AZ434" i="3"/>
  <c r="AZ403" i="3"/>
  <c r="AZ113" i="3"/>
  <c r="AZ224" i="3"/>
  <c r="AZ132" i="3"/>
  <c r="AZ448" i="3"/>
  <c r="U29" i="59"/>
  <c r="E28" i="59"/>
  <c r="E27" i="59" s="1"/>
  <c r="AZ393" i="3"/>
  <c r="AC12" i="35"/>
  <c r="W12" i="35"/>
  <c r="W42" i="40"/>
  <c r="AC42" i="40"/>
  <c r="AB47" i="34"/>
  <c r="U47" i="34"/>
  <c r="U45" i="33"/>
  <c r="AB45" i="33"/>
  <c r="AA24" i="36"/>
  <c r="S24" i="36"/>
  <c r="U9" i="21"/>
  <c r="AB9" i="21"/>
  <c r="U12" i="37"/>
  <c r="AB12" i="37"/>
  <c r="E15" i="6"/>
  <c r="E66" i="39" s="1"/>
  <c r="S43" i="39"/>
  <c r="D80" i="59"/>
  <c r="C79" i="59"/>
  <c r="D79" i="59" s="1"/>
  <c r="AZ110" i="3"/>
  <c r="AZ163" i="3"/>
  <c r="T33" i="59"/>
  <c r="D33" i="59"/>
  <c r="AZ41" i="3"/>
  <c r="AC9" i="35"/>
  <c r="W9" i="35"/>
  <c r="AA42" i="40"/>
  <c r="S42" i="40"/>
  <c r="AC47" i="34"/>
  <c r="W47" i="34"/>
  <c r="AB24" i="36"/>
  <c r="U24" i="36"/>
  <c r="S9" i="21"/>
  <c r="AA9" i="21"/>
  <c r="AA23" i="36"/>
  <c r="S23" i="36"/>
  <c r="W16" i="39"/>
  <c r="AC16" i="39"/>
  <c r="D60" i="59"/>
  <c r="C61" i="59"/>
  <c r="I54" i="15"/>
  <c r="S27" i="39"/>
  <c r="E20" i="59"/>
  <c r="E19" i="59" s="1"/>
  <c r="E18" i="59" s="1"/>
  <c r="E17" i="59" s="1"/>
  <c r="U21" i="59"/>
  <c r="AZ109" i="3"/>
  <c r="AZ106" i="3"/>
  <c r="AZ59" i="3"/>
  <c r="V29" i="59"/>
  <c r="F28" i="59"/>
  <c r="F27" i="59" s="1"/>
  <c r="AZ562" i="3"/>
  <c r="W12" i="21"/>
  <c r="AC12" i="21"/>
  <c r="G92" i="39"/>
  <c r="F19" i="39"/>
  <c r="J19" i="39"/>
  <c r="AB9" i="35"/>
  <c r="U9" i="35"/>
  <c r="AA32" i="34"/>
  <c r="S32" i="34"/>
  <c r="W28" i="34"/>
  <c r="AC28" i="34"/>
  <c r="W24" i="36"/>
  <c r="AC24" i="36"/>
  <c r="AC9" i="21"/>
  <c r="W9" i="21"/>
  <c r="W23" i="36"/>
  <c r="AC23" i="36"/>
  <c r="S16" i="39"/>
  <c r="AA16" i="39"/>
  <c r="AZ492" i="3"/>
  <c r="S13" i="33"/>
  <c r="AA13" i="33"/>
  <c r="P25" i="46"/>
  <c r="B16" i="59"/>
  <c r="B15" i="59" s="1"/>
  <c r="B14" i="59" s="1"/>
  <c r="B13" i="59" s="1"/>
  <c r="S17" i="59"/>
  <c r="K17" i="4"/>
  <c r="A22" i="51" s="1"/>
  <c r="B16" i="63" s="1"/>
  <c r="U23" i="33"/>
  <c r="W43" i="39"/>
  <c r="D57" i="59"/>
  <c r="T57" i="59"/>
  <c r="AZ97" i="3"/>
  <c r="AZ98" i="3"/>
  <c r="AZ52" i="3"/>
  <c r="C37" i="59"/>
  <c r="D36" i="59"/>
  <c r="AZ280" i="3"/>
  <c r="AZ230" i="3"/>
  <c r="AZ296" i="3"/>
  <c r="AZ418" i="3"/>
  <c r="AZ284" i="3"/>
  <c r="C41" i="59"/>
  <c r="D40" i="59"/>
  <c r="AZ467" i="3"/>
  <c r="S12" i="21"/>
  <c r="AA12" i="21"/>
  <c r="AA12" i="36"/>
  <c r="S12" i="36"/>
  <c r="W16" i="40"/>
  <c r="AC16" i="40"/>
  <c r="S28" i="34"/>
  <c r="AA28" i="34"/>
  <c r="AB28" i="33"/>
  <c r="U28" i="33"/>
  <c r="AZ552" i="3"/>
  <c r="AB23" i="36"/>
  <c r="U23" i="36"/>
  <c r="S29" i="21"/>
  <c r="AA29" i="21"/>
  <c r="W29" i="21"/>
  <c r="AC29" i="21"/>
  <c r="AZ545" i="3"/>
  <c r="W13" i="33"/>
  <c r="AC13" i="33"/>
  <c r="AA23" i="33"/>
  <c r="F31" i="15"/>
  <c r="C6" i="15"/>
  <c r="C32" i="15" s="1"/>
  <c r="M7" i="15"/>
  <c r="M17" i="15" s="1"/>
  <c r="F49" i="15"/>
  <c r="F58" i="15" s="1"/>
  <c r="U43" i="39"/>
  <c r="AB43" i="39"/>
  <c r="U27" i="39"/>
  <c r="S17" i="33"/>
  <c r="S19" i="33"/>
  <c r="AA19" i="33"/>
  <c r="U17" i="33"/>
  <c r="AA15" i="33"/>
  <c r="S15" i="33"/>
  <c r="G77" i="33"/>
  <c r="J15" i="33"/>
  <c r="H15" i="33"/>
  <c r="W27" i="39"/>
  <c r="J7" i="33"/>
  <c r="W7" i="33" s="1"/>
  <c r="E83" i="46"/>
  <c r="B81" i="46" s="1"/>
  <c r="D26" i="46"/>
  <c r="C25" i="46" s="1"/>
  <c r="BA5" i="3"/>
  <c r="E12" i="6"/>
  <c r="E63" i="39" s="1"/>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E58" i="39"/>
  <c r="E10" i="6"/>
  <c r="E14" i="6"/>
  <c r="E65" i="39" s="1"/>
  <c r="E13" i="6"/>
  <c r="E59" i="40" s="1"/>
  <c r="E11" i="6"/>
  <c r="E62" i="39" s="1"/>
  <c r="E28" i="6"/>
  <c r="G5" i="3"/>
  <c r="B3" i="3" s="1"/>
  <c r="F21" i="43"/>
  <c r="F33" i="12"/>
  <c r="C34" i="12" s="1"/>
  <c r="D33" i="12" s="1"/>
  <c r="K14" i="1"/>
  <c r="H7" i="34"/>
  <c r="U7" i="34" s="1"/>
  <c r="F7" i="34"/>
  <c r="AA7" i="34" s="1"/>
  <c r="R49" i="34" s="1"/>
  <c r="J7" i="34"/>
  <c r="W7" i="34" s="1"/>
  <c r="G16" i="1"/>
  <c r="J12" i="40" s="1"/>
  <c r="F7" i="21"/>
  <c r="AA7" i="21" s="1"/>
  <c r="R48" i="21" s="1"/>
  <c r="H7" i="21"/>
  <c r="AB7" i="21" s="1"/>
  <c r="T48" i="21" s="1"/>
  <c r="G48" i="21" s="1"/>
  <c r="B12" i="59"/>
  <c r="S13" i="59"/>
  <c r="H7" i="35"/>
  <c r="U7" i="35" s="1"/>
  <c r="B40" i="1"/>
  <c r="E64" i="40"/>
  <c r="D66" i="40"/>
  <c r="S7" i="34"/>
  <c r="J7" i="37"/>
  <c r="W7" i="21"/>
  <c r="D71" i="39"/>
  <c r="E69" i="39"/>
  <c r="H7" i="33"/>
  <c r="F7" i="33"/>
  <c r="J46" i="36"/>
  <c r="J7" i="35"/>
  <c r="F7" i="35"/>
  <c r="H7" i="37"/>
  <c r="F7" i="37"/>
  <c r="M19" i="44"/>
  <c r="F17" i="11"/>
  <c r="C17" i="11" s="1"/>
  <c r="C19" i="11" s="1"/>
  <c r="M13" i="44"/>
  <c r="J12" i="44" s="1"/>
  <c r="F11" i="15"/>
  <c r="M11" i="15"/>
  <c r="F13" i="44"/>
  <c r="C12" i="44" s="1"/>
  <c r="M32" i="46"/>
  <c r="P32" i="46"/>
  <c r="O32" i="46"/>
  <c r="N32" i="46"/>
  <c r="AE12" i="1"/>
  <c r="AE7" i="1"/>
  <c r="AE8" i="1"/>
  <c r="AE9" i="1"/>
  <c r="AE10" i="1"/>
  <c r="AE11" i="1"/>
  <c r="AE6" i="1"/>
  <c r="C16" i="15"/>
  <c r="F46" i="44"/>
  <c r="AB7" i="34" l="1"/>
  <c r="T49" i="34" s="1"/>
  <c r="G49" i="34" s="1"/>
  <c r="C7" i="44"/>
  <c r="C40" i="44" s="1"/>
  <c r="J60" i="44"/>
  <c r="J61" i="44" s="1"/>
  <c r="Q50" i="44" s="1"/>
  <c r="Q76" i="44"/>
  <c r="Q62" i="15"/>
  <c r="Q54" i="44"/>
  <c r="Q61" i="15"/>
  <c r="Q53" i="15"/>
  <c r="Q62" i="44"/>
  <c r="J7" i="44"/>
  <c r="J26" i="44" s="1"/>
  <c r="T61" i="59"/>
  <c r="D61" i="59"/>
  <c r="C27" i="59"/>
  <c r="D27" i="59" s="1"/>
  <c r="D28" i="59"/>
  <c r="W19" i="39"/>
  <c r="AC19" i="39"/>
  <c r="E61" i="40"/>
  <c r="S19" i="39"/>
  <c r="AA19" i="39"/>
  <c r="V13" i="59"/>
  <c r="F12" i="59"/>
  <c r="F11" i="59" s="1"/>
  <c r="T37" i="59"/>
  <c r="D37" i="59"/>
  <c r="T65" i="59"/>
  <c r="D65" i="59"/>
  <c r="E58" i="40"/>
  <c r="T41" i="59"/>
  <c r="D41" i="59"/>
  <c r="E16" i="59"/>
  <c r="E15" i="59" s="1"/>
  <c r="E14" i="59" s="1"/>
  <c r="E13" i="59" s="1"/>
  <c r="U17" i="59"/>
  <c r="N66" i="59"/>
  <c r="N67" i="59"/>
  <c r="T45" i="59"/>
  <c r="D45" i="59"/>
  <c r="C22" i="59"/>
  <c r="D23" i="59"/>
  <c r="AC7" i="33"/>
  <c r="C48" i="15"/>
  <c r="J6" i="15"/>
  <c r="J18" i="15" s="1"/>
  <c r="F31" i="6"/>
  <c r="F38" i="6"/>
  <c r="W15" i="33"/>
  <c r="AC15" i="33"/>
  <c r="U15" i="33"/>
  <c r="AB15" i="33"/>
  <c r="D46" i="9"/>
  <c r="C21" i="4"/>
  <c r="O5" i="54" s="1"/>
  <c r="B45" i="63" s="1"/>
  <c r="E6" i="6"/>
  <c r="D13" i="11" s="1"/>
  <c r="C13" i="11" s="1"/>
  <c r="AC7" i="34"/>
  <c r="V49" i="34" s="1"/>
  <c r="I49" i="34" s="1"/>
  <c r="I53" i="34" s="1"/>
  <c r="J53" i="34" s="1"/>
  <c r="J10" i="15"/>
  <c r="AG8" i="1"/>
  <c r="AG9" i="1"/>
  <c r="AG11" i="1"/>
  <c r="AG12" i="1"/>
  <c r="AG10" i="1"/>
  <c r="AG7" i="1"/>
  <c r="AG6" i="1"/>
  <c r="D5" i="46"/>
  <c r="C5" i="46"/>
  <c r="C33" i="46" s="1"/>
  <c r="D16" i="12"/>
  <c r="D19" i="12" s="1"/>
  <c r="C19" i="12" s="1"/>
  <c r="L38" i="9"/>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E66" i="40"/>
  <c r="F64" i="40"/>
  <c r="C52" i="15"/>
  <c r="C10" i="15"/>
  <c r="C5" i="15" s="1"/>
  <c r="C38" i="15" s="1"/>
  <c r="C20" i="11"/>
  <c r="C21" i="11" s="1"/>
  <c r="C22" i="11" s="1"/>
  <c r="C23" i="11" s="1"/>
  <c r="B2" i="11" s="1"/>
  <c r="F41" i="15"/>
  <c r="M27" i="15"/>
  <c r="M29" i="44"/>
  <c r="G54" i="34" l="1"/>
  <c r="H54" i="34" s="1"/>
  <c r="U13" i="59"/>
  <c r="E12" i="59"/>
  <c r="E11" i="59" s="1"/>
  <c r="V48" i="33"/>
  <c r="I48" i="33" s="1"/>
  <c r="I52" i="33" s="1"/>
  <c r="J52" i="33" s="1"/>
  <c r="C21" i="59"/>
  <c r="D22" i="59"/>
  <c r="J5" i="15"/>
  <c r="J24" i="15" s="1"/>
  <c r="F68" i="15"/>
  <c r="C47" i="15"/>
  <c r="C65" i="15" s="1"/>
  <c r="B14" i="66"/>
  <c r="B1" i="66" s="1"/>
  <c r="T16" i="46"/>
  <c r="V16" i="46" s="1"/>
  <c r="T9" i="46"/>
  <c r="V9" i="46" s="1"/>
  <c r="T7" i="46"/>
  <c r="V7" i="46" s="1"/>
  <c r="T2" i="46"/>
  <c r="V2" i="46" s="1"/>
  <c r="T15" i="46"/>
  <c r="V15" i="46" s="1"/>
  <c r="T3" i="46"/>
  <c r="V3" i="46" s="1"/>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E40" i="46"/>
  <c r="F66" i="40"/>
  <c r="G64" i="40"/>
  <c r="C50" i="34"/>
  <c r="B3" i="34" s="1"/>
  <c r="B2" i="34" s="1"/>
  <c r="C49" i="34"/>
  <c r="G69" i="39"/>
  <c r="F71" i="39"/>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B2" i="21" s="1"/>
  <c r="I46" i="37"/>
  <c r="J46" i="37" s="1"/>
  <c r="G52" i="33"/>
  <c r="H52" i="33" s="1"/>
  <c r="G53" i="33"/>
  <c r="H53" i="33" s="1"/>
  <c r="I42" i="35"/>
  <c r="J42" i="35" s="1"/>
  <c r="G46" i="37"/>
  <c r="H46" i="37" s="1"/>
  <c r="G47" i="37"/>
  <c r="H47" i="37" s="1"/>
  <c r="B3" i="11"/>
  <c r="F7" i="67"/>
  <c r="C17" i="15"/>
  <c r="R49" i="33" l="1"/>
  <c r="C59" i="15"/>
  <c r="C7" i="66"/>
  <c r="C8" i="66"/>
  <c r="C20" i="59"/>
  <c r="T21" i="59"/>
  <c r="D21" i="59"/>
  <c r="K27" i="6"/>
  <c r="B5" i="11"/>
  <c r="C40" i="3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I19" i="6"/>
  <c r="E6" i="3"/>
  <c r="F8" i="59"/>
  <c r="E9" i="59"/>
  <c r="U9" i="59" s="1"/>
  <c r="B9" i="59"/>
  <c r="S9" i="59" s="1"/>
  <c r="D22" i="6"/>
  <c r="D8" i="6"/>
  <c r="E62" i="40"/>
  <c r="D15" i="6"/>
  <c r="D11" i="6"/>
  <c r="K38" i="9"/>
  <c r="E45" i="9"/>
  <c r="D14" i="6"/>
  <c r="D21" i="6"/>
  <c r="D13" i="6"/>
  <c r="E67" i="39"/>
  <c r="D25" i="6"/>
  <c r="D29" i="6"/>
  <c r="F46" i="9"/>
  <c r="D5" i="6"/>
  <c r="D26" i="6"/>
  <c r="D20" i="6"/>
  <c r="D10" i="6"/>
  <c r="H24" i="6"/>
  <c r="D12" i="6"/>
  <c r="H21" i="6"/>
  <c r="H20" i="6"/>
  <c r="H26" i="6"/>
  <c r="D23" i="6"/>
  <c r="E46" i="9"/>
  <c r="F45" i="9"/>
  <c r="D28"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C48" i="33"/>
  <c r="H69" i="39"/>
  <c r="G71" i="39"/>
  <c r="H64" i="40"/>
  <c r="G66" i="40"/>
  <c r="E4" i="67"/>
  <c r="D77" i="9"/>
  <c r="N75" i="9" s="1"/>
  <c r="C19" i="44"/>
  <c r="E7" i="67"/>
  <c r="B7" i="67"/>
  <c r="H23" i="6" l="1"/>
  <c r="D30" i="6"/>
  <c r="H25" i="6"/>
  <c r="H22" i="6"/>
  <c r="R22" i="6" s="1"/>
  <c r="R9" i="1" s="1"/>
  <c r="C19" i="59"/>
  <c r="D20" i="59"/>
  <c r="M27" i="6"/>
  <c r="F40" i="39"/>
  <c r="J40" i="39"/>
  <c r="H40" i="39"/>
  <c r="C14" i="66"/>
  <c r="B2" i="66" s="1"/>
  <c r="B2" i="33"/>
  <c r="C8" i="12"/>
  <c r="C10" i="12" s="1"/>
  <c r="C31" i="46"/>
  <c r="C30" i="46"/>
  <c r="B2" i="46" s="1"/>
  <c r="D4" i="46" s="1"/>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16" i="6"/>
  <c r="R23" i="6"/>
  <c r="R10" i="1" s="1"/>
  <c r="R20" i="6"/>
  <c r="R7" i="1" s="1"/>
  <c r="R6" i="1"/>
  <c r="C17" i="43"/>
  <c r="C14" i="43"/>
  <c r="C14" i="12"/>
  <c r="C17" i="12"/>
  <c r="I64" i="40"/>
  <c r="H66" i="40"/>
  <c r="H71" i="39"/>
  <c r="I69" i="39"/>
  <c r="N46" i="36"/>
  <c r="E3" i="67"/>
  <c r="B2" i="67"/>
  <c r="F37" i="44"/>
  <c r="C16" i="44"/>
  <c r="C14" i="15"/>
  <c r="M23" i="44"/>
  <c r="F35" i="15"/>
  <c r="M21" i="15"/>
  <c r="C18" i="59" l="1"/>
  <c r="D19" i="59"/>
  <c r="D8" i="66"/>
  <c r="D7" i="66"/>
  <c r="AC40" i="39"/>
  <c r="W40" i="39"/>
  <c r="AB40" i="39"/>
  <c r="U40" i="39"/>
  <c r="AA40" i="39"/>
  <c r="S40" i="39"/>
  <c r="B3" i="46"/>
  <c r="B4" i="46"/>
  <c r="C36" i="44"/>
  <c r="J20" i="15"/>
  <c r="C34" i="15"/>
  <c r="R27" i="6"/>
  <c r="H27" i="6"/>
  <c r="C15" i="15"/>
  <c r="C18" i="15"/>
  <c r="C17" i="44"/>
  <c r="C20" i="44"/>
  <c r="T16" i="1"/>
  <c r="E7" i="59"/>
  <c r="B7" i="59"/>
  <c r="F6" i="59"/>
  <c r="I6" i="6"/>
  <c r="C13" i="39" s="1"/>
  <c r="I5" i="6"/>
  <c r="J22" i="44"/>
  <c r="F62" i="15"/>
  <c r="C61" i="15" s="1"/>
  <c r="R16" i="1"/>
  <c r="C18" i="43"/>
  <c r="C18" i="12"/>
  <c r="C23" i="12" s="1"/>
  <c r="O46" i="36"/>
  <c r="J7" i="36" s="1"/>
  <c r="F7" i="36"/>
  <c r="H7" i="36"/>
  <c r="J64" i="40"/>
  <c r="I66" i="40"/>
  <c r="J69" i="39"/>
  <c r="I71" i="39"/>
  <c r="B3" i="67"/>
  <c r="B4" i="67"/>
  <c r="C17" i="59" l="1"/>
  <c r="D18" i="59"/>
  <c r="F13" i="39"/>
  <c r="H13" i="39"/>
  <c r="J13" i="3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C16" i="59" l="1"/>
  <c r="T17" i="59"/>
  <c r="D17" i="59"/>
  <c r="AC13" i="39"/>
  <c r="W13" i="39"/>
  <c r="AA13" i="39"/>
  <c r="S13" i="39"/>
  <c r="AB13" i="39"/>
  <c r="U13" i="39"/>
  <c r="E5" i="59"/>
  <c r="U5" i="59" s="1"/>
  <c r="B5" i="59"/>
  <c r="C21" i="43"/>
  <c r="R37" i="36"/>
  <c r="E36" i="36"/>
  <c r="I41" i="36" s="1"/>
  <c r="J41" i="36" s="1"/>
  <c r="K66" i="40"/>
  <c r="L64" i="40"/>
  <c r="G41" i="36"/>
  <c r="H41" i="36" s="1"/>
  <c r="G40" i="36"/>
  <c r="H40" i="36" s="1"/>
  <c r="I40" i="36"/>
  <c r="J40" i="36" s="1"/>
  <c r="L69" i="39"/>
  <c r="K71" i="39"/>
  <c r="D16" i="59" l="1"/>
  <c r="C15" i="59"/>
  <c r="S5" i="59"/>
  <c r="L71" i="39"/>
  <c r="M69" i="39"/>
  <c r="M64" i="40"/>
  <c r="L66" i="40"/>
  <c r="E40" i="36"/>
  <c r="F40" i="36" s="1"/>
  <c r="E41" i="36"/>
  <c r="F41" i="36" s="1"/>
  <c r="C37" i="36"/>
  <c r="B3" i="36" s="1"/>
  <c r="B2" i="36" s="1"/>
  <c r="C36" i="36"/>
  <c r="C14" i="59" l="1"/>
  <c r="D15" i="59"/>
  <c r="N64" i="40"/>
  <c r="N66" i="40" s="1"/>
  <c r="M66" i="40"/>
  <c r="N69" i="39"/>
  <c r="M71" i="39"/>
  <c r="C13" i="59" l="1"/>
  <c r="D14" i="59"/>
  <c r="N71" i="39"/>
  <c r="O69" i="39"/>
  <c r="J9" i="40"/>
  <c r="H9" i="40"/>
  <c r="F9" i="40"/>
  <c r="C12" i="59" l="1"/>
  <c r="T13" i="59"/>
  <c r="D13" i="59"/>
  <c r="P69" i="39"/>
  <c r="O71" i="39"/>
  <c r="U9" i="40"/>
  <c r="AB9" i="40"/>
  <c r="T44" i="40" s="1"/>
  <c r="G44" i="40" s="1"/>
  <c r="S9" i="40"/>
  <c r="AA9" i="40"/>
  <c r="R44" i="40" s="1"/>
  <c r="AC9" i="40"/>
  <c r="V44" i="40" s="1"/>
  <c r="I44" i="40" s="1"/>
  <c r="I48" i="40" s="1"/>
  <c r="J48" i="40" s="1"/>
  <c r="W9" i="40"/>
  <c r="C11" i="59" l="1"/>
  <c r="D12" i="59"/>
  <c r="P71" i="39"/>
  <c r="Q69" i="39"/>
  <c r="R45" i="40"/>
  <c r="E44" i="40"/>
  <c r="G48" i="40"/>
  <c r="H48" i="40" s="1"/>
  <c r="G49" i="40"/>
  <c r="H49" i="40" s="1"/>
  <c r="C10" i="59" l="1"/>
  <c r="D11" i="59"/>
  <c r="R69" i="39"/>
  <c r="Q71" i="39"/>
  <c r="I49" i="40"/>
  <c r="J49" i="40" s="1"/>
  <c r="E49" i="40"/>
  <c r="F49" i="40" s="1"/>
  <c r="E48" i="40"/>
  <c r="F48" i="40" s="1"/>
  <c r="C44" i="40"/>
  <c r="C45" i="40"/>
  <c r="C9" i="59" l="1"/>
  <c r="D10" i="59"/>
  <c r="R71" i="39"/>
  <c r="S69" i="39"/>
  <c r="B60" i="40"/>
  <c r="F60" i="40" s="1"/>
  <c r="B57" i="40"/>
  <c r="F57" i="40" s="1"/>
  <c r="B55" i="40"/>
  <c r="F55" i="40" s="1"/>
  <c r="B56" i="40"/>
  <c r="F56" i="40" s="1"/>
  <c r="B58" i="40"/>
  <c r="F58" i="40" s="1"/>
  <c r="B53" i="40"/>
  <c r="F53" i="40" s="1"/>
  <c r="B59" i="40"/>
  <c r="F59" i="40" s="1"/>
  <c r="B54" i="40"/>
  <c r="F54" i="40" s="1"/>
  <c r="B61" i="40"/>
  <c r="F61" i="40" s="1"/>
  <c r="F62" i="40"/>
  <c r="B2" i="40" s="1"/>
  <c r="C8" i="59" l="1"/>
  <c r="T9" i="59"/>
  <c r="D9" i="59"/>
  <c r="T69" i="39"/>
  <c r="S71" i="39"/>
  <c r="B5" i="40"/>
  <c r="B4" i="40"/>
  <c r="B3" i="40"/>
  <c r="C7" i="59" l="1"/>
  <c r="D8" i="59"/>
  <c r="T71" i="39"/>
  <c r="U69" i="39"/>
  <c r="F20" i="43"/>
  <c r="D20" i="43" s="1"/>
  <c r="F26" i="12"/>
  <c r="F26" i="44"/>
  <c r="F24" i="15"/>
  <c r="C6" i="59" l="1"/>
  <c r="D7" i="59"/>
  <c r="V69" i="39"/>
  <c r="U71" i="39"/>
  <c r="C20" i="43"/>
  <c r="C24" i="15"/>
  <c r="C23" i="15"/>
  <c r="C27" i="12"/>
  <c r="D26" i="12" s="1"/>
  <c r="C32" i="12" s="1"/>
  <c r="D30" i="12" s="1"/>
  <c r="C26" i="44"/>
  <c r="C25" i="44"/>
  <c r="C5" i="59" l="1"/>
  <c r="D6" i="59"/>
  <c r="W69" i="39"/>
  <c r="V71" i="39"/>
  <c r="C23" i="43"/>
  <c r="C31" i="44"/>
  <c r="C38" i="44" s="1"/>
  <c r="C29" i="15"/>
  <c r="T5" i="59" l="1"/>
  <c r="D5" i="59"/>
  <c r="M24" i="46"/>
  <c r="X69" i="39"/>
  <c r="W71" i="39"/>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X71" i="39" l="1"/>
  <c r="Y69" i="39"/>
  <c r="Q71" i="15"/>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Y71" i="39" l="1"/>
  <c r="Z69" i="39"/>
  <c r="Q69" i="15"/>
  <c r="Q58" i="44"/>
  <c r="Q49" i="44"/>
  <c r="Q55" i="44" s="1"/>
  <c r="Q67" i="44"/>
  <c r="C57" i="15"/>
  <c r="C66" i="15" s="1"/>
  <c r="C67" i="15" s="1"/>
  <c r="C70" i="15" s="1"/>
  <c r="J16" i="15"/>
  <c r="J25" i="15" s="1"/>
  <c r="J26" i="15" s="1"/>
  <c r="J29" i="15" s="1"/>
  <c r="C40" i="15"/>
  <c r="J39" i="15"/>
  <c r="J40" i="15" s="1"/>
  <c r="C44" i="44"/>
  <c r="C45" i="44" s="1"/>
  <c r="B2" i="44" s="1"/>
  <c r="Q71" i="44"/>
  <c r="Q70" i="44" s="1"/>
  <c r="L51" i="15"/>
  <c r="Z71" i="39" l="1"/>
  <c r="AA69" i="39"/>
  <c r="AA71" i="39" s="1"/>
  <c r="Q57" i="15"/>
  <c r="L57" i="15"/>
  <c r="L60" i="15" s="1"/>
  <c r="Q68" i="15"/>
  <c r="C46" i="15"/>
  <c r="Q66" i="15"/>
  <c r="J42" i="15"/>
  <c r="J43" i="15" s="1"/>
  <c r="C43" i="15"/>
  <c r="Q48" i="15"/>
  <c r="Q54" i="15" s="1"/>
  <c r="L52" i="44"/>
  <c r="L58" i="44" s="1"/>
  <c r="L61" i="44" s="1"/>
  <c r="L47" i="44" s="1"/>
  <c r="B3" i="44"/>
  <c r="B5" i="44"/>
  <c r="B4" i="44"/>
  <c r="H9" i="39" l="1"/>
  <c r="F9" i="39"/>
  <c r="J9" i="39"/>
  <c r="Q67" i="15"/>
  <c r="Q76" i="15" s="1"/>
  <c r="L46" i="15"/>
  <c r="B2" i="15" s="1"/>
  <c r="Q58" i="15"/>
  <c r="Q63" i="15" s="1"/>
  <c r="Q69" i="44"/>
  <c r="Q59" i="44"/>
  <c r="Q64" i="44" s="1"/>
  <c r="Q68" i="44"/>
  <c r="Q77" i="44" s="1"/>
  <c r="AA9" i="39" l="1"/>
  <c r="R49" i="39" s="1"/>
  <c r="S9" i="39"/>
  <c r="AC9" i="39"/>
  <c r="V49" i="39" s="1"/>
  <c r="I49" i="39" s="1"/>
  <c r="I53" i="39" s="1"/>
  <c r="J53" i="39" s="1"/>
  <c r="W9" i="39"/>
  <c r="AB9" i="39"/>
  <c r="T49" i="39" s="1"/>
  <c r="G49" i="39" s="1"/>
  <c r="U9" i="39"/>
  <c r="B3" i="15"/>
  <c r="C6" i="12"/>
  <c r="R50" i="39" l="1"/>
  <c r="E49" i="39"/>
  <c r="G54" i="39"/>
  <c r="H54" i="39" s="1"/>
  <c r="G53" i="39"/>
  <c r="H53" i="39" s="1"/>
  <c r="C24" i="12"/>
  <c r="C29" i="12"/>
  <c r="C50" i="39" l="1"/>
  <c r="C49" i="39"/>
  <c r="I54" i="39"/>
  <c r="J54" i="39" s="1"/>
  <c r="E54" i="39"/>
  <c r="F54" i="39" s="1"/>
  <c r="E53" i="39"/>
  <c r="F53" i="39" s="1"/>
  <c r="C35" i="12"/>
  <c r="C33" i="12" s="1"/>
  <c r="C28" i="12"/>
  <c r="C26" i="12" s="1"/>
  <c r="C31" i="12" s="1"/>
  <c r="C30" i="12" s="1"/>
  <c r="B61" i="39" l="1"/>
  <c r="F61" i="39" s="1"/>
  <c r="B62" i="39"/>
  <c r="F62" i="39" s="1"/>
  <c r="B66" i="39"/>
  <c r="F66" i="39" s="1"/>
  <c r="B64" i="39"/>
  <c r="F64" i="39" s="1"/>
  <c r="B60" i="39"/>
  <c r="F60" i="39" s="1"/>
  <c r="B59" i="39"/>
  <c r="F59" i="39" s="1"/>
  <c r="B65" i="39"/>
  <c r="F65" i="39" s="1"/>
  <c r="B58" i="39"/>
  <c r="F58" i="39" s="1"/>
  <c r="B63" i="39"/>
  <c r="F63" i="39" s="1"/>
  <c r="C36" i="12"/>
  <c r="B2" i="12" s="1"/>
  <c r="B3" i="12" s="1"/>
  <c r="D19" i="9"/>
  <c r="D20" i="9"/>
  <c r="F67" i="39" l="1"/>
  <c r="B2" i="39" s="1"/>
  <c r="B3" i="39" s="1"/>
  <c r="B5" i="12"/>
  <c r="L44" i="9"/>
  <c r="B4" i="12"/>
  <c r="D21" i="9"/>
  <c r="C20" i="9"/>
  <c r="C19" i="9"/>
  <c r="L43" i="9" l="1"/>
  <c r="G19" i="9"/>
  <c r="L19" i="9" s="1"/>
  <c r="D22" i="9"/>
  <c r="B4" i="39"/>
  <c r="B5" i="39"/>
  <c r="G20" i="9"/>
  <c r="C21" i="9"/>
  <c r="N43" i="9" l="1"/>
  <c r="G22" i="9"/>
  <c r="C32" i="9"/>
  <c r="O43" i="9" s="1"/>
  <c r="G21" i="9"/>
  <c r="C33" i="9" l="1"/>
  <c r="D42" i="9" s="1"/>
  <c r="Q5" i="54" s="1"/>
  <c r="B47" i="63" s="1"/>
  <c r="C42" i="9"/>
  <c r="C44" i="9" s="1"/>
  <c r="O38" i="9"/>
  <c r="D14" i="66" s="1"/>
  <c r="G14" i="66" s="1"/>
  <c r="B6" i="66" s="1"/>
  <c r="C6" i="66" s="1"/>
  <c r="C34" i="9"/>
  <c r="M38" i="9" s="1"/>
  <c r="K27" i="9" s="1"/>
  <c r="C35" i="9"/>
  <c r="F42" i="9" s="1"/>
  <c r="D63" i="9"/>
  <c r="C82" i="9" s="1"/>
  <c r="C81" i="9" s="1"/>
  <c r="C85" i="9" s="1"/>
  <c r="C86" i="9" s="1"/>
  <c r="D72" i="9" s="1"/>
  <c r="N68" i="9"/>
  <c r="N38" i="9"/>
  <c r="K28" i="9" s="1"/>
  <c r="R5" i="54"/>
  <c r="B48" i="63" s="1"/>
  <c r="C111" i="9" l="1"/>
  <c r="C104" i="9" s="1"/>
  <c r="K25" i="9"/>
  <c r="K26" i="9"/>
  <c r="E14" i="66"/>
  <c r="F14" i="66"/>
  <c r="B5" i="66"/>
  <c r="D5" i="66" s="1"/>
  <c r="D6" i="66"/>
  <c r="E42" i="9"/>
  <c r="P5" i="54" s="1"/>
  <c r="B46" i="63" s="1"/>
  <c r="C103" i="9"/>
  <c r="C113" i="9" s="1"/>
  <c r="C114" i="9" s="1"/>
  <c r="E114" i="9" s="1"/>
  <c r="E115" i="9" s="1"/>
  <c r="D73" i="9"/>
  <c r="N73" i="9" s="1"/>
  <c r="C90" i="9"/>
  <c r="C96" i="9"/>
  <c r="C91" i="9" s="1"/>
  <c r="D70" i="9"/>
  <c r="D71" i="9"/>
  <c r="D66" i="9" s="1"/>
  <c r="N72" i="9" s="1"/>
  <c r="N69" i="9"/>
  <c r="O39" i="9"/>
  <c r="D44" i="9"/>
  <c r="F44" i="9"/>
  <c r="E44" i="9"/>
  <c r="C5" i="66" l="1"/>
  <c r="C97" i="9"/>
  <c r="C98" i="9" s="1"/>
  <c r="E98" i="9" s="1"/>
  <c r="E99" i="9" s="1"/>
  <c r="R6" i="54"/>
  <c r="B50" i="63" s="1"/>
  <c r="K29" i="9"/>
  <c r="K30" i="9" s="1"/>
  <c r="M85" i="9"/>
  <c r="N85" i="9" s="1"/>
  <c r="M84" i="9"/>
  <c r="N84" i="9" s="1"/>
  <c r="M87" i="9"/>
  <c r="N87" i="9" s="1"/>
  <c r="M83" i="9"/>
  <c r="N83" i="9" s="1"/>
  <c r="M86" i="9"/>
  <c r="N86" i="9" s="1"/>
  <c r="M88" i="9"/>
  <c r="N88" i="9" s="1"/>
  <c r="C115" i="9"/>
  <c r="D76" i="9" s="1"/>
  <c r="D74" i="9" s="1"/>
  <c r="N74" i="9" s="1"/>
  <c r="O77" i="9" s="1"/>
  <c r="O79" i="9" s="1"/>
  <c r="C99" i="9" l="1"/>
  <c r="N89" i="9"/>
  <c r="O89" i="9" s="1"/>
  <c r="Q77" i="9"/>
  <c r="O78" i="9"/>
  <c r="O81" i="9"/>
  <c r="O80" i="9"/>
  <c r="Y21" i="72" l="1"/>
  <c r="Y13" i="72" s="1"/>
  <c r="Y16" i="72" l="1"/>
  <c r="Y14" i="72"/>
  <c r="Y17" i="72"/>
  <c r="Y20" i="72"/>
  <c r="Y15" i="72"/>
  <c r="Y18" i="72"/>
  <c r="Y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Z9" authorId="0" shapeId="0" xr:uid="{00000000-0006-0000-16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6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6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6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6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6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6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6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600-00000F000000}">
      <text>
        <r>
          <rPr>
            <sz val="12"/>
            <color indexed="81"/>
            <rFont val="宋体"/>
            <family val="3"/>
            <charset val="134"/>
          </rPr>
          <t>1.05~1.1</t>
        </r>
        <r>
          <rPr>
            <sz val="9"/>
            <color indexed="81"/>
            <rFont val="宋体"/>
            <family val="3"/>
            <charset val="134"/>
          </rPr>
          <t xml:space="preserve">
</t>
        </r>
      </text>
    </comment>
    <comment ref="E16" authorId="1" shapeId="0" xr:uid="{00000000-0006-0000-16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6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1600-000012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600-000013000000}">
      <text>
        <r>
          <rPr>
            <sz val="10"/>
            <color indexed="81"/>
            <rFont val="宋体"/>
            <family val="3"/>
            <charset val="134"/>
          </rPr>
          <t xml:space="preserve">需在此处填写剩余土地年限
</t>
        </r>
      </text>
    </comment>
    <comment ref="C112"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600-000016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600-000017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600-000018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600-000019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600-00001A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600-00001B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600-00001C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600-00001D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600-00001E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600-00001F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600-000020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F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F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F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F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0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0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700-000004000000}">
      <text>
        <r>
          <rPr>
            <b/>
            <sz val="12"/>
            <color indexed="81"/>
            <rFont val="宋体"/>
            <family val="3"/>
            <charset val="134"/>
          </rPr>
          <t>所属项目品质或
物业管理</t>
        </r>
      </text>
    </comment>
    <comment ref="B90" authorId="0" shapeId="0" xr:uid="{00000000-0006-0000-27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800-000004000000}">
      <text>
        <r>
          <rPr>
            <b/>
            <sz val="12"/>
            <color indexed="81"/>
            <rFont val="宋体"/>
            <family val="3"/>
            <charset val="134"/>
          </rPr>
          <t>所属项目品质或
物业管理</t>
        </r>
      </text>
    </comment>
    <comment ref="B86" authorId="0" shapeId="0" xr:uid="{00000000-0006-0000-2800-000005000000}">
      <text>
        <r>
          <rPr>
            <b/>
            <sz val="12"/>
            <color indexed="81"/>
            <rFont val="宋体"/>
            <family val="3"/>
            <charset val="134"/>
          </rPr>
          <t>所属项目品质</t>
        </r>
      </text>
    </comment>
    <comment ref="B89" authorId="0" shapeId="0" xr:uid="{00000000-0006-0000-28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1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5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5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<sst xmlns="http://schemas.openxmlformats.org/spreadsheetml/2006/main" count="7661" uniqueCount="3447">
  <si>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</si>
  <si>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</si>
  <si>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</si>
  <si>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</si>
  <si>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</si>
  <si>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</si>
  <si>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</si>
  <si>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</si>
  <si>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</si>
  <si>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</si>
  <si>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</si>
  <si>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</si>
  <si>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</si>
  <si>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</si>
  <si>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</si>
  <si>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</si>
  <si>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</si>
  <si>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</si>
  <si>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</si>
  <si>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</si>
  <si>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</si>
  <si>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</si>
  <si>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</si>
  <si>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</si>
  <si>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</si>
  <si>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</si>
  <si>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</si>
  <si>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</si>
  <si>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</si>
  <si>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</si>
  <si>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</si>
  <si>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</si>
  <si>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</si>
  <si>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</si>
  <si>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</si>
  <si>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</si>
  <si>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</si>
  <si>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</si>
  <si>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</si>
  <si>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</si>
  <si>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</si>
  <si>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</si>
  <si>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</si>
  <si>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</si>
  <si>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</si>
  <si>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</si>
  <si>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</si>
  <si>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</si>
  <si>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</si>
  <si>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</si>
  <si>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</si>
  <si>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</si>
  <si>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</si>
  <si>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</si>
  <si>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</si>
  <si>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</si>
  <si>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</si>
  <si>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</si>
  <si>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</si>
  <si>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</si>
  <si>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</si>
  <si>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</si>
  <si>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</si>
  <si>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</si>
  <si>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</si>
  <si>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</si>
  <si>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</si>
  <si>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</si>
  <si>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</si>
  <si>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</si>
  <si>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</si>
  <si>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</si>
  <si>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</si>
  <si>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</si>
  <si>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</si>
  <si>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</si>
  <si>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</si>
  <si>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</si>
  <si>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</si>
  <si>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</si>
  <si>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</si>
  <si>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</si>
  <si>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</si>
  <si>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</si>
  <si>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</si>
  <si>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</si>
  <si>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</si>
  <si>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</si>
  <si>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</si>
  <si>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</si>
  <si>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</si>
  <si>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</si>
  <si>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</si>
  <si>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</si>
  <si>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</si>
  <si>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</si>
  <si>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</si>
  <si>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</si>
  <si>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</si>
  <si>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</si>
  <si>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</si>
  <si>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</si>
  <si>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</si>
  <si>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</si>
  <si>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</si>
  <si>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</si>
  <si>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</si>
  <si>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</si>
  <si>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</si>
  <si>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</si>
  <si>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</si>
  <si>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</si>
  <si>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</si>
  <si>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</si>
  <si>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</si>
  <si>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</si>
  <si>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</si>
  <si>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</si>
  <si>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</si>
  <si>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</si>
  <si>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</si>
  <si>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</si>
  <si>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</si>
  <si>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</si>
  <si>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</si>
  <si>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</si>
  <si>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</si>
  <si>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</si>
  <si>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</si>
  <si>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</si>
  <si>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</si>
  <si>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</si>
  <si>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</si>
  <si>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</si>
  <si>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</si>
  <si>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</si>
  <si>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</si>
  <si>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</si>
  <si>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</si>
  <si>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</si>
  <si>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</si>
  <si>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</si>
  <si>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</si>
  <si>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</si>
  <si>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</si>
  <si>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</si>
  <si>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</si>
  <si>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</si>
  <si>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</si>
  <si>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</si>
  <si>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</si>
  <si>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</si>
  <si>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</si>
  <si>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</si>
  <si>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</si>
  <si>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</si>
  <si>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</si>
  <si>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</si>
  <si>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</si>
  <si>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</si>
  <si>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</si>
  <si>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</si>
  <si>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</si>
  <si>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</si>
  <si>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</si>
  <si>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</si>
  <si>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</si>
  <si>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</si>
  <si>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</si>
  <si>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</si>
  <si>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</si>
  <si>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</si>
  <si>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</si>
  <si>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</si>
  <si>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</si>
  <si>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</si>
  <si>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</si>
  <si>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</si>
  <si>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</si>
  <si>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</si>
  <si>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</si>
  <si>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</si>
  <si>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</si>
  <si>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</si>
  <si>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</si>
  <si>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</si>
  <si>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</si>
  <si>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</si>
  <si>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</si>
  <si>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</si>
  <si>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</si>
  <si>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</si>
  <si>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</si>
  <si>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</si>
  <si>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</si>
  <si>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</si>
  <si>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</si>
  <si>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</si>
  <si>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</si>
  <si>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</si>
  <si>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</si>
  <si>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</si>
  <si>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</si>
  <si>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</si>
  <si>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</si>
  <si>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</si>
  <si>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</si>
  <si>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</si>
  <si>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</si>
  <si>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</si>
  <si>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</si>
  <si>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</si>
  <si>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</si>
  <si>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</si>
  <si>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</si>
  <si>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</si>
  <si>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</si>
  <si>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</si>
  <si>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</si>
  <si>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</si>
  <si>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</si>
  <si>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</si>
  <si>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</si>
  <si>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</si>
  <si>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</si>
  <si>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</si>
  <si>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</si>
  <si>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</si>
  <si>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</si>
  <si>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</si>
  <si>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</si>
  <si>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</si>
  <si>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</si>
  <si>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</si>
  <si>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</si>
  <si>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</si>
  <si>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</si>
  <si>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</si>
  <si>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</si>
  <si>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</si>
  <si>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</si>
  <si>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</si>
  <si>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</si>
  <si>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</si>
  <si>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</si>
  <si>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</si>
  <si>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</si>
  <si>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</si>
  <si>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</si>
  <si>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</si>
  <si>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</si>
  <si>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</si>
  <si>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</si>
  <si>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</si>
  <si>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</si>
  <si>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</si>
  <si>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</si>
  <si>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</si>
  <si>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</si>
  <si>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</si>
  <si>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</si>
  <si>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</si>
  <si>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</si>
  <si>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</si>
  <si>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</si>
  <si>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</si>
  <si>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</si>
  <si>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</si>
  <si>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</si>
  <si>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</si>
  <si>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</si>
  <si>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</si>
  <si>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</si>
  <si>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</si>
  <si>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</si>
  <si>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</si>
  <si>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</si>
  <si>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</si>
  <si>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</si>
  <si>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</si>
  <si>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</si>
  <si>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</si>
  <si>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</si>
  <si>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</si>
  <si>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</si>
  <si>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</si>
  <si>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</si>
  <si>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</si>
  <si>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</si>
  <si>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</si>
  <si>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</si>
  <si>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</si>
  <si>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</si>
  <si>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</si>
  <si>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</si>
  <si>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</si>
  <si>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</si>
  <si>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</si>
  <si>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</si>
  <si>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</si>
  <si>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</si>
  <si>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</si>
  <si>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</si>
  <si>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</si>
  <si>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</si>
  <si>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</si>
  <si>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</si>
  <si>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</si>
  <si>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</si>
  <si>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</si>
  <si>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</si>
  <si>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</si>
  <si>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</si>
  <si>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</si>
  <si>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</si>
  <si>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</si>
  <si>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</si>
  <si>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</si>
  <si>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</si>
  <si>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</si>
  <si>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</si>
  <si>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</si>
  <si>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</si>
  <si>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</si>
  <si>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</si>
  <si>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</si>
  <si>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</si>
  <si>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</si>
  <si>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</si>
  <si>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</si>
  <si>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</si>
  <si>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</si>
  <si>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</si>
  <si>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</si>
  <si>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</si>
  <si>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</si>
  <si>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</si>
  <si>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</si>
  <si>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</si>
  <si>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</si>
  <si>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</si>
  <si>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</si>
  <si>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</si>
  <si>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</si>
  <si>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</si>
  <si>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</si>
  <si>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</si>
  <si>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</si>
  <si>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</si>
  <si>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</si>
  <si>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</si>
  <si>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</si>
  <si>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</si>
  <si>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</si>
  <si>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</si>
  <si>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</si>
  <si>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</si>
  <si>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</si>
  <si>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</si>
  <si>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</si>
  <si>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</si>
  <si>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</si>
  <si>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</si>
  <si>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</si>
  <si>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</si>
  <si>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</si>
  <si>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</si>
  <si>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</si>
  <si>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</si>
  <si>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</si>
  <si>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</si>
  <si>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</si>
  <si>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</si>
  <si>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</si>
  <si>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</si>
  <si>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</si>
  <si>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</si>
  <si>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</si>
  <si>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</si>
  <si>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</si>
  <si>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</si>
  <si>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</si>
  <si>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</si>
  <si>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</si>
  <si>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</si>
  <si>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</si>
  <si>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</si>
  <si>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</si>
  <si>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</si>
  <si>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</si>
  <si>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</si>
  <si>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</si>
  <si>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</si>
  <si>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</si>
  <si>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</si>
  <si>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</si>
  <si>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</si>
  <si>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</si>
  <si>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</si>
  <si>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</si>
  <si>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</si>
  <si>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</si>
  <si>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</si>
  <si>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</si>
  <si>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</si>
  <si>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</si>
  <si>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</si>
  <si>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</si>
  <si>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</si>
  <si>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</si>
  <si>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</si>
  <si>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</si>
  <si>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</si>
  <si>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</si>
  <si>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</si>
  <si>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</si>
  <si>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</si>
  <si>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</si>
  <si>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</si>
  <si>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</si>
  <si>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</si>
  <si>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</si>
  <si>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</si>
  <si>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</si>
  <si>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</si>
  <si>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</si>
  <si>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</si>
  <si>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</si>
  <si>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</si>
  <si>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</si>
  <si>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</si>
  <si>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</si>
  <si>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</si>
  <si>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</si>
  <si>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</si>
  <si>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</si>
  <si>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</si>
  <si>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</si>
  <si>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</si>
  <si>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</si>
  <si>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</si>
  <si>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</si>
  <si>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</si>
  <si>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</si>
  <si>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</si>
  <si>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</si>
  <si>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</si>
  <si>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</si>
  <si>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</si>
  <si>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</si>
  <si>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</si>
  <si>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</si>
  <si>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</si>
  <si>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</si>
  <si>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</si>
  <si>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</si>
  <si>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</si>
  <si>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</si>
  <si>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</si>
  <si>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</si>
  <si>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</si>
  <si>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</si>
  <si>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</si>
  <si>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</si>
  <si>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</si>
  <si>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</si>
  <si>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</si>
  <si>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</si>
  <si>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</si>
  <si>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</si>
  <si>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</si>
  <si>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</si>
  <si>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</si>
  <si>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</si>
  <si>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</si>
  <si>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</si>
  <si>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</si>
  <si>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</si>
  <si>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</si>
  <si>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</si>
  <si>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</si>
  <si>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</si>
  <si>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</si>
  <si>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</si>
  <si>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</si>
  <si>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</si>
  <si>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</si>
  <si>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</si>
  <si>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</si>
  <si>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</si>
  <si>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</si>
  <si>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</si>
  <si>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</si>
  <si>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</si>
  <si>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</si>
  <si>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</si>
  <si>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</si>
  <si>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</si>
  <si>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</si>
  <si>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</si>
  <si>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</si>
  <si>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</si>
  <si>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</si>
  <si>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</si>
  <si>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</si>
  <si>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</si>
  <si>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</si>
  <si>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</si>
  <si>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</si>
  <si>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</si>
  <si>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</si>
  <si>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</si>
  <si>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</si>
  <si>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</si>
  <si>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</si>
  <si>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</si>
  <si>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</si>
  <si>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</si>
  <si>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</si>
  <si>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</si>
  <si>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</si>
  <si>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</si>
  <si>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</si>
  <si>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</si>
  <si>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</si>
  <si>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</si>
  <si>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</si>
  <si>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</si>
  <si>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</si>
  <si>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</si>
  <si>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</si>
  <si>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</si>
  <si>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</si>
  <si>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</si>
  <si>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</si>
  <si>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</si>
  <si>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</si>
  <si>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</si>
  <si>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</si>
  <si>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</si>
  <si>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</si>
  <si>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</si>
  <si>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</si>
  <si>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</si>
  <si>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</si>
  <si>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</si>
  <si>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</si>
  <si>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</si>
  <si>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</si>
  <si>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</si>
  <si>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</si>
  <si>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</si>
  <si>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</si>
  <si>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</si>
  <si>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</si>
  <si>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</si>
  <si>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</si>
  <si>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</si>
  <si>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</si>
  <si>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</si>
  <si>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</si>
  <si>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</si>
  <si>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</si>
  <si>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</si>
  <si>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</si>
  <si>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</si>
  <si>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</si>
  <si>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</si>
  <si>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</si>
  <si>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</si>
  <si>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</si>
  <si>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</si>
  <si>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</si>
  <si>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</si>
  <si>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</si>
  <si>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</si>
  <si>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</si>
  <si>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</si>
  <si>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</si>
  <si>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</si>
  <si>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</si>
  <si>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</si>
  <si>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</si>
  <si>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</si>
  <si>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</si>
  <si>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</si>
  <si>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</si>
  <si>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</si>
  <si>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</si>
  <si>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</si>
  <si>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</si>
  <si>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</si>
  <si>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</si>
  <si>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</si>
  <si>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</si>
  <si>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</si>
  <si>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</si>
  <si>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</si>
  <si>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</si>
  <si>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</si>
  <si>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</si>
  <si>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</si>
  <si>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</si>
  <si>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</si>
  <si>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</si>
  <si>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</si>
  <si>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</si>
  <si>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</si>
  <si>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</si>
  <si>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</si>
  <si>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</si>
  <si>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</si>
  <si>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</si>
  <si>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</si>
  <si>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</si>
  <si>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</si>
  <si>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</si>
  <si>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</si>
  <si>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</si>
  <si>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</si>
  <si>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</si>
  <si>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</si>
  <si>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</si>
  <si>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</si>
  <si>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</si>
  <si>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</si>
  <si>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</si>
  <si>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</si>
  <si>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</si>
  <si>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</si>
  <si>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</si>
  <si>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</si>
  <si>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</si>
  <si>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</si>
  <si>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</si>
  <si>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</si>
  <si>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</si>
  <si>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</si>
  <si>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</si>
  <si>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</si>
  <si>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</si>
  <si>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</si>
  <si>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</si>
  <si>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</si>
  <si>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</si>
  <si>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</si>
  <si>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</si>
  <si>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</si>
  <si>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</si>
  <si>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</si>
  <si>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</si>
  <si>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</si>
  <si>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</si>
  <si>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</si>
  <si>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</si>
  <si>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</si>
  <si>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</si>
  <si>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</si>
  <si>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</si>
  <si>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</si>
  <si>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</si>
  <si>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</si>
  <si>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</si>
  <si>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</si>
  <si>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</si>
  <si>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</si>
  <si>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</si>
  <si>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</si>
  <si>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</si>
  <si>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</si>
  <si>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</si>
  <si>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</si>
  <si>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</si>
  <si>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</si>
  <si>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</si>
  <si>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</si>
  <si>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</si>
  <si>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</si>
  <si>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</si>
  <si>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</si>
  <si>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</si>
  <si>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</si>
  <si>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</si>
  <si>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</si>
  <si>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</si>
  <si>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</si>
  <si>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</si>
  <si>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</si>
  <si>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</si>
  <si>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</si>
  <si>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</si>
  <si>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</si>
  <si>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</si>
  <si>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</si>
  <si>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</si>
  <si>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</si>
  <si>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</si>
  <si>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</si>
  <si>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</si>
  <si>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</si>
  <si>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</si>
  <si>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</si>
  <si>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</si>
  <si>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</si>
  <si>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</si>
  <si>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</si>
  <si>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</si>
  <si>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</si>
  <si>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</si>
  <si>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</si>
  <si>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</si>
  <si>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</si>
  <si>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</si>
  <si>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</si>
  <si>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</si>
  <si>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</si>
  <si>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</si>
  <si>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</si>
  <si>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</si>
  <si>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</si>
  <si>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</si>
  <si>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</si>
  <si>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</si>
  <si>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</si>
  <si>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</si>
  <si>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</si>
  <si>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</si>
  <si>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</si>
  <si>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</si>
  <si>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</si>
  <si>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</si>
  <si>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</si>
  <si>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</si>
  <si>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</si>
  <si>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</si>
  <si>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</si>
  <si>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</si>
  <si>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</si>
  <si>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</si>
  <si>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</si>
  <si>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</si>
  <si>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</si>
  <si>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</si>
  <si>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</si>
  <si>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</si>
  <si>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</si>
  <si>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</si>
  <si>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</si>
  <si>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</si>
  <si>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</si>
  <si>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</si>
  <si>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</si>
  <si>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</si>
  <si>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</si>
  <si>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</si>
  <si>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</si>
  <si>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</si>
  <si>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</si>
  <si>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</si>
  <si>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</si>
  <si>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</si>
  <si>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</si>
  <si>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</si>
  <si>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</si>
  <si>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</si>
  <si>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</si>
  <si>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</si>
  <si>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</si>
  <si>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</si>
  <si>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</si>
  <si>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</si>
  <si>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</si>
  <si>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</si>
  <si>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</si>
  <si>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</si>
  <si>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</si>
  <si>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</si>
  <si>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</si>
  <si>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</si>
  <si>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</si>
  <si>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</si>
  <si>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</si>
  <si>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</si>
  <si>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</si>
  <si>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</si>
  <si>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</si>
  <si>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</si>
  <si>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</si>
  <si>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</si>
  <si>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</si>
  <si>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</si>
  <si>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</si>
  <si>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</si>
  <si>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</si>
  <si>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</si>
  <si>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</si>
  <si>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</si>
  <si>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</si>
  <si>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</si>
  <si>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</si>
  <si>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</si>
  <si>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</si>
  <si>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</si>
  <si>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</si>
  <si>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</si>
  <si>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</si>
  <si>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</si>
  <si>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</si>
  <si>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</si>
  <si>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</si>
  <si>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</si>
  <si>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</si>
  <si>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</si>
  <si>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</si>
  <si>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</si>
  <si>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</si>
  <si>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</si>
  <si>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</si>
  <si>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</si>
  <si>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</si>
  <si>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</si>
  <si>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</si>
  <si>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</si>
  <si>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</si>
  <si>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</si>
  <si>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</si>
  <si>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</si>
  <si>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</si>
  <si>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</si>
  <si>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</si>
  <si>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</si>
  <si>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</si>
  <si>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</si>
  <si>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</si>
  <si>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</si>
  <si>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</si>
  <si>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</si>
  <si>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</si>
  <si>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</si>
  <si>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</si>
  <si>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</si>
  <si>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</si>
  <si>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</si>
  <si>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</si>
  <si>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</si>
  <si>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</si>
  <si>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</si>
  <si>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</si>
  <si>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</si>
  <si>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</si>
  <si>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</si>
  <si>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</si>
  <si>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</si>
  <si>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</si>
  <si>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</si>
  <si>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</si>
  <si>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</si>
  <si>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</si>
  <si>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</si>
  <si>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</si>
  <si>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</si>
  <si>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</si>
  <si>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</si>
  <si>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</si>
  <si>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</si>
  <si>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</si>
  <si>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</si>
  <si>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</si>
  <si>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</si>
  <si>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</si>
  <si>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</si>
  <si>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</si>
  <si>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</si>
  <si>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</si>
  <si>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</si>
  <si>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</si>
  <si>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</si>
  <si>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</si>
  <si>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</si>
  <si>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</si>
  <si>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</si>
  <si>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</si>
  <si>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</si>
  <si>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</si>
  <si>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</si>
  <si>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</si>
  <si>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</si>
  <si>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</si>
  <si>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</si>
  <si>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</si>
  <si>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</si>
  <si>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</si>
  <si>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</si>
  <si>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</si>
  <si>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</si>
  <si>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</si>
  <si>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</si>
  <si>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</si>
  <si>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</si>
  <si>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</si>
  <si>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</si>
  <si>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</si>
  <si>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</si>
  <si>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</si>
  <si>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</si>
  <si>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</si>
  <si>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</si>
  <si>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</si>
  <si>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</si>
  <si>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</si>
  <si>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</si>
  <si>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</si>
  <si>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</si>
  <si>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</si>
  <si>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</si>
  <si>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</si>
  <si>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</si>
  <si>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</si>
  <si>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</si>
  <si>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</si>
  <si>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</si>
  <si>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</si>
  <si>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</si>
  <si>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</si>
  <si>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</si>
  <si>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</si>
  <si>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</si>
  <si>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</si>
  <si>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</si>
  <si>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</si>
  <si>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</si>
  <si>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</si>
  <si>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</si>
  <si>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</si>
  <si>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</si>
  <si>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</si>
  <si>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</si>
  <si>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</si>
  <si>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</si>
  <si>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</si>
  <si>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</si>
  <si>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</si>
  <si>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</si>
  <si>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</si>
  <si>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</si>
  <si>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</si>
  <si>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</si>
  <si>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</si>
  <si>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</si>
  <si>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</si>
  <si>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</si>
  <si>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</si>
  <si>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</si>
  <si>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</si>
  <si>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</si>
  <si>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</si>
  <si>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</si>
  <si>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</si>
  <si>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</si>
  <si>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</si>
  <si>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</si>
  <si>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</si>
  <si>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</si>
  <si>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</si>
  <si>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</si>
  <si>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</si>
  <si>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</si>
  <si>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</si>
  <si>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</si>
  <si>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</si>
  <si>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</si>
  <si>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</si>
  <si>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</si>
  <si>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</si>
  <si>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</si>
  <si>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</si>
  <si>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</si>
  <si>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</si>
  <si>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</si>
  <si>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</si>
  <si>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</si>
  <si>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</si>
  <si>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</si>
  <si>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</si>
  <si>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</si>
  <si>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</si>
  <si>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</si>
  <si>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</si>
  <si>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</si>
  <si>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</si>
  <si>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</si>
  <si>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</si>
  <si>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</si>
  <si>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</si>
  <si>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</si>
  <si>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</si>
  <si>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</si>
  <si>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</si>
  <si>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</si>
  <si>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</si>
  <si>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</si>
  <si>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</si>
  <si>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</si>
  <si>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</si>
  <si>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</si>
  <si>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</si>
  <si>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</si>
  <si>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</si>
  <si>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</si>
  <si>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</si>
  <si>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</si>
  <si>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</si>
  <si>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</si>
  <si>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</si>
  <si>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</si>
  <si>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</si>
  <si>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</si>
  <si>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</si>
  <si>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</si>
  <si>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</si>
  <si>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</si>
  <si>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</si>
  <si>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</si>
  <si>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</si>
  <si>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</si>
  <si>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</si>
  <si>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</si>
  <si>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</si>
  <si>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</si>
  <si>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</si>
  <si>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</si>
  <si>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</si>
  <si>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</si>
  <si>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</si>
  <si>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</si>
  <si>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</si>
  <si>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</si>
  <si>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</si>
  <si>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</si>
  <si>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</si>
  <si>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</si>
  <si>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</si>
  <si>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</si>
  <si>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</si>
  <si>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</si>
  <si>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</si>
  <si>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</si>
  <si>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</si>
  <si>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</si>
  <si>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</si>
  <si>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</si>
  <si>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</si>
  <si>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</si>
  <si>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</si>
  <si>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</si>
  <si>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</si>
  <si>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</si>
  <si>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</si>
  <si>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</si>
  <si>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</si>
  <si>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</si>
  <si>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</si>
  <si>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</si>
  <si>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</si>
  <si>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</si>
  <si>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</si>
  <si>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</si>
  <si>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</si>
  <si>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</si>
  <si>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</si>
  <si>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</si>
  <si>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</si>
  <si>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</si>
  <si>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</si>
  <si>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</si>
  <si>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</si>
  <si>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</si>
  <si>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</si>
  <si>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</si>
  <si>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</si>
  <si>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</si>
  <si>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</si>
  <si>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</si>
  <si>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</si>
  <si>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</si>
  <si>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</si>
  <si>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</si>
  <si>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</si>
  <si>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</si>
  <si>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</si>
  <si>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</si>
  <si>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</si>
  <si>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</si>
  <si>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</si>
  <si>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</si>
  <si>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</si>
  <si>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</si>
  <si>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</si>
  <si>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</si>
  <si>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</si>
  <si>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</si>
  <si>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</si>
  <si>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</si>
  <si>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</si>
  <si>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</si>
  <si>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</si>
  <si>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</si>
  <si>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</si>
  <si>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</si>
  <si>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</si>
  <si>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</si>
  <si>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</si>
  <si>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</si>
  <si>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</si>
  <si>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</si>
  <si>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</si>
  <si>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</si>
  <si>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</si>
  <si>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</si>
  <si>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</si>
  <si>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</si>
  <si>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</si>
  <si>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</si>
  <si>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</si>
  <si>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</si>
  <si>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</si>
  <si>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</si>
  <si>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</si>
  <si>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</si>
  <si>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</si>
  <si>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</si>
  <si>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</si>
  <si>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</si>
  <si>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</si>
  <si>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</si>
  <si>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</si>
  <si>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</si>
  <si>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</si>
  <si>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</si>
  <si>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</si>
  <si>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</si>
  <si>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</si>
  <si>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</si>
  <si>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</si>
  <si>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</si>
  <si>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</si>
  <si>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</si>
  <si>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</si>
  <si>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</si>
  <si>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</si>
  <si>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</si>
  <si>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</si>
  <si>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</si>
  <si>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</si>
  <si>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</si>
  <si>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</si>
  <si>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</si>
  <si>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</si>
  <si>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</si>
  <si>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</si>
  <si>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</si>
  <si>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</si>
  <si>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</si>
  <si>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</si>
  <si>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</si>
  <si>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</si>
  <si>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</si>
  <si>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</si>
  <si>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</si>
  <si>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</si>
  <si>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</si>
  <si>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</si>
  <si>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</si>
  <si>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</si>
  <si>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</si>
  <si>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</si>
  <si>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</si>
  <si>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</si>
  <si>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</si>
  <si>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</si>
  <si>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</si>
  <si>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</si>
  <si>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</si>
  <si>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</si>
  <si>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</si>
  <si>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</si>
  <si>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</si>
  <si>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</si>
  <si>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</si>
  <si>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</si>
  <si>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</si>
  <si>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</si>
  <si>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</si>
  <si>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</si>
  <si>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</si>
  <si>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</si>
  <si>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</si>
  <si>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</si>
  <si>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</si>
  <si>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</si>
  <si>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</si>
  <si>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</si>
  <si>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</si>
  <si>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</si>
  <si>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</si>
  <si>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</si>
  <si>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</si>
  <si>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</si>
  <si>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</si>
  <si>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</si>
  <si>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</si>
  <si>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</si>
  <si>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</si>
  <si>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</si>
  <si>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</si>
  <si>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</si>
  <si>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</si>
  <si>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</si>
  <si>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</si>
  <si>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</si>
  <si>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</si>
  <si>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</si>
  <si>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</si>
  <si>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</si>
  <si>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</si>
  <si>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</si>
  <si>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</si>
  <si>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</si>
  <si>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</si>
  <si>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</si>
  <si>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</si>
  <si>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</si>
  <si>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</si>
  <si>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</si>
  <si>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</si>
  <si>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</si>
  <si>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</si>
  <si>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</si>
  <si>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</si>
  <si>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</si>
  <si>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</si>
  <si>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</si>
  <si>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</si>
  <si>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</si>
  <si>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</si>
  <si>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</si>
  <si>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</si>
  <si>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</si>
  <si>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</si>
  <si>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</si>
  <si>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</si>
  <si>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</si>
  <si>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</si>
  <si>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</si>
  <si>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</si>
  <si>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</si>
  <si>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</si>
  <si>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</si>
  <si>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</si>
  <si>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</si>
  <si>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</si>
  <si>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</si>
  <si>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</si>
  <si>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</si>
  <si>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</si>
  <si>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</si>
  <si>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</si>
  <si>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</si>
  <si>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</si>
  <si>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</si>
  <si>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</si>
  <si>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</si>
  <si>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</si>
  <si>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</si>
  <si>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</si>
  <si>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</si>
  <si>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</si>
  <si>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</si>
  <si>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</si>
  <si>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</si>
  <si>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</si>
  <si>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</si>
  <si>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</si>
  <si>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</si>
  <si>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</si>
  <si>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</si>
  <si>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</si>
  <si>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</si>
  <si>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</si>
  <si>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</si>
  <si>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</si>
  <si>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</si>
  <si>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</si>
  <si>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</si>
  <si>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</si>
  <si>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</si>
  <si>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</si>
  <si>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</si>
  <si>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</si>
  <si>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</si>
  <si>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</si>
  <si>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</si>
  <si>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</si>
  <si>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</si>
  <si>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</si>
  <si>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</si>
  <si>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</si>
  <si>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</si>
  <si>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</si>
  <si>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</si>
  <si>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</si>
  <si>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</si>
  <si>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</si>
  <si>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</si>
  <si>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</si>
  <si>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</si>
  <si>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</si>
  <si>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</si>
  <si>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</si>
  <si>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</si>
  <si>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</si>
  <si>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</si>
  <si>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</si>
  <si>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</si>
  <si>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</si>
  <si>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</si>
  <si>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</si>
  <si>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</si>
  <si>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</si>
  <si>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</si>
  <si>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</si>
  <si>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</si>
  <si>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</si>
  <si>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</si>
  <si>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</si>
  <si>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</si>
  <si>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</si>
  <si>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</si>
  <si>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</si>
  <si>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</si>
  <si>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</si>
  <si>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</si>
  <si>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</si>
  <si>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</si>
  <si>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</si>
  <si>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</si>
  <si>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</si>
  <si>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</si>
  <si>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</si>
  <si>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</si>
  <si>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</si>
  <si>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</si>
  <si>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</si>
  <si>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</si>
  <si>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</si>
  <si>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</si>
  <si>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</si>
  <si>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</si>
  <si>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</si>
  <si>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</si>
  <si>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</si>
  <si>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</si>
  <si>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</si>
  <si>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</si>
  <si>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</si>
  <si>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</si>
  <si>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</si>
  <si>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</si>
  <si>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</si>
  <si>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</si>
  <si>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</si>
  <si>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</si>
  <si>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</si>
  <si>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</si>
  <si>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</si>
  <si>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</si>
  <si>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</si>
  <si>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</si>
  <si>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</si>
  <si>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</si>
  <si>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</si>
  <si>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</si>
  <si>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</si>
  <si>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</si>
  <si>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</si>
  <si>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</si>
  <si>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</si>
  <si>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</si>
  <si>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</si>
  <si>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</si>
  <si>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</si>
  <si>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</si>
  <si>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</si>
  <si>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</si>
  <si>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</si>
  <si>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</si>
  <si>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</si>
  <si>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</si>
  <si>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</si>
  <si>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</si>
  <si>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</si>
  <si>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</si>
  <si>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</si>
  <si>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</si>
  <si>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</si>
  <si>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</si>
  <si>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</si>
  <si>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</si>
  <si>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</si>
  <si>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</si>
  <si>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</si>
  <si>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</si>
  <si>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</si>
  <si>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</si>
  <si>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</si>
  <si>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</si>
  <si>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</si>
  <si>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</si>
  <si>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</si>
  <si>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</si>
  <si>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</si>
  <si>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</si>
  <si>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</si>
  <si>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</si>
  <si>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</si>
  <si>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</si>
  <si>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</si>
  <si>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</si>
  <si>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</si>
  <si>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</si>
  <si>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</si>
  <si>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</si>
  <si>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</si>
  <si>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</si>
  <si>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</si>
  <si>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</si>
  <si>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</si>
  <si>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</si>
  <si>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</si>
  <si>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</si>
  <si>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</si>
  <si>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</si>
  <si>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</si>
  <si>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</si>
  <si>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</si>
  <si>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</si>
  <si>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</si>
  <si>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</si>
  <si>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</si>
  <si>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</si>
  <si>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</si>
  <si>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</si>
  <si>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</si>
  <si>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</si>
  <si>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</si>
  <si>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</si>
  <si>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</si>
  <si>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</si>
  <si>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</si>
  <si>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</si>
  <si>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</si>
  <si>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</si>
  <si>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</si>
  <si>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</si>
  <si>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</si>
  <si>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</si>
  <si>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</si>
  <si>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</si>
  <si>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</si>
  <si>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</si>
  <si>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</si>
  <si>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</si>
  <si>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</si>
  <si>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</si>
  <si>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</si>
  <si>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</si>
  <si>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</si>
  <si>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</si>
  <si>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</si>
  <si>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</si>
  <si>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</si>
  <si>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</si>
  <si>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</si>
  <si>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</si>
  <si>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</si>
  <si>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</si>
  <si>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</si>
  <si>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</si>
  <si>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</si>
  <si>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</si>
  <si>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</si>
  <si>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</si>
  <si>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</si>
  <si>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</si>
  <si>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</si>
  <si>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</si>
  <si>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</si>
  <si>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</si>
  <si>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</si>
  <si>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</si>
  <si>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</si>
  <si>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</si>
  <si>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</si>
  <si>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</si>
  <si>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</si>
  <si>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</si>
  <si>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</si>
  <si>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</si>
  <si>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</si>
  <si>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</si>
  <si>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</si>
  <si>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</si>
  <si>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</si>
  <si>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</si>
  <si>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</si>
  <si>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</si>
  <si>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</si>
  <si>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</si>
  <si>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</si>
  <si>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</si>
  <si>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</si>
  <si>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</si>
  <si>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</si>
  <si>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</si>
  <si>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</si>
  <si>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</si>
  <si>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</si>
  <si>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</si>
  <si>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</si>
  <si>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</si>
  <si>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</si>
  <si>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</si>
  <si>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</si>
  <si>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</si>
  <si>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</si>
  <si>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</si>
  <si>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</si>
  <si>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</si>
  <si>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</si>
  <si>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</si>
  <si>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</si>
  <si>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</si>
  <si>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</si>
  <si>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</si>
  <si>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</si>
  <si>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</si>
  <si>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</si>
  <si>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</si>
  <si>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</si>
  <si>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</si>
  <si>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</si>
  <si>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</si>
  <si>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</si>
  <si>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</si>
  <si>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</si>
  <si>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</si>
  <si>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</si>
  <si>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</si>
  <si>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</si>
  <si>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</si>
  <si>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</si>
  <si>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</si>
  <si>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</si>
  <si>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</si>
  <si>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</si>
  <si>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</si>
  <si>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</si>
  <si>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</si>
  <si>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</si>
  <si>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</si>
  <si>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</si>
  <si>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</si>
  <si>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</si>
  <si>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</si>
  <si>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</si>
  <si>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</si>
  <si>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</si>
  <si>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</si>
  <si>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</si>
  <si>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</si>
  <si>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</si>
  <si>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</si>
  <si>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</si>
  <si>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</si>
  <si>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</si>
  <si>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</si>
  <si>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</si>
  <si>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</si>
  <si>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</si>
  <si>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</si>
  <si>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</si>
  <si>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</si>
  <si>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</si>
  <si>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</si>
  <si>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</si>
  <si>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</si>
  <si>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</si>
  <si>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</si>
  <si>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</si>
  <si>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</si>
  <si>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</si>
  <si>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</si>
  <si>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</si>
  <si>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</si>
  <si>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</si>
  <si>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</si>
  <si>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</si>
  <si>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</si>
  <si>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</si>
  <si>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</si>
  <si>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</si>
  <si>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</si>
  <si>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</si>
  <si>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</si>
  <si>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</si>
  <si>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</si>
  <si>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</si>
  <si>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</si>
  <si>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</si>
  <si>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</si>
  <si>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</si>
  <si>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</si>
  <si>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</si>
  <si>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</si>
  <si>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</si>
  <si>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</si>
  <si>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</si>
  <si>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</si>
  <si>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</si>
  <si>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</si>
  <si>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</si>
  <si>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</si>
  <si>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</si>
  <si>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</si>
  <si>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</si>
  <si>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</si>
  <si>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</si>
  <si>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</si>
  <si>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</si>
  <si>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</si>
  <si>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</si>
  <si>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</si>
  <si>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</si>
  <si>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</si>
  <si>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</si>
  <si>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</si>
  <si>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</si>
  <si>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</si>
  <si>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</si>
  <si>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</si>
  <si>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</si>
  <si>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</si>
  <si>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</si>
  <si>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</si>
  <si>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</si>
  <si>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</si>
  <si>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</si>
  <si>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</si>
  <si>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</si>
  <si>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</si>
  <si>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</si>
  <si>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</si>
  <si>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</si>
  <si>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</si>
  <si>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</si>
  <si>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</si>
  <si>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</si>
  <si>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</si>
  <si>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</si>
  <si>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</si>
  <si>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</si>
  <si>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</si>
  <si>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</si>
  <si>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</si>
  <si>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</si>
  <si>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</si>
  <si>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</si>
  <si>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</si>
  <si>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</si>
  <si>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</si>
  <si>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</si>
  <si>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</si>
  <si>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</si>
  <si>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</si>
  <si>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</si>
  <si>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</si>
  <si>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</si>
  <si>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</si>
  <si>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</si>
  <si>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</si>
  <si>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</si>
  <si>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</si>
  <si>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</si>
  <si>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</si>
  <si>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</si>
  <si>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</si>
  <si>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</si>
  <si>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</si>
  <si>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</si>
  <si>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</si>
  <si>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</si>
  <si>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</si>
  <si>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</si>
  <si>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</si>
  <si>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</si>
  <si>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</si>
  <si>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</si>
  <si>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</si>
  <si>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</si>
  <si>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</si>
  <si>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</si>
  <si>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</si>
  <si>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</si>
  <si>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</si>
  <si>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</si>
  <si>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</si>
  <si>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</si>
  <si>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</si>
  <si>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</si>
  <si>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</si>
  <si>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</si>
  <si>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</si>
  <si>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</si>
  <si>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</si>
  <si>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</si>
  <si>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</si>
  <si>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</si>
  <si>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</si>
  <si>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</si>
  <si>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</si>
  <si>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</si>
  <si>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</si>
  <si>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</si>
  <si>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</si>
  <si>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</si>
  <si>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</si>
  <si>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</si>
  <si>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</si>
  <si>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</si>
  <si>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</si>
  <si>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</si>
  <si>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</si>
  <si>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</si>
  <si>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</si>
  <si>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</si>
  <si>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</si>
  <si>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</si>
  <si>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</si>
  <si>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</si>
  <si>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</si>
  <si>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</si>
  <si>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</si>
  <si>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</si>
  <si>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</si>
  <si>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</si>
  <si>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</si>
  <si>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</si>
  <si>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</si>
  <si>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</si>
  <si>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</si>
  <si>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</si>
  <si>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</si>
  <si>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</si>
  <si>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</si>
  <si>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</si>
  <si>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</si>
  <si>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</si>
  <si>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</si>
  <si>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</si>
  <si>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</si>
  <si>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</si>
  <si>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</si>
  <si>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</si>
  <si>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</si>
  <si>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</si>
  <si>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</si>
  <si>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</si>
  <si>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</si>
  <si>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</si>
  <si>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</si>
  <si>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</si>
  <si>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</si>
  <si>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</si>
  <si>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</si>
  <si>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</si>
  <si>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</si>
  <si>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</si>
  <si>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</si>
  <si>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</si>
  <si>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</si>
  <si>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</si>
  <si>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</si>
  <si>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</si>
  <si>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</si>
  <si>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</si>
  <si>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</si>
  <si>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</si>
  <si>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</si>
  <si>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</si>
  <si>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</si>
  <si>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</si>
  <si>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</si>
  <si>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</si>
  <si>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</si>
  <si>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</si>
  <si>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</si>
  <si>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</si>
  <si>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</si>
  <si>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</si>
  <si>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</si>
  <si>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</si>
  <si>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</si>
  <si>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</si>
  <si>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</si>
  <si>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</si>
  <si>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</si>
  <si>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</si>
  <si>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</si>
  <si>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</si>
  <si>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</si>
  <si>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</si>
  <si>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</si>
  <si>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</si>
  <si>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</si>
  <si>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</si>
  <si>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</si>
  <si>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</si>
  <si>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</si>
  <si>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</si>
  <si>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</si>
  <si>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</si>
  <si>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</si>
  <si>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</si>
  <si>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</si>
  <si>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</si>
  <si>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</si>
  <si>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</si>
  <si>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</si>
  <si>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</si>
  <si>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</si>
  <si>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</si>
  <si>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</si>
  <si>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</si>
  <si>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</si>
  <si>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</si>
  <si>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</si>
  <si>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</si>
  <si>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</si>
  <si>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</si>
  <si>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</si>
  <si>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</si>
  <si>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</si>
  <si>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</si>
  <si>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</si>
  <si>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</si>
  <si>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</si>
  <si>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</si>
  <si>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</si>
  <si>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</si>
  <si>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</si>
  <si>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</si>
  <si>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</si>
  <si>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</si>
  <si>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</si>
  <si>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</si>
  <si>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</si>
  <si>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</si>
  <si>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</si>
  <si>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</si>
  <si>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</si>
  <si>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</si>
  <si>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</si>
  <si>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</si>
  <si>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</si>
  <si>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</si>
  <si>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</si>
  <si>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</si>
  <si>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</si>
  <si>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</si>
  <si>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</si>
  <si>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</si>
  <si>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</si>
  <si>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</si>
  <si>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</si>
  <si>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</si>
  <si>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</si>
  <si>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</si>
  <si>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</si>
  <si>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</si>
  <si>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</si>
  <si>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</si>
  <si>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</si>
  <si>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</si>
  <si>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</si>
  <si>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</si>
  <si>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</si>
  <si>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</si>
  <si>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</si>
  <si>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</si>
  <si>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</si>
  <si>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</si>
  <si>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</si>
  <si>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</si>
  <si>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</si>
  <si>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</si>
  <si>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</si>
  <si>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</si>
  <si>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</si>
  <si>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</si>
  <si>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</si>
  <si>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</si>
  <si>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</si>
  <si>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</si>
  <si>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</si>
  <si>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</si>
  <si>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</si>
  <si>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</si>
  <si>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</si>
  <si>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</si>
  <si>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</si>
  <si>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</si>
  <si>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</si>
  <si>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</si>
  <si>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</si>
  <si>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</si>
  <si>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</si>
  <si>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</si>
  <si>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</si>
  <si>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</si>
  <si>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</si>
  <si>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</si>
  <si>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</si>
  <si>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</si>
  <si>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</si>
  <si>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</si>
  <si>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</si>
  <si>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</si>
  <si>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</si>
  <si>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</si>
  <si>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</si>
  <si>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</si>
  <si>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</si>
  <si>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</si>
  <si>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</si>
  <si>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</si>
  <si>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</si>
  <si>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</si>
  <si>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</si>
  <si>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</si>
  <si>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</si>
  <si>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</si>
  <si>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</si>
  <si>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</si>
  <si>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</si>
  <si>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</si>
  <si>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</si>
  <si>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</si>
  <si>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</si>
  <si>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</si>
  <si>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</si>
  <si>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</si>
  <si>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</si>
  <si>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</si>
  <si>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</si>
  <si>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</si>
  <si>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</si>
  <si>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</si>
  <si>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</si>
  <si>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</si>
  <si>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</si>
  <si>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</si>
  <si>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</si>
  <si>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</si>
  <si>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</si>
  <si>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</si>
  <si>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</si>
  <si>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</si>
  <si>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</si>
  <si>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</si>
  <si>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</si>
  <si>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</si>
  <si>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</si>
  <si>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</si>
  <si>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</si>
  <si>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</si>
  <si>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</si>
  <si>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</si>
  <si>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</si>
  <si>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</si>
  <si>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</si>
  <si>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</si>
  <si>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</si>
  <si>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</si>
  <si>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</si>
  <si>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</si>
  <si>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</si>
  <si>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</si>
  <si>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</si>
  <si>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</si>
  <si>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</si>
  <si>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</si>
  <si>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</si>
  <si>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</si>
  <si>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</si>
  <si>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</si>
  <si>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</si>
  <si>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</si>
  <si>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</si>
  <si>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</si>
  <si>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</si>
  <si>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</si>
  <si>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</si>
  <si>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</si>
  <si>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</si>
  <si>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</si>
  <si>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</si>
  <si>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</si>
  <si>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</si>
  <si>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</si>
  <si>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</si>
  <si>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</si>
  <si>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</si>
  <si>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</si>
  <si>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</si>
  <si>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</si>
  <si>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</si>
  <si>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</si>
  <si>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</si>
  <si>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</si>
  <si>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</si>
  <si>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</si>
  <si>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</si>
  <si>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</si>
  <si>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</si>
  <si>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</si>
  <si>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</si>
  <si>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</si>
  <si>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</si>
  <si>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</si>
  <si>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</si>
  <si>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</si>
  <si>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</si>
  <si>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</si>
  <si>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</si>
  <si>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</si>
  <si>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</si>
  <si>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</si>
  <si>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</si>
  <si>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</si>
  <si>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</si>
  <si>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</si>
  <si>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</si>
  <si>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</si>
  <si>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</si>
  <si>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</si>
  <si>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</si>
  <si>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</si>
  <si>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</si>
  <si>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</si>
  <si>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</si>
  <si>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</si>
  <si>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</si>
  <si>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</si>
  <si>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</si>
  <si>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</si>
  <si>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</si>
  <si>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</si>
  <si>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</si>
  <si>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</si>
  <si>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</si>
  <si>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</si>
  <si>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</si>
  <si>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</si>
  <si>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</si>
  <si>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</si>
  <si>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</si>
  <si>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</si>
  <si>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</si>
  <si>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</si>
  <si>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</si>
  <si>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</si>
  <si>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</si>
  <si>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</si>
  <si>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</si>
  <si>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</si>
  <si>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</si>
  <si>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</si>
  <si>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</si>
  <si>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</si>
  <si>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</si>
  <si>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</si>
  <si>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</si>
  <si>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</si>
  <si>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</si>
  <si>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</si>
  <si>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</si>
  <si>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</si>
  <si>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</si>
  <si>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</si>
  <si>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</si>
  <si>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</si>
  <si>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</si>
  <si>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</si>
  <si>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</si>
  <si>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</si>
  <si>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</si>
  <si>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</si>
  <si>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</si>
  <si>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</si>
  <si>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</si>
  <si>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</si>
  <si>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</si>
  <si>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</si>
  <si>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</si>
  <si>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</si>
  <si>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</si>
  <si>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</si>
  <si>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</si>
  <si>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</si>
  <si>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</si>
  <si>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</si>
  <si>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</si>
  <si>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</si>
  <si>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</si>
  <si>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</si>
  <si>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</si>
  <si>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</si>
  <si>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</si>
  <si>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</si>
  <si>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</si>
  <si>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</si>
  <si>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</si>
  <si>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</si>
  <si>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</si>
  <si>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</si>
  <si>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</si>
  <si>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</si>
  <si>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</si>
  <si>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</si>
  <si>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</si>
  <si>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</si>
  <si>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</si>
  <si>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</si>
  <si>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</si>
  <si>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</si>
  <si>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</si>
  <si>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</si>
  <si>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</si>
  <si>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</si>
  <si>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</si>
  <si>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</si>
  <si>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</si>
  <si>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</si>
  <si>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</si>
  <si>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</si>
  <si>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</si>
  <si>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</si>
  <si>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</si>
  <si>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</si>
  <si>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</si>
  <si>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</si>
  <si>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</si>
  <si>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</si>
  <si>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</si>
  <si>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</si>
  <si>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</si>
  <si>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</si>
  <si>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</si>
  <si>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</si>
  <si>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</si>
  <si>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</si>
  <si>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</si>
  <si>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</si>
  <si>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</si>
  <si>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</si>
  <si>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</si>
  <si>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</si>
  <si>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</si>
  <si>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</si>
  <si>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</si>
  <si>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</si>
  <si>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</si>
  <si>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</si>
  <si>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</si>
  <si>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</si>
  <si>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</si>
  <si>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</si>
  <si>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</si>
  <si>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</si>
  <si>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</si>
  <si>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</si>
  <si>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</si>
  <si>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</si>
  <si>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</si>
  <si>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</si>
  <si>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</si>
  <si>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</si>
  <si>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</si>
  <si>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</si>
  <si>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</si>
  <si>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</si>
  <si>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</si>
  <si>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</si>
  <si>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</si>
  <si>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</si>
  <si>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</si>
  <si>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</si>
  <si>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</si>
  <si>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</si>
  <si>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</si>
  <si>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</si>
  <si>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</si>
  <si>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</si>
  <si>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</si>
  <si>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</si>
  <si>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</si>
  <si>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</si>
  <si>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</si>
  <si>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</si>
  <si>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</si>
  <si>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</si>
  <si>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</si>
  <si>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</si>
  <si>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</si>
  <si>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</si>
  <si>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</si>
  <si>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</si>
  <si>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</si>
  <si>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</si>
  <si>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</si>
  <si>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</si>
  <si>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</si>
  <si>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</si>
  <si>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</si>
  <si>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</si>
  <si>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</si>
  <si>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</si>
  <si>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</si>
  <si>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</si>
  <si>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</si>
  <si>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</si>
  <si>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</si>
  <si>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</si>
  <si>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</si>
  <si>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</si>
  <si>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</si>
  <si>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</si>
  <si>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</si>
  <si>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</si>
  <si>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</si>
  <si>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</si>
  <si>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</si>
  <si>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</si>
  <si>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</si>
  <si>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</si>
  <si>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</si>
  <si>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</si>
  <si>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</si>
  <si>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</si>
  <si>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</si>
  <si>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</si>
  <si>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</si>
  <si>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</si>
  <si>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</si>
  <si>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</si>
  <si>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</si>
  <si>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</si>
  <si>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</si>
  <si>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</si>
  <si>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</si>
  <si>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</si>
  <si>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</si>
  <si>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</si>
  <si>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</si>
  <si>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</si>
  <si>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</si>
  <si>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</si>
  <si>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</si>
  <si>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</si>
  <si>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</si>
  <si>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</si>
  <si>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</si>
  <si>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</si>
  <si>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</si>
  <si>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</si>
  <si>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</si>
  <si>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</si>
  <si>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</si>
  <si>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</si>
  <si>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</si>
  <si>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</si>
  <si>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</si>
  <si>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</si>
  <si>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</si>
  <si>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</si>
  <si>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</si>
  <si>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</si>
  <si>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</si>
  <si>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</si>
  <si>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</si>
  <si>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</si>
  <si>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</si>
  <si>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</si>
  <si>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</si>
  <si>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</si>
  <si>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</si>
  <si>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</si>
  <si>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</si>
  <si>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</si>
  <si>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</si>
  <si>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</si>
  <si>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</si>
  <si>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</si>
  <si>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</si>
  <si>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</si>
  <si>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</si>
  <si>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</si>
  <si>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</si>
  <si>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</si>
  <si>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</si>
  <si>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</si>
  <si>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</si>
  <si>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</si>
  <si>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</si>
  <si>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</si>
  <si>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</si>
  <si>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</si>
  <si>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</si>
  <si>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</si>
  <si>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</si>
  <si>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</si>
  <si>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</si>
  <si>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</si>
  <si>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</si>
  <si>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</si>
  <si>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</si>
  <si>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</si>
  <si>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</si>
  <si>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</si>
  <si>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</si>
  <si>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</si>
  <si>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</si>
  <si>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</si>
  <si>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</si>
  <si>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</si>
  <si>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</si>
  <si>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</si>
  <si>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</si>
  <si>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</si>
  <si>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</si>
  <si>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</si>
  <si>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</si>
  <si>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</si>
  <si>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</si>
  <si>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</si>
  <si>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</si>
  <si>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</si>
  <si>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</si>
  <si>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</si>
  <si>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</si>
  <si>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</si>
  <si>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</si>
  <si>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</si>
  <si>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</si>
  <si>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</si>
  <si>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</si>
  <si>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</si>
  <si>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</si>
  <si>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</si>
  <si>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</si>
  <si>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</si>
  <si>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</si>
  <si>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</si>
  <si>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</si>
  <si>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</si>
  <si>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</si>
  <si>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</si>
  <si>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</si>
  <si>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</si>
  <si>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</si>
  <si>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</si>
  <si>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</si>
  <si>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</si>
  <si>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</si>
  <si>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</si>
  <si>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</si>
  <si>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</si>
  <si>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</si>
  <si>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</si>
  <si>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</si>
  <si>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</si>
  <si>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</si>
  <si>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</si>
  <si>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</si>
  <si>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</si>
  <si>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</si>
  <si>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</si>
  <si>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</si>
  <si>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</si>
  <si>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</si>
  <si>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</si>
  <si>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</si>
  <si>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</si>
  <si>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</si>
  <si>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</si>
  <si>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</si>
  <si>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</si>
  <si>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</si>
  <si>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</si>
  <si>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</si>
  <si>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</si>
  <si>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</si>
  <si>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</si>
  <si>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</si>
  <si>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</si>
  <si>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</si>
  <si>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</si>
  <si>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</si>
  <si>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</si>
  <si>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</si>
  <si>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</si>
  <si>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</si>
  <si>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</si>
  <si>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</si>
  <si>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</si>
  <si>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</si>
  <si>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</si>
  <si>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</si>
  <si>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</si>
  <si>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</si>
  <si>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</si>
  <si>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</si>
  <si>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</si>
  <si>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</si>
  <si>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</si>
  <si>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</si>
  <si>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</si>
  <si>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</si>
  <si>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</si>
  <si>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</si>
  <si>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</si>
  <si>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</si>
  <si>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</si>
  <si>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</si>
  <si>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</si>
  <si>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</si>
  <si>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</si>
  <si>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</si>
  <si>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</si>
  <si>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</si>
  <si>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</si>
  <si>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</si>
  <si>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</si>
  <si>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</si>
  <si>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</si>
  <si>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</si>
  <si>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</si>
  <si>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</si>
  <si>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</si>
  <si>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</si>
  <si>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</si>
  <si>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</si>
  <si>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</si>
  <si>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</si>
  <si>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</si>
  <si>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</si>
  <si>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</si>
  <si>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</si>
  <si>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</si>
  <si>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</si>
  <si>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</si>
  <si>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</si>
  <si>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</si>
  <si>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</si>
  <si>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</si>
  <si>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</si>
  <si>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</si>
  <si>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</si>
  <si>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</si>
  <si>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</si>
  <si>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</si>
  <si>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</si>
  <si>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</si>
  <si>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</si>
  <si>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</si>
  <si>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</si>
  <si>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</si>
  <si>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</si>
  <si>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</si>
  <si>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</si>
  <si>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</si>
  <si>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</si>
  <si>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</si>
  <si>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</si>
  <si>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</si>
  <si>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</si>
  <si>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</si>
  <si>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</si>
  <si>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</si>
  <si>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</si>
  <si>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</si>
  <si>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</si>
  <si>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</si>
  <si>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</si>
  <si>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</si>
  <si>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</si>
  <si>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</si>
  <si>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</si>
  <si>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</si>
  <si>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</si>
  <si>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</si>
  <si>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</si>
  <si>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</si>
  <si>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</si>
  <si>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</si>
  <si>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</si>
  <si>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</si>
  <si>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</si>
  <si>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</si>
  <si>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</si>
  <si>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</si>
  <si>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</si>
  <si>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</si>
  <si>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</si>
  <si>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</si>
  <si>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</si>
  <si>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</si>
  <si>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</si>
  <si>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</si>
  <si>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</si>
  <si>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</si>
  <si>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</si>
  <si>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</si>
  <si>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</si>
  <si>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</si>
  <si>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</si>
  <si>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</si>
  <si>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</si>
  <si>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</si>
  <si>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</si>
  <si>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</si>
  <si>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</si>
  <si>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</si>
  <si>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</si>
  <si>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</si>
  <si>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</si>
  <si>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</si>
  <si>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</si>
  <si>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</si>
  <si>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</si>
  <si>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</si>
  <si>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</si>
  <si>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</si>
  <si>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</si>
  <si>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</si>
  <si>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</si>
  <si>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</si>
  <si>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</si>
  <si>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</si>
  <si>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</si>
  <si>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</si>
  <si>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</si>
  <si>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</si>
  <si>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</si>
  <si>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</si>
  <si>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</si>
  <si>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</si>
  <si>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</si>
  <si>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</si>
  <si>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</si>
  <si>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</si>
  <si>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</si>
  <si>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</si>
  <si>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</si>
  <si>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</si>
  <si>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</si>
  <si>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</si>
  <si>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</si>
  <si>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</si>
  <si>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</si>
  <si>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</si>
  <si>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</si>
  <si>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</si>
  <si>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</si>
  <si>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</si>
  <si>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</si>
  <si>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</si>
  <si>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</si>
  <si>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</si>
  <si>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</si>
  <si>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</si>
  <si>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</si>
  <si>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</si>
  <si>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</si>
  <si>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</si>
  <si>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</si>
  <si>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</si>
  <si>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</si>
  <si>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</si>
  <si>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</si>
  <si>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</si>
  <si>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</si>
  <si>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</si>
  <si>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</si>
  <si>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</si>
  <si>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</si>
  <si>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</si>
  <si>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</si>
  <si>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</si>
  <si>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</si>
  <si>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</si>
  <si>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</si>
  <si>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</si>
  <si>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</si>
  <si>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</si>
  <si>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</si>
  <si>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</si>
  <si>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</si>
  <si>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</si>
  <si>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</si>
  <si>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</si>
  <si>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</si>
  <si>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</si>
  <si>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</si>
  <si>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</si>
  <si>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</si>
  <si>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</si>
  <si>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</si>
  <si>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</si>
  <si>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</si>
  <si>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</si>
  <si>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</si>
  <si>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</si>
  <si>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</si>
  <si>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</si>
  <si>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</si>
  <si>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</si>
  <si>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</si>
  <si>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</si>
  <si>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</si>
  <si>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</si>
  <si>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</si>
  <si>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</si>
  <si>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</si>
  <si>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</si>
  <si>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</si>
  <si>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</si>
  <si>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</si>
  <si>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</si>
  <si>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</si>
  <si>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</si>
  <si>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</si>
  <si>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</si>
  <si>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</si>
  <si>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</si>
  <si>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</si>
  <si>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</si>
  <si>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</si>
  <si>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</si>
  <si>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</si>
  <si>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</si>
  <si>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</si>
  <si>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</si>
  <si>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</si>
  <si>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</si>
  <si>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</si>
  <si>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</si>
  <si>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</si>
  <si>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</si>
  <si>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</si>
  <si>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</si>
  <si>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</si>
  <si>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</si>
  <si>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</si>
  <si>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</si>
  <si>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</si>
  <si>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</si>
  <si>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</si>
  <si>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</si>
  <si>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</si>
  <si>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</si>
  <si>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</si>
  <si>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</si>
  <si>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</si>
  <si>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</si>
  <si>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</si>
  <si>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</si>
  <si>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</si>
  <si>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</si>
  <si>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</si>
  <si>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</si>
  <si>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</si>
  <si>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</si>
  <si>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</si>
  <si>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</si>
  <si>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</si>
  <si>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</si>
  <si>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</si>
  <si>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</si>
  <si>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</si>
  <si>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</si>
  <si>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</si>
  <si>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</si>
  <si>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</si>
  <si>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</si>
  <si>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</si>
  <si>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</si>
  <si>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</si>
  <si>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</si>
  <si>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</si>
  <si>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</si>
  <si>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</si>
  <si>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</si>
  <si>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</si>
  <si>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</si>
  <si>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</si>
  <si>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</si>
  <si>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</si>
  <si>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</si>
  <si>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</si>
  <si>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</si>
  <si>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</si>
  <si>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</si>
  <si>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</si>
  <si>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</si>
  <si>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</si>
  <si>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</si>
  <si>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</si>
  <si>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</si>
  <si>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</si>
  <si>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</si>
  <si>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</si>
  <si>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</si>
  <si>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</si>
  <si>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</si>
  <si>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</si>
  <si>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</si>
  <si>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</si>
  <si>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</si>
  <si>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</si>
  <si>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</si>
  <si>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</si>
  <si>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</si>
  <si>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</si>
  <si>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</si>
  <si>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</si>
  <si>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</si>
  <si>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</si>
  <si>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</si>
  <si>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</si>
  <si>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</si>
  <si>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</si>
  <si>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</si>
  <si>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</si>
  <si>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</si>
  <si>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</si>
  <si>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</si>
  <si>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</si>
  <si>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</si>
  <si>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</si>
  <si>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</si>
  <si>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</si>
  <si>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</si>
  <si>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</si>
  <si>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</si>
  <si>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</si>
  <si>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</si>
  <si>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</si>
  <si>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</si>
  <si>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</si>
  <si>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</si>
  <si>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</si>
  <si>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</si>
  <si>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</si>
  <si>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</si>
  <si>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</si>
  <si>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</si>
  <si>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</si>
  <si>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</si>
  <si>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</si>
  <si>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</si>
  <si>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</si>
  <si>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</si>
  <si>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</si>
  <si>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</si>
  <si>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</si>
  <si>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</si>
  <si>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2023-1</t>
    <phoneticPr fontId="3" type="noConversion"/>
  </si>
  <si>
    <t>2022-4</t>
    <phoneticPr fontId="3"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</si>
  <si>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</si>
  <si>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</si>
  <si>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</si>
  <si>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</si>
  <si>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</si>
  <si>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</si>
  <si>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</si>
  <si>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</si>
  <si>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</si>
  <si>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</si>
  <si>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</si>
  <si>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</si>
  <si>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</si>
  <si>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</si>
  <si>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</si>
  <si>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</si>
  <si>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</si>
  <si>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</si>
  <si>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</si>
  <si>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</si>
  <si>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</si>
  <si>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</si>
  <si>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</si>
  <si>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</si>
  <si>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</si>
  <si>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</si>
  <si>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</si>
  <si>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</si>
  <si>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</si>
  <si>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</si>
  <si>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</si>
  <si>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</si>
  <si>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</si>
  <si>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</si>
  <si>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</si>
  <si>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</si>
  <si>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</si>
  <si>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</si>
  <si>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</si>
  <si>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</si>
  <si>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</si>
  <si>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</si>
  <si>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</si>
  <si>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</si>
  <si>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</si>
  <si>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</si>
  <si>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</si>
  <si>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</si>
  <si>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</si>
  <si>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</si>
  <si>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</si>
  <si>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</si>
  <si>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</si>
  <si>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</si>
  <si>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</si>
  <si>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</si>
  <si>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</si>
  <si>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</si>
  <si>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</si>
  <si>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</si>
  <si>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</si>
  <si>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</si>
  <si>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</si>
  <si>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</si>
  <si>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</si>
  <si>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</si>
  <si>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</si>
  <si>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</si>
  <si>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</si>
  <si>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</si>
  <si>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</si>
  <si>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</si>
  <si>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</si>
  <si>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</si>
  <si>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</si>
  <si>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</si>
  <si>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</si>
  <si>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</si>
  <si>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</si>
  <si>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</si>
  <si>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</si>
  <si>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</si>
  <si>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</si>
  <si>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</si>
  <si>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</si>
  <si>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</si>
  <si>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</si>
  <si>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</si>
  <si>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</si>
  <si>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</si>
  <si>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</si>
  <si>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</si>
  <si>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</si>
  <si>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</si>
  <si>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</si>
  <si>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</si>
  <si>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</si>
  <si>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</si>
  <si>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</si>
  <si>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</si>
  <si>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</si>
  <si>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</si>
  <si>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</si>
  <si>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</si>
  <si>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</si>
  <si>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</si>
  <si>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</si>
  <si>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</si>
  <si>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</si>
  <si>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</si>
  <si>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</si>
  <si>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</si>
  <si>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</si>
  <si>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</si>
  <si>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</si>
  <si>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</si>
  <si>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</si>
  <si>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</si>
  <si>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</si>
  <si>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</si>
  <si>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</si>
  <si>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</si>
  <si>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</si>
  <si>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</si>
  <si>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</si>
  <si>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</si>
  <si>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</si>
  <si>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</si>
  <si>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</si>
  <si>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</si>
  <si>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</si>
  <si>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</si>
  <si>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</si>
  <si>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</si>
  <si>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</si>
  <si>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</si>
  <si>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</si>
  <si>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</si>
  <si>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</si>
  <si>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</si>
  <si>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</si>
  <si>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</si>
  <si>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</si>
  <si>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</si>
  <si>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</si>
  <si>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</si>
  <si>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</si>
  <si>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</si>
  <si>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</si>
  <si>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</si>
  <si>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</si>
  <si>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</si>
  <si>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</si>
  <si>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</si>
  <si>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</si>
  <si>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</si>
  <si>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</si>
  <si>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</si>
  <si>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</si>
  <si>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</si>
  <si>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</si>
  <si>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</si>
  <si>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</si>
  <si>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</si>
  <si>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</si>
  <si>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</si>
  <si>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</si>
  <si>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</si>
  <si>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</si>
  <si>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</si>
  <si>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</si>
  <si>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</si>
  <si>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</si>
  <si>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</si>
  <si>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</si>
  <si>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</si>
  <si>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</si>
  <si>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</si>
  <si>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</si>
  <si>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</si>
  <si>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</si>
  <si>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</si>
  <si>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</si>
  <si>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</si>
  <si>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</si>
  <si>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</si>
  <si>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</si>
  <si>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</si>
  <si>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</si>
  <si>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</si>
  <si>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</si>
  <si>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</si>
  <si>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</si>
  <si>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</si>
  <si>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</si>
  <si>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</si>
  <si>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</si>
  <si>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</si>
  <si>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</si>
  <si>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</si>
  <si>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</si>
  <si>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</si>
  <si>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</si>
  <si>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</si>
  <si>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</si>
  <si>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</si>
  <si>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</si>
  <si>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</si>
  <si>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</si>
  <si>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</si>
  <si>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</si>
  <si>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</si>
  <si>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</si>
  <si>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</si>
  <si>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</si>
  <si>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</si>
  <si>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</si>
  <si>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</si>
  <si>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</si>
  <si>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</si>
  <si>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</si>
  <si>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</si>
  <si>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</si>
  <si>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</si>
  <si>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</si>
  <si>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</si>
  <si>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</si>
  <si>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</si>
  <si>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</si>
  <si>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</si>
  <si>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</si>
  <si>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</si>
  <si>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</si>
  <si>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</si>
  <si>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</si>
  <si>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</si>
  <si>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</si>
  <si>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</si>
  <si>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</si>
  <si>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</si>
  <si>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</si>
  <si>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</si>
  <si>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</si>
  <si>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</si>
  <si>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</si>
  <si>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</si>
  <si>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</si>
  <si>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</si>
  <si>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</si>
  <si>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</si>
  <si>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</si>
  <si>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</si>
  <si>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</si>
  <si>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</si>
  <si>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</si>
  <si>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</si>
  <si>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</si>
  <si>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</si>
  <si>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</si>
  <si>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</si>
  <si>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</si>
  <si>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</si>
  <si>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</si>
  <si>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</si>
  <si>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</si>
  <si>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</si>
  <si>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</si>
  <si>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</si>
  <si>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</si>
  <si>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</si>
  <si>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</si>
  <si>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</si>
  <si>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</si>
  <si>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</si>
  <si>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</si>
  <si>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</si>
  <si>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</si>
  <si>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</si>
  <si>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</si>
  <si>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</si>
  <si>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</si>
  <si>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</si>
  <si>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</si>
  <si>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</si>
  <si>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</si>
  <si>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</si>
  <si>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</si>
  <si>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</si>
  <si>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</si>
  <si>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</si>
  <si>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</si>
  <si>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</si>
  <si>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</si>
  <si>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</si>
  <si>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</si>
  <si>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</si>
  <si>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</si>
  <si>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</si>
  <si>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</si>
  <si>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</si>
  <si>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</si>
  <si>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</si>
  <si>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</si>
  <si>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</si>
  <si>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</si>
  <si>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</si>
  <si>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</si>
  <si>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</si>
  <si>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</si>
  <si>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</si>
  <si>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</si>
  <si>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</si>
  <si>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</si>
  <si>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</si>
  <si>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</si>
  <si>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</si>
  <si>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</si>
  <si>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</si>
  <si>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</si>
  <si>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</si>
  <si>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</si>
  <si>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</si>
  <si>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</si>
  <si>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</si>
  <si>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</si>
  <si>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</si>
  <si>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</si>
  <si>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</si>
  <si>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</si>
  <si>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</si>
  <si>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</si>
  <si>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</si>
  <si>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</si>
  <si>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</si>
  <si>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</si>
  <si>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</si>
  <si>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</si>
  <si>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</si>
  <si>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</si>
  <si>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</si>
  <si>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</si>
  <si>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</si>
  <si>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</si>
  <si>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</si>
  <si>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</si>
  <si>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</si>
  <si>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</si>
  <si>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</si>
  <si>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</si>
  <si>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</si>
  <si>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</si>
  <si>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</si>
  <si>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</si>
  <si>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</si>
  <si>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</si>
  <si>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</si>
  <si>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</si>
  <si>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</si>
  <si>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</si>
  <si>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</si>
  <si>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</si>
  <si>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</si>
  <si>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</si>
  <si>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</si>
  <si>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</si>
  <si>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</si>
  <si>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</si>
  <si>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</si>
  <si>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</si>
  <si>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</si>
  <si>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</si>
  <si>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</si>
  <si>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</si>
  <si>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</si>
  <si>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</si>
  <si>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</si>
  <si>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</si>
  <si>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</si>
  <si>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</si>
  <si>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</si>
  <si>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</si>
  <si>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</si>
  <si>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</si>
  <si>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</si>
  <si>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</si>
  <si>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</si>
  <si>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</si>
  <si>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</si>
  <si>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</si>
  <si>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</si>
  <si>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</si>
  <si>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</si>
  <si>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</si>
  <si>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</si>
  <si>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</si>
  <si>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</si>
  <si>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</si>
  <si>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</si>
  <si>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</si>
  <si>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</si>
  <si>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</si>
  <si>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</si>
  <si>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</si>
  <si>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</si>
  <si>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</si>
  <si>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</si>
  <si>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</si>
  <si>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</si>
  <si>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</si>
  <si>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</si>
  <si>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</si>
  <si>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</si>
  <si>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</si>
  <si>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</si>
  <si>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</si>
  <si>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</si>
  <si>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</si>
  <si>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</si>
  <si>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</si>
  <si>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</si>
  <si>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</si>
  <si>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</si>
  <si>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</si>
  <si>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</si>
  <si>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</si>
  <si>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</si>
  <si>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</si>
  <si>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</si>
  <si>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</si>
  <si>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</si>
  <si>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</si>
  <si>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</si>
  <si>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</si>
  <si>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</si>
  <si>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</si>
  <si>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</si>
  <si>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</si>
  <si>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</si>
  <si>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</si>
  <si>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</si>
  <si>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</si>
  <si>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</si>
  <si>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</si>
  <si>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</si>
  <si>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</si>
  <si>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</si>
  <si>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</si>
  <si>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</si>
  <si>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</si>
  <si>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</si>
  <si>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</si>
  <si>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</si>
  <si>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</si>
  <si>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</si>
  <si>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</si>
  <si>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</si>
  <si>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</si>
  <si>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</si>
  <si>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</si>
  <si>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</si>
  <si>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</si>
  <si>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</si>
  <si>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</si>
  <si>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其他：</t>
  </si>
  <si>
    <t>江苏省</t>
    <phoneticPr fontId="3" type="noConversion"/>
  </si>
  <si>
    <t>容积率</t>
    <phoneticPr fontId="3" type="noConversion"/>
  </si>
  <si>
    <t>建筑密度</t>
    <phoneticPr fontId="3" type="noConversion"/>
  </si>
  <si>
    <t>估算楼层</t>
    <phoneticPr fontId="3" type="noConversion"/>
  </si>
  <si>
    <t>地上</t>
  </si>
  <si>
    <t>独立商业</t>
  </si>
  <si>
    <t>商业</t>
    <phoneticPr fontId="7" type="noConversion"/>
  </si>
  <si>
    <t>是</t>
  </si>
  <si>
    <t>不动产收益法</t>
  </si>
  <si>
    <t>地块名称</t>
  </si>
  <si>
    <t>城市</t>
  </si>
  <si>
    <t>用地性质</t>
  </si>
  <si>
    <t>区县</t>
  </si>
  <si>
    <t>板块</t>
  </si>
  <si>
    <t>土地位置</t>
  </si>
  <si>
    <t>出让方式</t>
  </si>
  <si>
    <t>地块编号</t>
  </si>
  <si>
    <t>详细规划</t>
  </si>
  <si>
    <t>建设用地面积(㎡)</t>
  </si>
  <si>
    <t>规划建筑面积(㎡)</t>
  </si>
  <si>
    <t>商业比例</t>
  </si>
  <si>
    <t>建筑密度</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</si>
  <si>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</si>
  <si>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</si>
  <si>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</si>
  <si>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</si>
  <si>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</si>
  <si>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</si>
  <si>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</si>
  <si>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</si>
  <si>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</si>
  <si>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</si>
  <si>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</si>
  <si>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</si>
  <si>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</si>
  <si>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</si>
  <si>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</si>
  <si>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</si>
  <si>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</si>
  <si>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</si>
  <si>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</si>
  <si>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</si>
  <si>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</si>
  <si>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</si>
  <si>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</si>
  <si>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海州区香海湖路北、为民路东</t>
  </si>
  <si>
    <t>连云港市</t>
  </si>
  <si>
    <t>商业/办公用地</t>
  </si>
  <si>
    <t>海州区</t>
  </si>
  <si>
    <t>锦屏镇</t>
    <phoneticPr fontId="3" type="noConversion"/>
  </si>
  <si>
    <t>挂牌</t>
  </si>
  <si>
    <t>LTC2020-15#</t>
  </si>
  <si>
    <t>商务金融用地</t>
  </si>
  <si>
    <t>大于1并且小于或等于1.5</t>
  </si>
  <si>
    <t>小于或等于45</t>
  </si>
  <si>
    <t>未开工</t>
  </si>
  <si>
    <t>2020-08-11</t>
  </si>
  <si>
    <t>2020-09-02</t>
  </si>
  <si>
    <t>2020-09-11</t>
  </si>
  <si>
    <t>连云港市本级网挂[2020]06号</t>
  </si>
  <si>
    <t>已成交</t>
  </si>
  <si>
    <t>连云港海蚨新媒体发展有限公司</t>
  </si>
  <si>
    <t>40年</t>
  </si>
  <si>
    <t>2星</t>
  </si>
  <si>
    <t>海州区郁洲南路东、梧桐路南</t>
    <phoneticPr fontId="224" type="noConversion"/>
  </si>
  <si>
    <t>锦屏镇</t>
  </si>
  <si>
    <t>海州区郁洲南路东、梧桐路南</t>
  </si>
  <si>
    <t>LTC2018-04号</t>
  </si>
  <si>
    <t>批发零售用地</t>
  </si>
  <si>
    <t>≥1且≤1.5</t>
  </si>
  <si>
    <t>≤45%</t>
  </si>
  <si>
    <t>开工中</t>
  </si>
  <si>
    <t>2018-01-30</t>
  </si>
  <si>
    <t>2018-02-20</t>
  </si>
  <si>
    <t>2018-03-01</t>
  </si>
  <si>
    <t>连云港市本级网挂[2018]02号</t>
  </si>
  <si>
    <t>连云港市瑞开房地产开发有限公司</t>
  </si>
  <si>
    <t>3星</t>
  </si>
  <si>
    <t>海州区郁洲南路西、支三路南、香海湖北</t>
  </si>
  <si>
    <t>LTC2018-05号</t>
  </si>
  <si>
    <t>江苏鸿晟贸易有限公司</t>
  </si>
  <si>
    <r>
      <t>高于市场1</t>
    </r>
    <r>
      <rPr>
        <sz val="11"/>
        <color theme="1"/>
        <rFont val="宋体"/>
        <family val="3"/>
        <charset val="134"/>
        <scheme val="minor"/>
      </rPr>
      <t>0%-30%</t>
    </r>
    <phoneticPr fontId="224" type="noConversion"/>
  </si>
  <si>
    <t>商业</t>
    <phoneticPr fontId="26" type="noConversion"/>
  </si>
  <si>
    <t>估价对象周边道路状况一般、公共交通通达情况较差，有5、122路经过、停车便捷程度，综合评价交通便捷度一般</t>
    <phoneticPr fontId="3" type="noConversion"/>
  </si>
  <si>
    <t>估价对象所在区域公共配套设施齐备情况较差</t>
    <phoneticPr fontId="3" type="noConversion"/>
  </si>
  <si>
    <t>六通</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</si>
  <si>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新华大道</t>
    </r>
    <phoneticPr fontId="3" type="noConversion"/>
  </si>
  <si>
    <t>一般</t>
  </si>
  <si>
    <t>规则</t>
    <phoneticPr fontId="3" type="noConversion"/>
  </si>
  <si>
    <t>较规则</t>
    <phoneticPr fontId="3" type="noConversion"/>
  </si>
  <si>
    <t>较不规则</t>
    <phoneticPr fontId="3" type="noConversion"/>
  </si>
  <si>
    <t>不规则</t>
    <phoneticPr fontId="3" type="noConversion"/>
  </si>
  <si>
    <t>较好</t>
  </si>
  <si>
    <t>连云港海州区锦屏山东南侧4号地</t>
    <phoneticPr fontId="3" type="noConversion"/>
  </si>
  <si>
    <t>土地（套用方法）</t>
  </si>
  <si>
    <t>押一</t>
  </si>
  <si>
    <t>钢混</t>
  </si>
  <si>
    <t>比较法-住宅、综合</t>
  </si>
  <si>
    <t>剩余法-待开发</t>
  </si>
  <si>
    <t>楼面地价</t>
  </si>
  <si>
    <t>项目全部</t>
  </si>
  <si>
    <t>土地</t>
  </si>
  <si>
    <t>利息：取LPR加浮动点数</t>
  </si>
  <si>
    <t>商服</t>
  </si>
  <si>
    <t>商服</t>
    <phoneticPr fontId="26" type="noConversion"/>
  </si>
  <si>
    <t>正常</t>
  </si>
  <si>
    <t>估价对象周边商业氛围成熟度较差，人流量较少，住宅底商为主，商业繁华度较差</t>
    <phoneticPr fontId="3" type="noConversion"/>
  </si>
  <si>
    <t>较差</t>
  </si>
  <si>
    <t>六通</t>
  </si>
  <si>
    <t>区域自然环境：；人文环境；综合评价环境状况较好</t>
    <phoneticPr fontId="3" type="noConversion"/>
  </si>
  <si>
    <t>商务楼</t>
  </si>
  <si>
    <t>商务楼</t>
    <phoneticPr fontId="26" type="noConversion"/>
  </si>
  <si>
    <t>钢混</t>
    <phoneticPr fontId="26" type="noConversion"/>
  </si>
  <si>
    <t>精装修</t>
  </si>
  <si>
    <t>精装修</t>
    <phoneticPr fontId="26" type="noConversion"/>
  </si>
  <si>
    <t>六通</t>
    <phoneticPr fontId="26" type="noConversion"/>
  </si>
  <si>
    <t>标准</t>
  </si>
  <si>
    <t>标准</t>
    <phoneticPr fontId="26" type="noConversion"/>
  </si>
  <si>
    <t>普通装修</t>
  </si>
  <si>
    <t>普通装修</t>
    <phoneticPr fontId="26" type="noConversion"/>
  </si>
  <si>
    <t>毛坯</t>
  </si>
  <si>
    <t>毛坯</t>
    <phoneticPr fontId="26" type="noConversion"/>
  </si>
  <si>
    <t>售价</t>
  </si>
  <si>
    <t>高速路</t>
    <phoneticPr fontId="3" type="noConversion"/>
  </si>
  <si>
    <t>快速路</t>
    <phoneticPr fontId="3" type="noConversion"/>
  </si>
  <si>
    <t>主干道</t>
    <phoneticPr fontId="3" type="noConversion"/>
  </si>
  <si>
    <t>次干道</t>
    <phoneticPr fontId="3" type="noConversion"/>
  </si>
  <si>
    <t>支路</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</si>
  <si>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</si>
  <si>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</si>
  <si>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</si>
  <si>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</si>
  <si>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</si>
  <si>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七通</t>
  </si>
  <si>
    <t>五通</t>
  </si>
  <si>
    <t>四通</t>
  </si>
  <si>
    <t>三通</t>
  </si>
  <si>
    <t>王鹏</t>
  </si>
  <si>
    <t>郑燚</t>
  </si>
  <si>
    <t>抵押价格</t>
  </si>
  <si>
    <t>省份</t>
  </si>
  <si>
    <t>集中供地</t>
  </si>
  <si>
    <t>商业比例(%)</t>
  </si>
  <si>
    <t>限制高度</t>
  </si>
  <si>
    <t>推出特殊政策</t>
  </si>
  <si>
    <t>成交特殊政策</t>
  </si>
  <si>
    <t>特殊用地类型</t>
  </si>
  <si>
    <t>特殊住房类型</t>
  </si>
  <si>
    <t>推出保障房面积(㎡)</t>
  </si>
  <si>
    <t>成交保障房面积(㎡)</t>
  </si>
  <si>
    <t>推出自住房面积(㎡)</t>
  </si>
  <si>
    <t>成交自住房面积(㎡)</t>
  </si>
  <si>
    <t>成交状态</t>
  </si>
  <si>
    <t>拿地企业</t>
  </si>
  <si>
    <t>企业性质</t>
  </si>
  <si>
    <t>保证金截止时间</t>
  </si>
  <si>
    <t>溢价率(%)</t>
  </si>
  <si>
    <t>出让年限(年)</t>
  </si>
  <si>
    <t>限地价(万元)</t>
  </si>
  <si>
    <t>触达限地价</t>
  </si>
  <si>
    <t>限售价(均价)(元/㎡)</t>
  </si>
  <si>
    <t>楼面价上限(元/㎡)</t>
  </si>
  <si>
    <t>溢价率上限(%)</t>
  </si>
  <si>
    <t>房地价差(元/㎡)</t>
  </si>
  <si>
    <t>LTC2023-01#</t>
  </si>
  <si>
    <t xml:space="preserve"> 江苏省</t>
  </si>
  <si>
    <t xml:space="preserve"> 海州区</t>
  </si>
  <si>
    <t xml:space="preserve"> 海州经济开发区</t>
    <phoneticPr fontId="224" type="noConversion"/>
  </si>
  <si>
    <t xml:space="preserve"> 商业/办公用地</t>
  </si>
  <si>
    <t xml:space="preserve"> ≥1,≤1.5</t>
  </si>
  <si>
    <t xml:space="preserve"> 挂牌</t>
  </si>
  <si>
    <t xml:space="preserve"> 零售商业用地</t>
  </si>
  <si>
    <t xml:space="preserve">-- </t>
  </si>
  <si>
    <t xml:space="preserve"> -- </t>
  </si>
  <si>
    <t xml:space="preserve"> ≤35%</t>
  </si>
  <si>
    <t xml:space="preserve"> ≤50</t>
  </si>
  <si>
    <t xml:space="preserve"> --</t>
  </si>
  <si>
    <t xml:space="preserve"> 连云港市本级网挂[2023]01号</t>
  </si>
  <si>
    <t xml:space="preserve"> 已成交</t>
  </si>
  <si>
    <t xml:space="preserve"> 连云港香海湖城市发展有限公司  </t>
  </si>
  <si>
    <t>2023-03-01 17:00</t>
  </si>
  <si>
    <t xml:space="preserve"> 40年</t>
  </si>
  <si>
    <t>LTC2023-02#</t>
  </si>
  <si>
    <t xml:space="preserve"> 浦南镇</t>
    <phoneticPr fontId="224" type="noConversion"/>
  </si>
  <si>
    <t xml:space="preserve"> ≤2</t>
  </si>
  <si>
    <t xml:space="preserve"> ≤50%</t>
  </si>
  <si>
    <t xml:space="preserve"> 连云港扬天投资有限公司  </t>
  </si>
  <si>
    <t xml:space="preserve"> 海州区青圃路南、支一路西</t>
    <phoneticPr fontId="224" type="noConversion"/>
  </si>
  <si>
    <t xml:space="preserve"> 海州区长江路北、道浦路东</t>
    <phoneticPr fontId="224" type="noConversion"/>
  </si>
  <si>
    <r>
      <t xml:space="preserve"> </t>
    </r>
    <r>
      <rPr>
        <sz val="11"/>
        <color theme="9" tint="-0.249977111117893"/>
        <rFont val="宋体"/>
        <family val="3"/>
        <charset val="134"/>
      </rPr>
      <t>海州区青圃路南、支一路西</t>
    </r>
    <phoneticPr fontId="26" type="noConversion"/>
  </si>
  <si>
    <r>
      <t xml:space="preserve"> </t>
    </r>
    <r>
      <rPr>
        <sz val="11"/>
        <color theme="9" tint="-0.249977111117893"/>
        <rFont val="宋体"/>
        <family val="3"/>
        <charset val="134"/>
      </rPr>
      <t>海州区长江路北、道浦路东</t>
    </r>
    <phoneticPr fontId="26" type="noConversion"/>
  </si>
  <si>
    <t>融信华阳学院府</t>
    <phoneticPr fontId="3" type="noConversion"/>
  </si>
  <si>
    <t>东方领秀</t>
    <phoneticPr fontId="3" type="noConversion"/>
  </si>
  <si>
    <t>祥生·苍梧春晓苑</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</si>
</sst>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1"/>
      <color theme="9" tint="-0.249977111117893"/>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141" fillId="0" borderId="0">
      <alignment vertical="center"/>
    </xf>
  </cellStyleXfs>
  <cellXfs count="3723">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184" fontId="74" fillId="0" borderId="2" xfId="0" applyNumberFormat="1" applyFont="1" applyBorder="1" applyAlignment="1" applyProtection="1">
      <alignment horizontal="center" vertical="center" shrinkToFit="1"/>
      <protection locked="0"/>
    </xf>
    <xf numFmtId="9" fontId="11" fillId="0" borderId="2" xfId="0" applyNumberFormat="1" applyFont="1" applyBorder="1" applyAlignment="1" applyProtection="1">
      <alignment horizontal="center" vertical="center" wrapText="1"/>
      <protection locked="0"/>
    </xf>
    <xf numFmtId="2" fontId="159" fillId="0" borderId="2" xfId="1" applyNumberFormat="1" applyFont="1" applyBorder="1" applyAlignment="1" applyProtection="1">
      <alignment horizontal="center" vertical="center" wrapText="1"/>
      <protection locked="0"/>
    </xf>
    <xf numFmtId="180" fontId="67" fillId="0" borderId="2" xfId="0" applyNumberFormat="1" applyFont="1" applyBorder="1" applyAlignment="1" applyProtection="1">
      <alignment horizontal="center" vertical="center"/>
      <protection locked="0"/>
    </xf>
    <xf numFmtId="0" fontId="141" fillId="0" borderId="0" xfId="1" applyAlignment="1"/>
    <xf numFmtId="0" fontId="141" fillId="0" borderId="0" xfId="1">
      <alignment vertical="center"/>
    </xf>
    <xf numFmtId="0" fontId="123" fillId="0" borderId="0" xfId="1" applyFont="1" applyAlignment="1"/>
    <xf numFmtId="1" fontId="141" fillId="0" borderId="0" xfId="1" applyNumberFormat="1">
      <alignment vertical="center"/>
    </xf>
    <xf numFmtId="0" fontId="67" fillId="5" borderId="42" xfId="0" applyFont="1" applyFill="1" applyBorder="1" applyAlignment="1" applyProtection="1">
      <alignment horizontal="center" vertical="center" wrapText="1"/>
      <protection locked="0"/>
    </xf>
    <xf numFmtId="0" fontId="88" fillId="0" borderId="9" xfId="0" applyFont="1" applyBorder="1" applyAlignment="1" applyProtection="1">
      <alignment horizontal="center" vertical="center" wrapText="1"/>
      <protection locked="0"/>
    </xf>
    <xf numFmtId="0" fontId="140" fillId="0" borderId="6" xfId="0" applyFont="1" applyBorder="1" applyAlignment="1" applyProtection="1">
      <alignment horizontal="center" vertical="center" wrapText="1"/>
      <protection locked="0"/>
    </xf>
    <xf numFmtId="49" fontId="255" fillId="0" borderId="12" xfId="0" applyNumberFormat="1" applyFont="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140" fillId="0" borderId="74" xfId="0" applyFont="1" applyBorder="1" applyAlignment="1" applyProtection="1">
      <alignment horizontal="center" vertical="center" wrapText="1"/>
      <protection locked="0"/>
    </xf>
    <xf numFmtId="2" fontId="67" fillId="0" borderId="0" xfId="0" applyNumberFormat="1" applyFont="1" applyProtection="1">
      <alignment vertical="center"/>
      <protection locked="0"/>
    </xf>
    <xf numFmtId="0" fontId="140" fillId="0" borderId="71" xfId="0"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0" fillId="6" borderId="0" xfId="0" applyFill="1" applyAlignment="1"/>
    <xf numFmtId="14" fontId="0" fillId="6" borderId="0" xfId="0" applyNumberFormat="1" applyFill="1" applyAlignment="1"/>
    <xf numFmtId="0" fontId="141" fillId="6" borderId="0" xfId="0" applyFont="1" applyFill="1" applyAlignment="1"/>
    <xf numFmtId="0" fontId="181" fillId="0" borderId="0" xfId="7" applyFont="1" applyAlignment="1">
      <alignment horizontal="left" vertical="top" wrapText="1"/>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255" fillId="0" borderId="9"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xfId="16" builtinId="5"/>
    <cellStyle name="百分比 2" xfId="11" xr:uid="{00000000-0005-0000-0000-000001000000}"/>
    <cellStyle name="常规" xfId="0" builtinId="0"/>
    <cellStyle name="常规 10" xfId="18" xr:uid="{00000000-0005-0000-0000-000003000000}"/>
    <cellStyle name="常规 11" xfId="17" xr:uid="{00000000-0005-0000-0000-000004000000}"/>
    <cellStyle name="常规 16" xfId="1" xr:uid="{00000000-0005-0000-0000-000005000000}"/>
    <cellStyle name="常规 2" xfId="2" xr:uid="{00000000-0005-0000-0000-000006000000}"/>
    <cellStyle name="常规 2 2" xfId="3" xr:uid="{00000000-0005-0000-0000-000007000000}"/>
    <cellStyle name="常规 2 2 2 2 3" xfId="12" xr:uid="{00000000-0005-0000-0000-000008000000}"/>
    <cellStyle name="常规 3" xfId="4" xr:uid="{00000000-0005-0000-0000-000009000000}"/>
    <cellStyle name="常规 3 2" xfId="5" xr:uid="{00000000-0005-0000-0000-00000A000000}"/>
    <cellStyle name="常规 4" xfId="6" xr:uid="{00000000-0005-0000-0000-00000B000000}"/>
    <cellStyle name="常规 5" xfId="7" xr:uid="{00000000-0005-0000-0000-00000C000000}"/>
    <cellStyle name="常规 6" xfId="8" xr:uid="{00000000-0005-0000-0000-00000D000000}"/>
    <cellStyle name="常规 6 2" xfId="10" xr:uid="{00000000-0005-0000-0000-00000E000000}"/>
    <cellStyle name="常规 6 2 2" xfId="13" xr:uid="{00000000-0005-0000-0000-00000F000000}"/>
    <cellStyle name="常规 7" xfId="9" xr:uid="{00000000-0005-0000-0000-000010000000}"/>
    <cellStyle name="常规 8" xfId="15" xr:uid="{00000000-0005-0000-0000-000011000000}"/>
    <cellStyle name="常规 9" xfId="14" xr:uid="{00000000-0005-0000-0000-000012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1-1-0154&#36830;&#20113;&#28207;4&#21495;&#21830;&#19994;&#22320;&#22359;/P01/&#26368;&#32456;/&#23545;&#20844;&#20107;&#19994;&#37096;&#8212;&#30005;&#31639;&#34920;-&#28023;&#24030;&#38182;&#23631;&#23665;4&#21495;&#22320;-&#1996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
      <sheetName val="酒店收入计算"/>
      <sheetName val="成本逼近法"/>
      <sheetName val="不动产收益法车"/>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不动产收益法车</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20">
          <cell r="C20" t="str">
            <v>商业</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5">
          <cell r="A75" t="str">
            <v>交易情况</v>
          </cell>
          <cell r="C75" t="str">
            <v>正常</v>
          </cell>
        </row>
        <row r="77">
          <cell r="B77" t="str">
            <v>用途</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较不规则</v>
          </cell>
          <cell r="F121" t="str">
            <v>不规则</v>
          </cell>
        </row>
        <row r="123">
          <cell r="B123" t="str">
            <v>临街宽度及深度</v>
          </cell>
          <cell r="C123" t="str">
            <v>适宜</v>
          </cell>
          <cell r="D123" t="str">
            <v>较适宜</v>
          </cell>
          <cell r="E123" t="str">
            <v>一般适宜</v>
          </cell>
          <cell r="F123" t="str">
            <v>较不适宜</v>
          </cell>
          <cell r="G123" t="str">
            <v>不适宜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19">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0"/>
      <sheetData sheetId="2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2"/>
      <sheetData sheetId="23"/>
      <sheetData sheetId="24"/>
      <sheetData sheetId="25"/>
      <sheetData sheetId="26"/>
      <sheetData sheetId="27"/>
      <sheetData sheetId="28"/>
      <sheetData sheetId="29">
        <row r="43">
          <cell r="C43">
            <v>6591</v>
          </cell>
        </row>
      </sheetData>
      <sheetData sheetId="30"/>
      <sheetData sheetId="31"/>
      <sheetData sheetId="32"/>
      <sheetData sheetId="33">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低密</v>
          </cell>
          <cell r="D100" t="str">
            <v>洋房</v>
          </cell>
          <cell r="E100" t="str">
            <v>高层</v>
          </cell>
        </row>
        <row r="105">
          <cell r="B105" t="str">
            <v>建筑结构</v>
          </cell>
          <cell r="C105" t="str">
            <v>钢混</v>
          </cell>
        </row>
        <row r="107">
          <cell r="B107" t="str">
            <v>建筑品质</v>
          </cell>
        </row>
        <row r="109">
          <cell r="B109" t="str">
            <v>公共部分装修</v>
          </cell>
          <cell r="C109" t="str">
            <v>精装</v>
          </cell>
          <cell r="D109" t="str">
            <v>普装</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v>
          </cell>
          <cell r="D122" t="str">
            <v>普装</v>
          </cell>
          <cell r="E122" t="str">
            <v>简装</v>
          </cell>
          <cell r="F122" t="str">
            <v>毛坯</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7" customWidth="1"/>
    <col min="2" max="2" width="78.25" style="2188" customWidth="1"/>
    <col min="3" max="18" width="9" style="2181"/>
    <col min="19" max="19" width="17.875" style="2181" customWidth="1"/>
    <col min="20" max="51" width="9" style="2181"/>
    <col min="52" max="52" width="13.25" style="2181" customWidth="1"/>
    <col min="53" max="53" width="13.5" style="2181" bestFit="1" customWidth="1"/>
    <col min="54" max="54" width="11.625" style="2181" bestFit="1" customWidth="1"/>
    <col min="55" max="55" width="13.5" style="2181" bestFit="1" customWidth="1"/>
    <col min="56" max="16384" width="9" style="2181"/>
  </cols>
  <sheetData>
    <row r="1" spans="1:55" s="2193" customFormat="1" ht="16.5" thickBot="1">
      <c r="A1" s="2191" t="s">
        <v>1938</v>
      </c>
      <c r="B1" s="2192" t="s">
        <v>2035</v>
      </c>
    </row>
    <row r="2" spans="1:55" s="2196" customFormat="1" ht="15" thickTop="1">
      <c r="A2" s="2194" t="s">
        <v>1942</v>
      </c>
      <c r="B2" s="2195" t="str">
        <f>'预评函-封皮'!B37</f>
        <v>江苏省连云港海州区锦屏山东南侧4号地出让国有建设用地使用权抵押价格预评估</v>
      </c>
      <c r="AX2" s="2197"/>
      <c r="AZ2" s="2197"/>
      <c r="BA2" s="2198"/>
      <c r="BC2" s="2198"/>
    </row>
    <row r="3" spans="1:55">
      <c r="A3" s="2182" t="s">
        <v>1943</v>
      </c>
      <c r="B3" s="2183">
        <f>'预评函-封皮'!B40</f>
        <v>0</v>
      </c>
    </row>
    <row r="4" spans="1:55" s="2184" customFormat="1">
      <c r="A4" s="2182" t="s">
        <v>1944</v>
      </c>
      <c r="B4" s="2183" t="str">
        <f>'预评函-封皮'!B46</f>
        <v>王鹏、郑燚</v>
      </c>
      <c r="N4" s="2184" t="str">
        <f>'预评函-1'!A28</f>
        <v/>
      </c>
    </row>
    <row r="5" spans="1:55" s="2193" customFormat="1" ht="15" thickBot="1">
      <c r="A5" s="2199" t="s">
        <v>1945</v>
      </c>
      <c r="B5" s="2200" t="str">
        <f>'预评函-封皮'!B49</f>
        <v>康正预评字号</v>
      </c>
    </row>
    <row r="6" spans="1:55" s="2201" customFormat="1" ht="15" thickTop="1">
      <c r="A6" s="2194" t="s">
        <v>1987</v>
      </c>
      <c r="B6" s="2195" t="str">
        <f>'预评函-1'!A4</f>
        <v>受贵公司委托，我公司对江苏省连云港海州区锦屏山东南侧4号地出让国有建设用地使用权抵押价格进行了预评估。</v>
      </c>
      <c r="AM6" s="2202"/>
    </row>
    <row r="7" spans="1:55">
      <c r="A7" s="2182" t="s">
        <v>1939</v>
      </c>
      <c r="B7" s="2183" t="str">
        <f>'预评函-1'!A6</f>
        <v>估价对象为使用的、位于江苏省连云港海州区锦屏山东南侧4号地出让国有建设用地使用权。根据《国有土地使用证》[]，估价对象（分摊）出让国有建设用地使用权面积为86493.04平方米。根据《建设工程规划许可证》[]、《出让合同》[]，估价对象规划建筑面积为302725.5平方米。</v>
      </c>
    </row>
    <row r="8" spans="1:55">
      <c r="A8" s="2182" t="s">
        <v>1940</v>
      </c>
      <c r="B8" s="218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2" t="s">
        <v>1990</v>
      </c>
      <c r="B9" s="2183" t="str">
        <f>'预评函-1'!A9</f>
        <v>拟使用江苏省连云港海州区锦屏山东南侧4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2" t="s">
        <v>1941</v>
      </c>
      <c r="B10" s="2183" t="str">
        <f>'预评函-1'!A11</f>
        <v>2023年5月11日（评估专业人员勘察现场之日）</v>
      </c>
    </row>
    <row r="11" spans="1:55">
      <c r="A11" s="2182" t="s">
        <v>1947</v>
      </c>
      <c r="B11" s="2183" t="str">
        <f>'预评函-1'!A14</f>
        <v>根据《国有土地使用证》[]，本次评估估价对象证载（地类）用途为。</v>
      </c>
    </row>
    <row r="12" spans="1:55">
      <c r="A12" s="2182" t="s">
        <v>1948</v>
      </c>
      <c r="B12" s="2183" t="str">
        <f>'预评函-1'!A15</f>
        <v>本次评估设定用途即为证载用途。</v>
      </c>
    </row>
    <row r="13" spans="1:55">
      <c r="A13" s="2182" t="s">
        <v>1949</v>
      </c>
      <c r="B13" s="2183" t="str">
        <f>'预评函-1'!A17</f>
        <v>根据委托估价方介绍及评估专业人员现场勘查，本次评估估价对象实际土地开发程度为红线外市政基础设施达“七通”（即、、、、、、）、宗地红线内场地平整。</v>
      </c>
    </row>
    <row r="14" spans="1:55">
      <c r="A14" s="2182" t="s">
        <v>1950</v>
      </c>
      <c r="B14" s="2183" t="str">
        <f>'预评函-1'!A18</f>
        <v>。本次评估设定土地开发程度为红线外市政基础设施达“七通”、宗地红线内场地平整。</v>
      </c>
    </row>
    <row r="15" spans="1:55">
      <c r="A15" s="2182" t="s">
        <v>1946</v>
      </c>
      <c r="B15" s="2183" t="str">
        <f>'预评函-1'!A20</f>
        <v>根据《国有土地使用证》[]，估价对象（分摊）出让国有建设用地使用权面积为86493.04平方米。根据《建设工程规划许可证》[]、《出让合同》[]，估价对象规划建筑面积为302725.5平方米。</v>
      </c>
    </row>
    <row r="16" spans="1:55">
      <c r="A16" s="2182" t="s">
        <v>1951</v>
      </c>
      <c r="B16" s="218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12月2日。截至估价期日，出让国有建设用地使用权剩余土地使用年限为。</v>
      </c>
    </row>
    <row r="17" spans="1:48">
      <c r="A17" s="2182" t="s">
        <v>1952</v>
      </c>
      <c r="B17" s="2183" t="str">
        <f>'预评函-1'!A23</f>
        <v>本次评估设定估价对象剩余土地使用年限为。</v>
      </c>
    </row>
    <row r="18" spans="1:48">
      <c r="A18" s="2182" t="s">
        <v>1953</v>
      </c>
      <c r="B18" s="2183" t="str">
        <f>'预评函-1'!A25</f>
        <v>本次估价的“出让国有建设用地使用权价格”是指在估价对象土地所有权为国家所有，使用权性质为出让，在公开市场条件下、于估价期日2023年5月11日，在规划利用条件下、设定土地开发程度为红线外“七通”、宗地内场地，设定用途为，剩余土地使用年限为的出让国有建设用地使用权价格。</v>
      </c>
    </row>
    <row r="19" spans="1:48">
      <c r="A19" s="2182" t="s">
        <v>1954</v>
      </c>
      <c r="B19" s="2183" t="str">
        <f>'预评函-1'!A26</f>
        <v>本次估价的“抵押价格”是指估价对象在估价期日的“出让国有建设用地使用权价格”扣减估价师于估价期日所知悉的法定优先受偿款后的余额。</v>
      </c>
    </row>
    <row r="20" spans="1:48">
      <c r="A20" s="2182" t="s">
        <v>1955</v>
      </c>
      <c r="B20" s="218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3" customFormat="1" ht="15" thickBot="1">
      <c r="A21" s="2199" t="s">
        <v>1956</v>
      </c>
      <c r="B21" s="2200" t="str">
        <f>'预评函-1'!A28</f>
        <v/>
      </c>
    </row>
    <row r="22" spans="1:48" ht="15" thickTop="1">
      <c r="A22" s="2189" t="s">
        <v>1957</v>
      </c>
      <c r="B22" s="21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2" t="s">
        <v>1958</v>
      </c>
      <c r="B23" s="2183" t="str">
        <f>'预评函-2'!K2</f>
        <v>估价期日：2023年5月11日</v>
      </c>
    </row>
    <row r="24" spans="1:48">
      <c r="A24" s="2182" t="s">
        <v>1959</v>
      </c>
      <c r="B24" s="2183" t="str">
        <f>'预评函-2'!R2</f>
        <v>估价期日的国有建设用地使用权性质：出让</v>
      </c>
    </row>
    <row r="25" spans="1:48">
      <c r="A25" s="2182" t="s">
        <v>2015</v>
      </c>
      <c r="B25" s="2183" t="str">
        <f>'预评函-2'!A3</f>
        <v>估价期日土地使用者</v>
      </c>
    </row>
    <row r="26" spans="1:48">
      <c r="A26" s="2182" t="s">
        <v>1991</v>
      </c>
      <c r="B26" s="2183" t="str">
        <f>'预评函-2'!A5</f>
        <v>中信开发</v>
      </c>
    </row>
    <row r="27" spans="1:48">
      <c r="A27" s="2182" t="s">
        <v>2016</v>
      </c>
      <c r="B27" s="2183" t="str">
        <f>'预评函-2'!B3</f>
        <v>宗地编号/不动产单元号</v>
      </c>
    </row>
    <row r="28" spans="1:48">
      <c r="A28" s="2182" t="s">
        <v>1992</v>
      </c>
      <c r="B28" s="2183" t="str">
        <f>'预评函-2'!B5</f>
        <v>11111111111</v>
      </c>
    </row>
    <row r="29" spans="1:48">
      <c r="A29" s="2182" t="s">
        <v>2018</v>
      </c>
      <c r="B29" s="2183">
        <f>'预评函-2'!C5</f>
        <v>22</v>
      </c>
    </row>
    <row r="30" spans="1:48">
      <c r="A30" s="2182" t="s">
        <v>2019</v>
      </c>
      <c r="B30" s="2183" t="str">
        <f>'预评函-2'!D3</f>
        <v>土地使用证编号/不动产权证书编号</v>
      </c>
    </row>
    <row r="31" spans="1:48">
      <c r="A31" s="2182" t="s">
        <v>1993</v>
      </c>
      <c r="B31" s="2183" t="str">
        <f>'预评函-2'!D5</f>
        <v>京国土字第111号</v>
      </c>
    </row>
    <row r="32" spans="1:48">
      <c r="A32" s="2182" t="s">
        <v>1994</v>
      </c>
      <c r="B32" s="2183">
        <f>'预评函-2'!E5</f>
        <v>0</v>
      </c>
      <c r="AV32" s="2185"/>
    </row>
    <row r="33" spans="1:2">
      <c r="A33" s="2182" t="s">
        <v>1995</v>
      </c>
      <c r="B33" s="2183">
        <f>'预评函-2'!F5</f>
        <v>258</v>
      </c>
    </row>
    <row r="34" spans="1:2">
      <c r="A34" s="2182" t="s">
        <v>1996</v>
      </c>
      <c r="B34" s="2183">
        <f>'预评函-2'!G5</f>
        <v>0</v>
      </c>
    </row>
    <row r="35" spans="1:2">
      <c r="A35" s="2182" t="s">
        <v>1997</v>
      </c>
      <c r="B35" s="2183">
        <f>'预评函-2'!H5</f>
        <v>1.5</v>
      </c>
    </row>
    <row r="36" spans="1:2">
      <c r="A36" s="2182" t="s">
        <v>1998</v>
      </c>
      <c r="B36" s="2183">
        <f>'预评函-2'!I5</f>
        <v>1.5</v>
      </c>
    </row>
    <row r="37" spans="1:2">
      <c r="A37" s="2182" t="s">
        <v>1999</v>
      </c>
      <c r="B37" s="2183">
        <f>'预评函-2'!J5</f>
        <v>1.5</v>
      </c>
    </row>
    <row r="38" spans="1:2">
      <c r="A38" s="2182" t="s">
        <v>2000</v>
      </c>
      <c r="B38" s="2183" t="str">
        <f>'预评函-2'!K5</f>
        <v>红线外七通、宗地红线内</v>
      </c>
    </row>
    <row r="39" spans="1:2">
      <c r="A39" s="2182" t="s">
        <v>2001</v>
      </c>
      <c r="B39" s="2183" t="str">
        <f>'预评函-2'!L5</f>
        <v>红线外七通、宗地红线内场地</v>
      </c>
    </row>
    <row r="40" spans="1:2">
      <c r="A40" s="2182" t="s">
        <v>2020</v>
      </c>
      <c r="B40" s="2183" t="str">
        <f>'预评函-2'!M3</f>
        <v>（剩余）土地使用年限/年</v>
      </c>
    </row>
    <row r="41" spans="1:2">
      <c r="A41" s="2182" t="s">
        <v>2002</v>
      </c>
      <c r="B41" s="2183">
        <f>'预评函-2'!M5</f>
        <v>0</v>
      </c>
    </row>
    <row r="42" spans="1:2">
      <c r="A42" s="2182" t="s">
        <v>2021</v>
      </c>
      <c r="B42" s="2183" t="str">
        <f>'预评函-2'!N3</f>
        <v>（分摊）出让国有建设用地使用权面积/㎡</v>
      </c>
    </row>
    <row r="43" spans="1:2">
      <c r="A43" s="2182" t="s">
        <v>2003</v>
      </c>
      <c r="B43" s="2183">
        <f>'预评函-2'!N5</f>
        <v>86493.04</v>
      </c>
    </row>
    <row r="44" spans="1:2">
      <c r="A44" s="2182" t="s">
        <v>2022</v>
      </c>
      <c r="B44" s="2183" t="str">
        <f>'预评函-2'!O3</f>
        <v>规划建筑面积/㎡</v>
      </c>
    </row>
    <row r="45" spans="1:2">
      <c r="A45" s="2182" t="s">
        <v>2004</v>
      </c>
      <c r="B45" s="2183">
        <f>'预评函-2'!O5</f>
        <v>302725.5</v>
      </c>
    </row>
    <row r="46" spans="1:2">
      <c r="A46" s="2182" t="s">
        <v>2005</v>
      </c>
      <c r="B46" s="2183">
        <f ca="1">'预评函-2'!P5</f>
        <v>5560</v>
      </c>
    </row>
    <row r="47" spans="1:2">
      <c r="A47" s="2182" t="s">
        <v>2006</v>
      </c>
      <c r="B47" s="2183">
        <f ca="1">'预评函-2'!Q5</f>
        <v>1589</v>
      </c>
    </row>
    <row r="48" spans="1:2">
      <c r="A48" s="2182" t="s">
        <v>2007</v>
      </c>
      <c r="B48" s="2183">
        <f ca="1">'预评函-2'!R5</f>
        <v>48091</v>
      </c>
    </row>
    <row r="49" spans="1:2">
      <c r="A49" s="2182" t="s">
        <v>2023</v>
      </c>
      <c r="B49" s="2183" t="str">
        <f>'预评函-2'!A6</f>
        <v>抵押价格</v>
      </c>
    </row>
    <row r="50" spans="1:2">
      <c r="A50" s="2182" t="s">
        <v>2008</v>
      </c>
      <c r="B50" s="2183">
        <f ca="1">'预评函-2'!R6</f>
        <v>48091</v>
      </c>
    </row>
    <row r="51" spans="1:2">
      <c r="A51" s="2182" t="s">
        <v>2024</v>
      </c>
      <c r="B51" s="2183" t="str">
        <f>'预评函-2'!A7</f>
        <v>——</v>
      </c>
    </row>
    <row r="52" spans="1:2">
      <c r="A52" s="2182" t="s">
        <v>2009</v>
      </c>
      <c r="B52" s="2183" t="str">
        <f>'预评函-2'!R7</f>
        <v>——</v>
      </c>
    </row>
    <row r="53" spans="1:2">
      <c r="A53" s="2182" t="s">
        <v>2025</v>
      </c>
      <c r="B53" s="2183" t="str">
        <f>'预评函-2'!A8</f>
        <v>——</v>
      </c>
    </row>
    <row r="54" spans="1:2" s="2193" customFormat="1" ht="15" thickBot="1">
      <c r="A54" s="2199" t="s">
        <v>2010</v>
      </c>
      <c r="B54" s="2200" t="str">
        <f>'预评函-2'!R8</f>
        <v>——</v>
      </c>
    </row>
    <row r="55" spans="1:2" ht="15" thickTop="1">
      <c r="A55" s="2189" t="s">
        <v>1960</v>
      </c>
      <c r="B55" s="2190" t="str">
        <f>'预评函-3'!A2</f>
        <v>1.权利限制：根据估价对象《不动产权证书》原件、《国有土地使用权》复印件，截至估价期日，估价对象抵押权未见登记。未设定租赁等其他他项权利。</v>
      </c>
    </row>
    <row r="56" spans="1:2">
      <c r="A56" s="2182" t="s">
        <v>1961</v>
      </c>
      <c r="B56" s="2183" t="str">
        <f>'预评函-3'!A3</f>
        <v>2.基础设施条件：估价对象实际开发程度为红线外七通、宗地红线内；本次评估设定开发程度为红线外七通、宗地红线内场地。</v>
      </c>
    </row>
    <row r="57" spans="1:2">
      <c r="A57" s="2182" t="s">
        <v>1962</v>
      </c>
      <c r="B57" s="2183" t="str">
        <f>'预评函-3'!A4</f>
        <v>3.估价规划限制条件：详见《建设工程规划许可证》[]、《出让合同》[]。</v>
      </c>
    </row>
    <row r="58" spans="1:2" s="2193" customFormat="1" ht="15" thickBot="1">
      <c r="A58" s="2199" t="s">
        <v>2011</v>
      </c>
      <c r="B58" s="2200" t="str">
        <f>'预评函-3'!A5</f>
        <v>4.影响价格的其他限定条件：无。</v>
      </c>
    </row>
    <row r="59" spans="1:2" ht="15" thickTop="1">
      <c r="A59" s="2189" t="s">
        <v>1963</v>
      </c>
      <c r="B59" s="2190" t="str">
        <f>'预评函-3'!A8</f>
        <v>2.本《评估意见函》仅供金融机构进行内部审核使用，不做其他目的之用。</v>
      </c>
    </row>
    <row r="60" spans="1:2">
      <c r="A60" s="2182" t="s">
        <v>1964</v>
      </c>
      <c r="B60" s="2183" t="str">
        <f>'预评函-3'!A9</f>
        <v>3.抵押双方在办理抵押登记手续时，应使用本公司出具的正式《土地估价报告》，特提请报告使用者注意。</v>
      </c>
    </row>
    <row r="61" spans="1:2">
      <c r="A61" s="2182" t="s">
        <v>1966</v>
      </c>
      <c r="B61" s="2183" t="str">
        <f>'预评函-3'!A10</f>
        <v>4.估价师所知悉的法定优先受偿款情况为：</v>
      </c>
    </row>
    <row r="62" spans="1:2">
      <c r="A62" s="2182" t="s">
        <v>1965</v>
      </c>
      <c r="B62" s="218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2" t="s">
        <v>1967</v>
      </c>
      <c r="B63" s="21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2" t="s">
        <v>1968</v>
      </c>
      <c r="B64" s="2186" t="str">
        <f>'预评函-3'!A13</f>
        <v>（3）。</v>
      </c>
    </row>
    <row r="65" spans="1:2">
      <c r="A65" s="2182" t="s">
        <v>1969</v>
      </c>
      <c r="B65" s="2183" t="str">
        <f>'预评函-3'!A14</f>
        <v>综上，本次评估不存在估价师知悉的法定优先受偿款</v>
      </c>
    </row>
    <row r="66" spans="1:2">
      <c r="A66" s="2182" t="s">
        <v>1970</v>
      </c>
      <c r="B66" s="21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2" t="s">
        <v>1971</v>
      </c>
      <c r="B67" s="21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3" customFormat="1" ht="15" thickBot="1">
      <c r="A68" s="2199" t="s">
        <v>1974</v>
      </c>
      <c r="B68" s="2203">
        <f>'预评函-3'!D30</f>
        <v>42558</v>
      </c>
    </row>
    <row r="69" spans="1:2" ht="15" thickTop="1">
      <c r="A69" s="2189" t="s">
        <v>1972</v>
      </c>
      <c r="B69" s="2190" t="str">
        <f>'预评函-3'!A20</f>
        <v>王鹏</v>
      </c>
    </row>
    <row r="70" spans="1:2">
      <c r="A70" s="2182" t="s">
        <v>1972</v>
      </c>
      <c r="B70" s="2183">
        <f ca="1">'预评函-3'!B20</f>
        <v>2002110030</v>
      </c>
    </row>
    <row r="71" spans="1:2">
      <c r="A71" s="2182" t="s">
        <v>1973</v>
      </c>
      <c r="B71" s="2183" t="str">
        <f>'预评函-3'!A21</f>
        <v>郑燚</v>
      </c>
    </row>
    <row r="72" spans="1:2" s="2193" customFormat="1" ht="15" thickBot="1">
      <c r="A72" s="2199" t="s">
        <v>1973</v>
      </c>
      <c r="B72" s="2200">
        <f ca="1">'预评函-3'!B21</f>
        <v>2014110011</v>
      </c>
    </row>
    <row r="73" spans="1:2" ht="15" thickTop="1">
      <c r="A73" s="2189" t="s">
        <v>2032</v>
      </c>
      <c r="B73" s="219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2" t="s">
        <v>2033</v>
      </c>
      <c r="B74" s="2183" t="str">
        <f>'预评函-1 (储备)'!A18</f>
        <v>由于本次评估估价目的是评估储备国有建设用地使用权的“抵押价格”，因此本次评估设定土地开发程度为红线外市政基础设施达“七通”、宗地红线内场地平整。</v>
      </c>
    </row>
    <row r="75" spans="1:2" s="2193" customFormat="1" ht="15" thickBot="1">
      <c r="A75" s="2199" t="s">
        <v>2034</v>
      </c>
      <c r="B75" s="22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7" t="s">
        <v>2064</v>
      </c>
      <c r="B76" s="218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A48" sqref="A48"/>
    </sheetView>
  </sheetViews>
  <sheetFormatPr defaultColWidth="15.25" defaultRowHeight="13.5"/>
  <cols>
    <col min="1" max="16384" width="15.25" style="2696"/>
  </cols>
  <sheetData>
    <row r="1" spans="1:6">
      <c r="A1" s="3032" t="s">
        <v>2671</v>
      </c>
      <c r="B1" s="3033"/>
      <c r="C1" s="3033"/>
      <c r="D1" s="3033"/>
      <c r="E1" s="3033"/>
      <c r="F1" s="3034"/>
    </row>
    <row r="2" spans="1:6">
      <c r="A2" s="3035"/>
      <c r="B2" s="3036"/>
      <c r="C2" s="3036"/>
      <c r="D2" s="3036"/>
      <c r="E2" s="3036"/>
      <c r="F2" s="3037"/>
    </row>
    <row r="3" spans="1:6">
      <c r="A3" s="2989" t="s">
        <v>2672</v>
      </c>
      <c r="B3" s="3038">
        <f>项目基本情况!D3</f>
        <v>45057</v>
      </c>
      <c r="C3" s="3039"/>
      <c r="D3" s="3039"/>
      <c r="E3" s="3039"/>
      <c r="F3" s="3037"/>
    </row>
    <row r="4" spans="1:6">
      <c r="A4" s="2989" t="s">
        <v>2673</v>
      </c>
      <c r="B4" s="3040" t="s">
        <v>2674</v>
      </c>
      <c r="C4" s="3040" t="s">
        <v>2675</v>
      </c>
      <c r="D4" s="3040" t="s">
        <v>2676</v>
      </c>
      <c r="E4" s="3040" t="s">
        <v>2677</v>
      </c>
      <c r="F4" s="3037"/>
    </row>
    <row r="5" spans="1:6">
      <c r="A5" s="3041"/>
      <c r="B5" s="3038"/>
      <c r="C5" s="3040">
        <f>ROUNDDOWN(MIN((B5-B3)/365,A5),2)</f>
        <v>-123.44</v>
      </c>
      <c r="D5" s="3042">
        <f>IF(ISERROR(ROUND(POWER(1+E5,A5-C5)*(POWER(1+E5,C5)-1)/(POWER(1+E5,A5)-1),3)),0,ROUND(POWER(1+E5,A5-C5)*(POWER(1+E5,C5)-1)/(POWER(1+E5,A5)-1),4))</f>
        <v>0</v>
      </c>
      <c r="E5" s="3043"/>
      <c r="F5" s="3037"/>
    </row>
    <row r="6" spans="1:6">
      <c r="A6" s="3041"/>
      <c r="B6" s="3038"/>
      <c r="C6" s="3040">
        <f>ROUNDDOWN(MIN((B6-B3)/365,A6),2)</f>
        <v>-123.44</v>
      </c>
      <c r="D6" s="3042">
        <f>IF(ISERROR(ROUND(POWER(1+E6,A6-C6)*(POWER(1+E6,C6)-1)/(POWER(1+E6,A6)-1),3)),0,ROUND(POWER(1+E6,A6-C6)*(POWER(1+E6,C6)-1)/(POWER(1+E6,A6)-1),4))</f>
        <v>0</v>
      </c>
      <c r="E6" s="3043"/>
      <c r="F6" s="3037"/>
    </row>
    <row r="7" spans="1:6">
      <c r="A7" s="3041"/>
      <c r="B7" s="3038"/>
      <c r="C7" s="3040">
        <f>ROUNDDOWN(MIN((B7-B3)/365,A7),2)</f>
        <v>-123.44</v>
      </c>
      <c r="D7" s="3042">
        <f>IF(ISERROR(ROUND(POWER(1+E7,A7-C7)*(POWER(1+E7,C7)-1)/(POWER(1+E7,A7)-1),3)),0,ROUND(POWER(1+E7,A7-C7)*(POWER(1+E7,C7)-1)/(POWER(1+E7,A7)-1),4))</f>
        <v>0</v>
      </c>
      <c r="E7" s="3043"/>
      <c r="F7" s="3037"/>
    </row>
    <row r="8" spans="1:6">
      <c r="A8" s="3035"/>
      <c r="B8" s="3036"/>
      <c r="C8" s="3036"/>
      <c r="D8" s="3036"/>
      <c r="E8" s="3036"/>
      <c r="F8" s="3037"/>
    </row>
    <row r="9" spans="1:6">
      <c r="A9" s="2989" t="s">
        <v>2678</v>
      </c>
      <c r="B9" s="3040"/>
      <c r="C9" s="3040"/>
      <c r="D9" s="3040"/>
      <c r="E9" s="3040"/>
      <c r="F9" s="3044"/>
    </row>
    <row r="10" spans="1:6">
      <c r="A10" s="2989" t="s">
        <v>2679</v>
      </c>
      <c r="B10" s="3040"/>
      <c r="C10" s="3040"/>
      <c r="D10" s="3040" t="s">
        <v>2677</v>
      </c>
      <c r="E10" s="3040"/>
      <c r="F10" s="3044" t="s">
        <v>2676</v>
      </c>
    </row>
    <row r="11" spans="1:6">
      <c r="A11" s="2989" t="s">
        <v>2680</v>
      </c>
      <c r="B11" s="3045"/>
      <c r="C11" s="3040" t="s">
        <v>2681</v>
      </c>
      <c r="D11" s="3045"/>
      <c r="E11" s="3040" t="s">
        <v>2682</v>
      </c>
      <c r="F11" s="3046">
        <f>ROUND(1-(1/(POWER(1+D11,B11))),4)</f>
        <v>0</v>
      </c>
    </row>
    <row r="12" spans="1:6">
      <c r="A12" s="2989" t="s">
        <v>2683</v>
      </c>
      <c r="B12" s="3045"/>
      <c r="C12" s="3040" t="s">
        <v>2684</v>
      </c>
      <c r="D12" s="3045"/>
      <c r="E12" s="3040" t="s">
        <v>2685</v>
      </c>
      <c r="F12" s="3046">
        <f>ROUND(1-(1/(POWER(1+D12,B12))),4)</f>
        <v>0</v>
      </c>
    </row>
    <row r="13" spans="1:6">
      <c r="A13" s="2989" t="s">
        <v>2686</v>
      </c>
      <c r="B13" s="3040"/>
      <c r="C13" s="3039"/>
      <c r="D13" s="3036"/>
      <c r="E13" s="3036"/>
      <c r="F13" s="3037"/>
    </row>
    <row r="14" spans="1:6">
      <c r="A14" s="2989" t="s">
        <v>2687</v>
      </c>
      <c r="B14" s="3045"/>
      <c r="C14" s="3039"/>
      <c r="D14" s="3036"/>
      <c r="E14" s="3036"/>
      <c r="F14" s="3037"/>
    </row>
    <row r="15" spans="1:6">
      <c r="A15" s="2989" t="s">
        <v>2688</v>
      </c>
      <c r="B15" s="3040" t="e">
        <f>ROUND(B14*F12/F11,2)</f>
        <v>#DIV/0!</v>
      </c>
      <c r="C15" s="3040" t="e">
        <f>ROUND(F12/F11,4)</f>
        <v>#DIV/0!</v>
      </c>
      <c r="D15" s="3036"/>
      <c r="E15" s="3036"/>
      <c r="F15" s="3037"/>
    </row>
    <row r="16" spans="1:6">
      <c r="A16" s="2989" t="s">
        <v>2689</v>
      </c>
      <c r="B16" s="3040"/>
      <c r="C16" s="3039"/>
      <c r="D16" s="3036"/>
      <c r="E16" s="3036"/>
      <c r="F16" s="3037"/>
    </row>
    <row r="17" spans="1:7">
      <c r="A17" s="2989" t="s">
        <v>2688</v>
      </c>
      <c r="B17" s="3045"/>
      <c r="C17" s="3039"/>
      <c r="D17" s="3036"/>
      <c r="E17" s="3036"/>
      <c r="F17" s="3037"/>
    </row>
    <row r="18" spans="1:7" ht="14.25" thickBot="1">
      <c r="A18" s="3047" t="s">
        <v>2687</v>
      </c>
      <c r="B18" s="3048" t="e">
        <f>ROUND(B17*F11/F12,2)</f>
        <v>#DIV/0!</v>
      </c>
      <c r="C18" s="3048" t="e">
        <f>ROUND(F11/F12,4)</f>
        <v>#DIV/0!</v>
      </c>
      <c r="D18" s="3049"/>
      <c r="E18" s="3049"/>
      <c r="F18" s="3050"/>
    </row>
    <row r="19" spans="1:7" ht="14.25" thickBot="1"/>
    <row r="20" spans="1:7">
      <c r="A20" s="3051" t="s">
        <v>2690</v>
      </c>
      <c r="B20" s="3052"/>
      <c r="C20" s="3052"/>
      <c r="D20" s="3052"/>
      <c r="E20" s="3052"/>
      <c r="F20" s="3052"/>
      <c r="G20" s="3053"/>
    </row>
    <row r="21" spans="1:7">
      <c r="A21" s="3054"/>
      <c r="B21" s="3055" t="s">
        <v>2691</v>
      </c>
      <c r="C21" s="3055" t="s">
        <v>2692</v>
      </c>
      <c r="D21" s="3055" t="s">
        <v>2693</v>
      </c>
      <c r="E21" s="3055" t="s">
        <v>2694</v>
      </c>
      <c r="F21" s="3055" t="s">
        <v>2695</v>
      </c>
      <c r="G21" s="3056" t="s">
        <v>2696</v>
      </c>
    </row>
    <row r="22" spans="1:7">
      <c r="A22" s="3054" t="s">
        <v>2697</v>
      </c>
      <c r="B22" s="3057">
        <v>50</v>
      </c>
      <c r="C22" s="3057">
        <v>32</v>
      </c>
      <c r="D22" s="3058">
        <v>0.05</v>
      </c>
      <c r="E22" s="3055">
        <f>ROUND(POWER(1+D22,B22-C22)*(POWER(1+D22,C22)-1)/(POWER(1+D22,B22)-1),3)</f>
        <v>0.86599999999999999</v>
      </c>
      <c r="F22" s="3058">
        <v>0.6</v>
      </c>
      <c r="G22" s="3056">
        <f>ROUND(100*(1-(1-E22)*F22),1)</f>
        <v>92</v>
      </c>
    </row>
    <row r="23" spans="1:7">
      <c r="A23" s="3059" t="s">
        <v>2698</v>
      </c>
      <c r="B23" s="3057">
        <v>50</v>
      </c>
      <c r="C23" s="3057">
        <v>35</v>
      </c>
      <c r="D23" s="3058">
        <v>0.05</v>
      </c>
      <c r="E23" s="3055">
        <f>ROUND(POWER(1+D23,B23-C23)*(POWER(1+D23,C23)-1)/(POWER(1+D23,B23)-1),3)</f>
        <v>0.89700000000000002</v>
      </c>
      <c r="F23" s="3058">
        <f>F22</f>
        <v>0.6</v>
      </c>
      <c r="G23" s="3056">
        <f>ROUND(100*(1-(1-E23)*F23),1)</f>
        <v>93.8</v>
      </c>
    </row>
    <row r="24" spans="1:7">
      <c r="A24" s="3059" t="s">
        <v>2699</v>
      </c>
      <c r="B24" s="3057">
        <v>50</v>
      </c>
      <c r="C24" s="3057">
        <v>25</v>
      </c>
      <c r="D24" s="3058">
        <v>0.05</v>
      </c>
      <c r="E24" s="3055">
        <f>ROUND(POWER(1+D24,B24-C24)*(POWER(1+D24,C24)-1)/(POWER(1+D24,B24)-1),3)</f>
        <v>0.77200000000000002</v>
      </c>
      <c r="F24" s="3058">
        <f>F23</f>
        <v>0.6</v>
      </c>
      <c r="G24" s="3056">
        <f>ROUND(100*(1-(1-E24)*F24),1)</f>
        <v>86.3</v>
      </c>
    </row>
    <row r="25" spans="1:7">
      <c r="A25" s="3059" t="s">
        <v>2700</v>
      </c>
      <c r="B25" s="3057">
        <v>50</v>
      </c>
      <c r="C25" s="3057">
        <v>40</v>
      </c>
      <c r="D25" s="3058">
        <v>0.05</v>
      </c>
      <c r="E25" s="3055">
        <f>ROUND(POWER(1+D25,B25-C25)*(POWER(1+D25,C25)-1)/(POWER(1+D25,B25)-1),3)</f>
        <v>0.94</v>
      </c>
      <c r="F25" s="3058">
        <f>F24</f>
        <v>0.6</v>
      </c>
      <c r="G25" s="3056">
        <f>ROUND(100*(1-(1-E25)*F25),1)</f>
        <v>96.4</v>
      </c>
    </row>
    <row r="26" spans="1:7">
      <c r="A26" s="3060"/>
      <c r="B26" s="3061"/>
      <c r="C26" s="3061"/>
      <c r="D26" s="3061"/>
      <c r="E26" s="3061"/>
      <c r="F26" s="3061"/>
      <c r="G26" s="3062"/>
    </row>
    <row r="27" spans="1:7">
      <c r="A27" s="3063" t="s">
        <v>2701</v>
      </c>
      <c r="B27" s="3064"/>
      <c r="C27" s="3064"/>
      <c r="D27" s="3064"/>
      <c r="E27" s="3064"/>
      <c r="F27" s="3064"/>
      <c r="G27" s="3065"/>
    </row>
    <row r="28" spans="1:7">
      <c r="A28" s="3063" t="s">
        <v>2702</v>
      </c>
      <c r="B28" s="3064"/>
      <c r="C28" s="3064"/>
      <c r="D28" s="3064"/>
      <c r="E28" s="3064"/>
      <c r="F28" s="3064"/>
      <c r="G28" s="3065"/>
    </row>
    <row r="29" spans="1:7">
      <c r="A29" s="3063" t="s">
        <v>2703</v>
      </c>
      <c r="B29" s="3064"/>
      <c r="C29" s="3064"/>
      <c r="D29" s="3064"/>
      <c r="E29" s="3064"/>
      <c r="F29" s="3064"/>
      <c r="G29" s="3065"/>
    </row>
    <row r="30" spans="1:7">
      <c r="A30" s="3063" t="s">
        <v>2704</v>
      </c>
      <c r="B30" s="3064"/>
      <c r="C30" s="3064"/>
      <c r="D30" s="3064"/>
      <c r="E30" s="3064"/>
      <c r="F30" s="3064"/>
      <c r="G30" s="3065"/>
    </row>
    <row r="31" spans="1:7">
      <c r="A31" s="3063" t="s">
        <v>2705</v>
      </c>
      <c r="B31" s="3064"/>
      <c r="C31" s="3064"/>
      <c r="D31" s="3064"/>
      <c r="E31" s="3064"/>
      <c r="F31" s="3064"/>
      <c r="G31" s="3065"/>
    </row>
    <row r="32" spans="1:7">
      <c r="A32" s="3063" t="s">
        <v>2706</v>
      </c>
      <c r="B32" s="3064"/>
      <c r="C32" s="3064"/>
      <c r="D32" s="3064"/>
      <c r="E32" s="3064"/>
      <c r="F32" s="3064"/>
      <c r="G32" s="3065"/>
    </row>
    <row r="33" spans="1:7">
      <c r="A33" s="3063" t="s">
        <v>2707</v>
      </c>
      <c r="B33" s="3064"/>
      <c r="C33" s="3064"/>
      <c r="D33" s="3064"/>
      <c r="E33" s="3064"/>
      <c r="F33" s="3064"/>
      <c r="G33" s="3065"/>
    </row>
    <row r="34" spans="1:7">
      <c r="A34" s="3063" t="s">
        <v>2708</v>
      </c>
      <c r="B34" s="3064"/>
      <c r="C34" s="3064"/>
      <c r="D34" s="3064"/>
      <c r="E34" s="3064"/>
      <c r="F34" s="3064"/>
      <c r="G34" s="3065"/>
    </row>
    <row r="35" spans="1:7">
      <c r="A35" s="3063" t="s">
        <v>2709</v>
      </c>
      <c r="B35" s="3064"/>
      <c r="C35" s="3064"/>
      <c r="D35" s="3064"/>
      <c r="E35" s="3064"/>
      <c r="F35" s="3064"/>
      <c r="G35" s="3065"/>
    </row>
    <row r="36" spans="1:7">
      <c r="A36" s="3063" t="s">
        <v>2710</v>
      </c>
      <c r="B36" s="3064"/>
      <c r="C36" s="3064"/>
      <c r="D36" s="3064"/>
      <c r="E36" s="3064"/>
      <c r="F36" s="3064"/>
      <c r="G36" s="3065"/>
    </row>
    <row r="37" spans="1:7">
      <c r="A37" s="3063" t="s">
        <v>2711</v>
      </c>
      <c r="B37" s="3064"/>
      <c r="C37" s="3064"/>
      <c r="D37" s="3064"/>
      <c r="E37" s="3064"/>
      <c r="F37" s="3064"/>
      <c r="G37" s="3065"/>
    </row>
    <row r="38" spans="1:7">
      <c r="A38" s="3063" t="s">
        <v>2712</v>
      </c>
      <c r="B38" s="3064"/>
      <c r="C38" s="3064"/>
      <c r="D38" s="3064"/>
      <c r="E38" s="3064"/>
      <c r="F38" s="3064"/>
      <c r="G38" s="3065"/>
    </row>
    <row r="39" spans="1:7">
      <c r="A39" s="3063"/>
      <c r="B39" s="3064"/>
      <c r="C39" s="3064"/>
      <c r="D39" s="3064"/>
      <c r="E39" s="3064"/>
      <c r="F39" s="3064"/>
      <c r="G39" s="3065"/>
    </row>
    <row r="40" spans="1:7">
      <c r="A40" s="3066" t="s">
        <v>2713</v>
      </c>
      <c r="B40" s="3067"/>
      <c r="C40" s="3067"/>
      <c r="D40" s="3067"/>
      <c r="E40" s="3067"/>
      <c r="F40" s="3067"/>
      <c r="G40" s="3068"/>
    </row>
    <row r="41" spans="1:7">
      <c r="A41" s="3069" t="s">
        <v>2714</v>
      </c>
      <c r="B41" s="3070" t="s">
        <v>2715</v>
      </c>
      <c r="C41" s="3071" t="s">
        <v>2716</v>
      </c>
      <c r="D41" s="3071" t="s">
        <v>2717</v>
      </c>
      <c r="E41" s="3072"/>
      <c r="F41" s="3073"/>
      <c r="G41" s="3074"/>
    </row>
    <row r="42" spans="1:7">
      <c r="A42" s="3069" t="s">
        <v>2718</v>
      </c>
      <c r="B42" s="3070" t="s">
        <v>2719</v>
      </c>
      <c r="C42" s="3071" t="s">
        <v>2719</v>
      </c>
      <c r="D42" s="3075" t="s">
        <v>2720</v>
      </c>
      <c r="E42" s="3067" t="s">
        <v>2721</v>
      </c>
      <c r="F42" s="3067"/>
      <c r="G42" s="3068"/>
    </row>
    <row r="43" spans="1:7">
      <c r="A43" s="3069" t="s">
        <v>2722</v>
      </c>
      <c r="B43" s="3070" t="s">
        <v>2723</v>
      </c>
      <c r="C43" s="3071" t="s">
        <v>2724</v>
      </c>
      <c r="D43" s="3071" t="s">
        <v>2725</v>
      </c>
      <c r="E43" s="3072" t="s">
        <v>2726</v>
      </c>
      <c r="F43" s="3073"/>
      <c r="G43" s="3074"/>
    </row>
    <row r="44" spans="1:7">
      <c r="A44" s="3069" t="s">
        <v>2727</v>
      </c>
      <c r="B44" s="3070" t="s">
        <v>2728</v>
      </c>
      <c r="C44" s="3071" t="s">
        <v>2729</v>
      </c>
      <c r="D44" s="3075">
        <v>0.5</v>
      </c>
      <c r="E44" s="3072" t="s">
        <v>2730</v>
      </c>
      <c r="F44" s="3073"/>
      <c r="G44" s="3074"/>
    </row>
    <row r="45" spans="1:7" ht="14.25" thickBot="1">
      <c r="A45" s="3076" t="s">
        <v>2731</v>
      </c>
      <c r="B45" s="3077" t="s">
        <v>2719</v>
      </c>
      <c r="C45" s="3078" t="s">
        <v>2719</v>
      </c>
      <c r="D45" s="3078" t="s">
        <v>2732</v>
      </c>
      <c r="E45" s="3079" t="s">
        <v>2733</v>
      </c>
      <c r="F45" s="3079"/>
      <c r="G45" s="3080"/>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Normal="100" zoomScaleSheetLayoutView="100" workbookViewId="0">
      <selection activeCell="B4" sqref="B4"/>
    </sheetView>
  </sheetViews>
  <sheetFormatPr defaultColWidth="10" defaultRowHeight="14.25"/>
  <cols>
    <col min="1" max="1" width="15.375" style="1401" customWidth="1"/>
    <col min="2" max="2" width="11.375" style="1401" customWidth="1"/>
    <col min="3" max="8" width="13.125" style="1401" customWidth="1"/>
    <col min="9" max="9" width="13.125" style="1402" customWidth="1"/>
    <col min="10" max="10" width="10" style="1401" customWidth="1"/>
    <col min="11" max="11" width="10" style="2600" customWidth="1"/>
    <col min="12" max="13" width="10" style="2601" customWidth="1"/>
    <col min="14" max="14" width="10" style="2586" customWidth="1"/>
    <col min="15" max="15" width="10" style="2602" customWidth="1"/>
    <col min="16" max="17" width="10" style="2586"/>
    <col min="18" max="18" width="10" style="2586" customWidth="1"/>
    <col min="19" max="28" width="10" style="2586"/>
    <col min="29" max="16384" width="10" style="1401"/>
  </cols>
  <sheetData>
    <row r="1" spans="1:21" ht="15" thickBot="1">
      <c r="A1" s="1376" t="s">
        <v>1457</v>
      </c>
      <c r="B1" s="3441" t="str">
        <f>IF(B10="北京市","北京市",C10)&amp;F10&amp;A17&amp;"国有建设用地使用权"&amp;B9&amp;"预评估"</f>
        <v>江苏省连云港海州区锦屏山东南侧4号地出让国有建设用地使用权抵押价格预评估</v>
      </c>
      <c r="C1" s="3442"/>
      <c r="D1" s="3442"/>
      <c r="E1" s="3442"/>
      <c r="F1" s="3442"/>
      <c r="G1" s="3442"/>
      <c r="H1" s="3442"/>
      <c r="I1" s="3443"/>
      <c r="J1" s="2603"/>
      <c r="K1" s="1971" t="str">
        <f>IF(B10="北京市","北京市",C10)&amp;F10&amp;A17&amp;"国有建设用地使用权"&amp;B9</f>
        <v>江苏省连云港海州区锦屏山东南侧4号地出让国有建设用地使用权抵押价格</v>
      </c>
      <c r="L1" s="2583"/>
      <c r="M1" s="2583"/>
      <c r="N1" s="2584"/>
      <c r="O1" s="2585"/>
      <c r="P1" s="2584"/>
      <c r="Q1" s="2584"/>
      <c r="R1" s="2584"/>
      <c r="S1" s="2584"/>
      <c r="T1" s="2584"/>
      <c r="U1" s="2584"/>
    </row>
    <row r="2" spans="1:21">
      <c r="A2" s="1377" t="s">
        <v>1458</v>
      </c>
      <c r="B2" s="1530"/>
      <c r="D2" s="2603"/>
      <c r="E2" s="2603"/>
      <c r="F2" s="2603"/>
      <c r="G2" s="2603"/>
      <c r="H2" s="2603"/>
      <c r="I2" s="2604"/>
      <c r="J2" s="2603"/>
      <c r="K2" s="1971" t="str">
        <f>IF(B10="北京市","北京市",C10)&amp;F10&amp;A17&amp;"国有建设用地使用权"</f>
        <v>江苏省连云港海州区锦屏山东南侧4号地出让国有建设用地使用权</v>
      </c>
      <c r="L2" s="2583"/>
      <c r="M2" s="2583"/>
      <c r="N2" s="2584"/>
      <c r="O2" s="2585"/>
      <c r="P2" s="2584"/>
      <c r="Q2" s="2584"/>
      <c r="R2" s="2584"/>
      <c r="S2" s="2584"/>
      <c r="T2" s="2584"/>
      <c r="U2" s="2584"/>
    </row>
    <row r="3" spans="1:21">
      <c r="A3" s="1378" t="s">
        <v>1459</v>
      </c>
      <c r="B3" s="1379">
        <v>45057</v>
      </c>
      <c r="C3" s="2532" t="s">
        <v>1513</v>
      </c>
      <c r="D3" s="1379">
        <f>B3</f>
        <v>45057</v>
      </c>
      <c r="E3" s="2603"/>
      <c r="F3" s="2603"/>
      <c r="G3" s="2603"/>
      <c r="H3" s="2603"/>
      <c r="I3" s="2604"/>
      <c r="J3" s="2603"/>
      <c r="K3" s="2587"/>
      <c r="L3" s="2583"/>
      <c r="M3" s="2583"/>
      <c r="N3" s="2584"/>
      <c r="O3" s="2585"/>
      <c r="P3" s="2584"/>
      <c r="Q3" s="2584"/>
      <c r="R3" s="2584"/>
      <c r="S3" s="2584"/>
      <c r="T3" s="2584"/>
      <c r="U3" s="2584"/>
    </row>
    <row r="4" spans="1:21" ht="15" thickBot="1">
      <c r="A4" s="1381" t="s">
        <v>1460</v>
      </c>
      <c r="B4" s="1531" t="s">
        <v>3390</v>
      </c>
      <c r="C4" s="1534">
        <f ca="1">SUMIF(土地估价师,B4,估价师及机构信息!E3:E17)</f>
        <v>2002110030</v>
      </c>
      <c r="D4" s="1531" t="s">
        <v>3391</v>
      </c>
      <c r="E4" s="1534">
        <f ca="1">SUMIF(土地估价师,D4,估价师及机构信息!E3:E17)</f>
        <v>2014110011</v>
      </c>
      <c r="F4" s="1531" t="s">
        <v>877</v>
      </c>
      <c r="G4" s="1534">
        <f>SUMIF(土地估价师,F4,估价师及机构信息!E3:E17)</f>
        <v>0</v>
      </c>
      <c r="H4" s="1531" t="s">
        <v>877</v>
      </c>
      <c r="I4" s="1534">
        <f>SUMIF(土地估价师,H4,估价师及机构信息!E3:E17)</f>
        <v>0</v>
      </c>
      <c r="J4" s="2603"/>
      <c r="K4" s="1971" t="str">
        <f>IF(AND(F4="——",H4="——"),B4&amp;"、"&amp;D4,IF(AND(F4&lt;&gt;"——",H4="——"),B4&amp;"、"&amp;D4&amp;"、"&amp;F4,B4&amp;"、"&amp;D4&amp;"、"&amp;F4&amp;"、"&amp;H4))</f>
        <v>王鹏、郑燚</v>
      </c>
      <c r="L4" s="2583"/>
      <c r="M4" s="2583"/>
      <c r="N4" s="2584"/>
      <c r="O4" s="2585"/>
      <c r="P4" s="2584"/>
      <c r="Q4" s="2584"/>
      <c r="R4" s="2584"/>
      <c r="S4" s="2584"/>
      <c r="T4" s="2584"/>
      <c r="U4" s="2584"/>
    </row>
    <row r="5" spans="1:21" ht="15" thickTop="1">
      <c r="A5" s="1382" t="s">
        <v>1461</v>
      </c>
      <c r="B5" s="1484"/>
      <c r="C5" s="1383"/>
      <c r="D5" s="1384"/>
      <c r="E5" s="2603"/>
      <c r="F5" s="2603"/>
      <c r="G5" s="2603"/>
      <c r="H5" s="2603"/>
      <c r="I5" s="2604"/>
      <c r="J5" s="2603"/>
      <c r="K5" s="2587"/>
      <c r="L5" s="2583"/>
      <c r="M5" s="2583"/>
      <c r="N5" s="2584"/>
      <c r="O5" s="2585"/>
      <c r="P5" s="2584"/>
      <c r="Q5" s="2584"/>
      <c r="R5" s="2584"/>
      <c r="S5" s="2584"/>
      <c r="T5" s="2584"/>
      <c r="U5" s="2584"/>
    </row>
    <row r="6" spans="1:21" ht="26.25">
      <c r="A6" s="1380" t="s">
        <v>1988</v>
      </c>
      <c r="B6" s="1484"/>
      <c r="C6" s="1461"/>
      <c r="D6" s="1385"/>
      <c r="E6" s="2603"/>
      <c r="F6" s="2603"/>
      <c r="G6" s="2603"/>
      <c r="H6" s="2603"/>
      <c r="I6" s="2604"/>
      <c r="J6" s="2603"/>
      <c r="K6" s="2588" t="str">
        <f>IF(COUNTIF(B6,"*上海银行*"),"上海银行","")</f>
        <v/>
      </c>
      <c r="L6" s="2583"/>
      <c r="M6" s="2583"/>
      <c r="N6" s="2584"/>
      <c r="O6" s="2585"/>
      <c r="P6" s="2584"/>
      <c r="Q6" s="2584"/>
      <c r="R6" s="2584"/>
      <c r="S6" s="2584"/>
      <c r="T6" s="2584"/>
      <c r="U6" s="2584"/>
    </row>
    <row r="7" spans="1:21">
      <c r="A7" s="1386" t="s">
        <v>1989</v>
      </c>
      <c r="B7" s="1484"/>
      <c r="C7" s="1461"/>
      <c r="D7" s="1385"/>
      <c r="E7" s="2603"/>
      <c r="F7" s="2603"/>
      <c r="G7" s="2603"/>
      <c r="H7" s="2603"/>
      <c r="I7" s="2604"/>
      <c r="J7" s="2603"/>
      <c r="K7" s="2587"/>
      <c r="L7" s="2583"/>
      <c r="M7" s="2583"/>
      <c r="N7" s="2584"/>
      <c r="O7" s="2585"/>
      <c r="P7" s="2584"/>
      <c r="Q7" s="2584"/>
      <c r="R7" s="2584"/>
      <c r="S7" s="2584"/>
      <c r="T7" s="2584"/>
      <c r="U7" s="2584"/>
    </row>
    <row r="8" spans="1:21">
      <c r="A8" s="2533" t="s">
        <v>1462</v>
      </c>
      <c r="B8" s="1387" t="s">
        <v>3215</v>
      </c>
      <c r="C8" s="1388"/>
      <c r="D8" s="3447" t="s">
        <v>1464</v>
      </c>
      <c r="E8" s="1532" t="s">
        <v>3392</v>
      </c>
      <c r="F8" s="1389"/>
      <c r="G8" s="2603"/>
      <c r="H8" s="2603"/>
      <c r="I8" s="2604"/>
      <c r="J8" s="2603"/>
      <c r="K8" s="2587"/>
      <c r="L8" s="2583"/>
      <c r="M8" s="2583"/>
      <c r="N8" s="2584"/>
      <c r="O8" s="2585"/>
      <c r="P8" s="2584"/>
      <c r="Q8" s="2584"/>
      <c r="R8" s="2584"/>
      <c r="S8" s="2584"/>
      <c r="T8" s="2584"/>
      <c r="U8" s="2584"/>
    </row>
    <row r="9" spans="1:21" ht="15" thickBot="1">
      <c r="A9" s="2534" t="s">
        <v>1463</v>
      </c>
      <c r="B9" s="1390" t="s">
        <v>3392</v>
      </c>
      <c r="C9" s="1391"/>
      <c r="D9" s="3448"/>
      <c r="E9" s="1390" t="s">
        <v>877</v>
      </c>
      <c r="F9" s="1447"/>
      <c r="G9" s="2606"/>
      <c r="H9" s="2606"/>
      <c r="I9" s="2607"/>
      <c r="J9" s="2603"/>
      <c r="K9" s="2587"/>
      <c r="L9" s="2583"/>
      <c r="M9" s="2583"/>
      <c r="N9" s="2584"/>
      <c r="O9" s="2585"/>
      <c r="P9" s="2584"/>
      <c r="Q9" s="2584"/>
      <c r="R9" s="2584"/>
      <c r="S9" s="2584"/>
      <c r="T9" s="2584"/>
      <c r="U9" s="2584"/>
    </row>
    <row r="10" spans="1:21" ht="15" thickTop="1">
      <c r="A10" s="2535" t="s">
        <v>1517</v>
      </c>
      <c r="B10" s="1425" t="s">
        <v>3252</v>
      </c>
      <c r="C10" s="1392" t="s">
        <v>3253</v>
      </c>
      <c r="D10" s="1384"/>
      <c r="E10" s="1393" t="s">
        <v>1466</v>
      </c>
      <c r="F10" s="1394" t="s">
        <v>3346</v>
      </c>
      <c r="G10" s="1445"/>
      <c r="H10" s="1446"/>
      <c r="I10" s="1384"/>
      <c r="J10" s="2603"/>
      <c r="K10" s="2587"/>
      <c r="L10" s="2583"/>
      <c r="M10" s="2583"/>
      <c r="N10" s="2584"/>
      <c r="O10" s="2585"/>
      <c r="P10" s="2584"/>
      <c r="Q10" s="2584"/>
      <c r="R10" s="2584"/>
      <c r="S10" s="2584"/>
      <c r="T10" s="2584"/>
      <c r="U10" s="2584"/>
    </row>
    <row r="11" spans="1:21">
      <c r="A11" s="2536" t="s">
        <v>1518</v>
      </c>
      <c r="B11" s="1406"/>
      <c r="C11" s="1395"/>
      <c r="D11" s="1462"/>
      <c r="E11" s="2584"/>
      <c r="F11" s="2584"/>
      <c r="G11" s="2584"/>
      <c r="H11" s="2584"/>
      <c r="I11" s="2584"/>
      <c r="J11" s="2603"/>
      <c r="K11" s="2587"/>
      <c r="L11" s="2583"/>
      <c r="M11" s="2583"/>
      <c r="N11" s="2584"/>
      <c r="O11" s="2585"/>
      <c r="P11" s="2584"/>
      <c r="Q11" s="2584"/>
      <c r="R11" s="2584"/>
      <c r="S11" s="2584"/>
      <c r="T11" s="2584"/>
      <c r="U11" s="2584"/>
    </row>
    <row r="12" spans="1:21">
      <c r="A12" s="1480" t="s">
        <v>1576</v>
      </c>
      <c r="B12" s="3444"/>
      <c r="C12" s="3445"/>
      <c r="D12" s="3446"/>
      <c r="E12" s="1407" t="s">
        <v>1579</v>
      </c>
      <c r="F12" s="3462" t="s">
        <v>2162</v>
      </c>
      <c r="G12" s="3463"/>
      <c r="H12" s="3463"/>
      <c r="I12" s="3464"/>
      <c r="J12" s="2603"/>
      <c r="K12" s="2587"/>
      <c r="L12" s="2583"/>
      <c r="M12" s="2583"/>
      <c r="N12" s="2584"/>
      <c r="O12" s="2585"/>
      <c r="P12" s="2584"/>
      <c r="Q12" s="2584"/>
      <c r="R12" s="2584"/>
      <c r="S12" s="2584"/>
      <c r="T12" s="2584"/>
      <c r="U12" s="2584"/>
    </row>
    <row r="13" spans="1:21">
      <c r="A13" s="1399" t="s">
        <v>1577</v>
      </c>
      <c r="B13" s="3444"/>
      <c r="C13" s="3445"/>
      <c r="D13" s="3446"/>
      <c r="E13" s="1407" t="s">
        <v>1579</v>
      </c>
      <c r="F13" s="3462" t="s">
        <v>2163</v>
      </c>
      <c r="G13" s="3463"/>
      <c r="H13" s="3463"/>
      <c r="I13" s="3464"/>
      <c r="J13" s="2603"/>
      <c r="K13" s="2587"/>
      <c r="L13" s="2583"/>
      <c r="M13" s="2583"/>
      <c r="N13" s="2584"/>
      <c r="O13" s="2585"/>
      <c r="P13" s="2584"/>
      <c r="Q13" s="2584"/>
      <c r="R13" s="2584"/>
      <c r="S13" s="2584"/>
      <c r="T13" s="2584"/>
      <c r="U13" s="2584"/>
    </row>
    <row r="14" spans="1:21">
      <c r="A14" s="1378" t="s">
        <v>1580</v>
      </c>
      <c r="B14" s="1407"/>
      <c r="C14" s="1533"/>
      <c r="D14" s="1438" t="str">
        <f>IF(C14="不一致","是否符合证载地类范围","")</f>
        <v/>
      </c>
      <c r="E14" s="1407"/>
      <c r="F14" s="1485"/>
      <c r="G14" s="1434"/>
      <c r="H14" s="1434"/>
      <c r="I14" s="1526"/>
      <c r="J14" s="2603"/>
      <c r="K14" s="2587"/>
      <c r="L14" s="2583"/>
      <c r="M14" s="2583"/>
      <c r="N14" s="2584"/>
      <c r="O14" s="2585"/>
      <c r="P14" s="2584"/>
      <c r="Q14" s="2584"/>
      <c r="R14" s="2584"/>
      <c r="S14" s="2584"/>
      <c r="T14" s="2584"/>
      <c r="U14" s="2584"/>
    </row>
    <row r="15" spans="1:21">
      <c r="A15" s="2086"/>
      <c r="B15" s="1380"/>
      <c r="C15" s="1466" t="s">
        <v>1469</v>
      </c>
      <c r="D15" s="1466" t="s">
        <v>1470</v>
      </c>
      <c r="E15" s="1466" t="s">
        <v>1179</v>
      </c>
      <c r="F15" s="1398" t="s">
        <v>1471</v>
      </c>
      <c r="G15" s="1398" t="s">
        <v>1472</v>
      </c>
      <c r="H15" s="1398" t="s">
        <v>776</v>
      </c>
      <c r="I15" s="1398" t="s">
        <v>2735</v>
      </c>
      <c r="J15" s="2603"/>
      <c r="K15" s="2587"/>
      <c r="L15" s="2583"/>
      <c r="M15" s="2583"/>
      <c r="N15" s="2584"/>
      <c r="O15" s="2585"/>
      <c r="P15" s="2584"/>
      <c r="Q15" s="2584"/>
      <c r="R15" s="2584"/>
      <c r="S15" s="2584"/>
      <c r="T15" s="2584"/>
      <c r="U15" s="2584"/>
    </row>
    <row r="16" spans="1:21" ht="28.5">
      <c r="A16" s="2537" t="s">
        <v>1467</v>
      </c>
      <c r="B16" s="1407" t="s">
        <v>1468</v>
      </c>
      <c r="C16" s="1466" t="s">
        <v>1469</v>
      </c>
      <c r="D16" s="1428" t="s">
        <v>2736</v>
      </c>
      <c r="E16" s="1428" t="s">
        <v>1212</v>
      </c>
      <c r="F16" s="1428" t="s">
        <v>2737</v>
      </c>
      <c r="G16" s="1428" t="s">
        <v>2738</v>
      </c>
      <c r="H16" s="1398" t="s">
        <v>776</v>
      </c>
      <c r="I16" s="1398" t="s">
        <v>2735</v>
      </c>
      <c r="J16" s="2603"/>
      <c r="K16" s="1398" t="str">
        <f>IF(D17="","",D16&amp;TEXT(D17,"yyyy年m月d日;;"))</f>
        <v>商业2053年12月2日</v>
      </c>
      <c r="L16" s="1407" t="str">
        <f>IF(OR(K16="",M16=""),"","、")</f>
        <v/>
      </c>
      <c r="M16" s="1398" t="str">
        <f>IF(E17="","",E16&amp;TEXT(E17,"yyyy年m月d日;;"))</f>
        <v/>
      </c>
      <c r="N16" s="1407" t="str">
        <f>IF(OR(M16="",O16=""),"","、")</f>
        <v/>
      </c>
      <c r="O16" s="1398" t="str">
        <f>IF(F17="","",F16&amp;TEXT(F17,"yyyy年m月d日;;"))</f>
        <v/>
      </c>
      <c r="P16" s="1407" t="str">
        <f>IF(OR(O16="",Q16=""),"","、")</f>
        <v/>
      </c>
      <c r="Q16" s="1398" t="str">
        <f>IF(G17="","",G16&amp;TEXT(G17,"yyyy年m月d日;;"))</f>
        <v/>
      </c>
      <c r="R16" s="1407" t="str">
        <f>IF(OR(Q16="",S16=""),"","、")</f>
        <v/>
      </c>
      <c r="S16" s="1398" t="str">
        <f>IF(H17="","",H16&amp;TEXT(H17,"yyyy年m月d日;;"))</f>
        <v/>
      </c>
      <c r="T16" s="1407" t="str">
        <f>IF(OR(S16="",U16=""),"","、")</f>
        <v/>
      </c>
      <c r="U16" s="1398" t="str">
        <f>IF(I17="","",I16&amp;TEXT(I17,"yyyy年m月d日;;"))</f>
        <v/>
      </c>
    </row>
    <row r="17" spans="1:21">
      <c r="A17" s="3082" t="s">
        <v>2739</v>
      </c>
      <c r="B17" s="2538" t="s">
        <v>1473</v>
      </c>
      <c r="C17" s="3081"/>
      <c r="D17" s="3389">
        <v>56220</v>
      </c>
      <c r="E17" s="3081"/>
      <c r="F17" s="3081"/>
      <c r="G17" s="3081"/>
      <c r="H17" s="3081"/>
      <c r="I17" s="3081"/>
      <c r="J17" s="2603"/>
      <c r="K17" s="2582" t="str">
        <f>CONCATENATE(K16,L16,M16,N16,O16,P16,Q16,R16,S16,T16,,U16)</f>
        <v>商业2053年12月2日</v>
      </c>
      <c r="L17" s="2583"/>
      <c r="M17" s="2583"/>
      <c r="N17" s="2584"/>
      <c r="O17" s="2585"/>
      <c r="P17" s="2584"/>
      <c r="Q17" s="2584"/>
      <c r="R17" s="2584"/>
      <c r="S17" s="2584"/>
      <c r="T17" s="2584"/>
      <c r="U17" s="2584"/>
    </row>
    <row r="18" spans="1:21">
      <c r="A18" s="1463"/>
      <c r="B18" s="2538" t="s">
        <v>1474</v>
      </c>
      <c r="C18" s="1396"/>
      <c r="D18" s="1396">
        <v>40</v>
      </c>
      <c r="E18" s="1396"/>
      <c r="F18" s="1396"/>
      <c r="G18" s="1396"/>
      <c r="H18" s="1396"/>
      <c r="I18" s="1396"/>
      <c r="J18" s="2603"/>
      <c r="K18" s="2587"/>
      <c r="L18" s="2583"/>
      <c r="M18" s="2583"/>
      <c r="N18" s="2584"/>
      <c r="O18" s="2585"/>
      <c r="P18" s="2584"/>
      <c r="Q18" s="2584"/>
      <c r="R18" s="2584"/>
      <c r="S18" s="2584"/>
      <c r="T18" s="2584"/>
      <c r="U18" s="2584"/>
    </row>
    <row r="19" spans="1:21">
      <c r="A19" s="1463"/>
      <c r="B19" s="1377" t="s">
        <v>1475</v>
      </c>
      <c r="C19" s="1458" t="str">
        <f>IF(A17="出让",IF(C17="","",ROUNDDOWN(MIN((C17-$D$3)/365,C18),2)),C18)</f>
        <v/>
      </c>
      <c r="D19" s="1458">
        <f>IF(A17="出让",IF(D17="","",ROUNDDOWN(MIN((D17-$D$3)/365,D18),2)),D18)</f>
        <v>30.58</v>
      </c>
      <c r="E19" s="1397" t="str">
        <f>IF(A17="出让",IF(E17="","",ROUNDDOWN(MIN((E17-$D$3)/365,E18),2)),E18)</f>
        <v/>
      </c>
      <c r="F19" s="1397" t="str">
        <f>IF(A17="出让",IF(F17="","",ROUNDDOWN(MIN((F17-$D$3)/365,F18),2)),F18)</f>
        <v/>
      </c>
      <c r="G19" s="1397" t="str">
        <f>IF(A17="出让",IF(G17="","",ROUNDDOWN(MIN((G17-$D$3)/365,G18),2)),G18)</f>
        <v/>
      </c>
      <c r="H19" s="1397" t="str">
        <f>IF(A17="出让",IF(H17="","",ROUNDDOWN(MIN((H17-$D$3)/365,H18),2)),H18)</f>
        <v/>
      </c>
      <c r="I19" s="1397" t="str">
        <f>IF(A17="出让",IF(I17="","",ROUNDDOWN(MIN((I17-$D$3)/365,I18),2)),I18)</f>
        <v/>
      </c>
      <c r="J19" s="2603"/>
      <c r="K19" s="2587"/>
      <c r="L19" s="2583"/>
      <c r="M19" s="2583"/>
      <c r="N19" s="2584"/>
      <c r="O19" s="2585"/>
      <c r="P19" s="2584"/>
      <c r="Q19" s="2584"/>
      <c r="R19" s="2584"/>
      <c r="S19" s="2584"/>
      <c r="T19" s="2584"/>
      <c r="U19" s="2584"/>
    </row>
    <row r="20" spans="1:21">
      <c r="A20" s="1481"/>
      <c r="B20" s="1482"/>
      <c r="C20" s="1483" t="s">
        <v>1578</v>
      </c>
      <c r="D20" s="3459"/>
      <c r="E20" s="3460"/>
      <c r="F20" s="3460"/>
      <c r="G20" s="3460"/>
      <c r="H20" s="3460"/>
      <c r="I20" s="3461"/>
      <c r="J20" s="2603"/>
      <c r="K20" s="2587"/>
      <c r="L20" s="2583"/>
      <c r="M20" s="2583"/>
      <c r="N20" s="2584"/>
      <c r="O20" s="2585"/>
      <c r="P20" s="2584"/>
      <c r="Q20" s="2584"/>
      <c r="R20" s="2584"/>
      <c r="S20" s="2584"/>
      <c r="T20" s="2584"/>
      <c r="U20" s="2584"/>
    </row>
    <row r="21" spans="1:21">
      <c r="A21" s="1463" t="s">
        <v>1476</v>
      </c>
      <c r="B21" s="1464" t="s">
        <v>1477</v>
      </c>
      <c r="C21" s="1459">
        <f>'数据-汇总表'!E3</f>
        <v>302725.5</v>
      </c>
      <c r="D21" s="1460" t="s">
        <v>1478</v>
      </c>
      <c r="E21" s="3449" t="s">
        <v>1516</v>
      </c>
      <c r="F21" s="3450"/>
      <c r="G21" s="3450"/>
      <c r="H21" s="3450"/>
      <c r="I21" s="3451"/>
      <c r="J21" s="2603"/>
      <c r="K21" s="2587"/>
      <c r="L21" s="2583"/>
      <c r="M21" s="2583"/>
      <c r="N21" s="2584"/>
      <c r="O21" s="2585"/>
      <c r="P21" s="2584"/>
      <c r="Q21" s="2584"/>
      <c r="R21" s="2584"/>
      <c r="S21" s="2584"/>
      <c r="T21" s="2584"/>
      <c r="U21" s="2584"/>
    </row>
    <row r="22" spans="1:21">
      <c r="A22" s="2366" t="s">
        <v>877</v>
      </c>
      <c r="B22" s="1378" t="s">
        <v>1479</v>
      </c>
      <c r="C22" s="1398">
        <f>'数据-汇总表'!D3</f>
        <v>86493.04</v>
      </c>
      <c r="D22" s="1399" t="s">
        <v>1478</v>
      </c>
      <c r="E22" s="3449" t="s">
        <v>2164</v>
      </c>
      <c r="F22" s="3450"/>
      <c r="G22" s="3450"/>
      <c r="H22" s="3450"/>
      <c r="I22" s="3451"/>
      <c r="J22" s="2603"/>
      <c r="K22" s="2587"/>
      <c r="L22" s="2583"/>
      <c r="M22" s="2583"/>
      <c r="N22" s="2584"/>
      <c r="O22" s="2585"/>
      <c r="P22" s="2584"/>
      <c r="Q22" s="2584"/>
      <c r="R22" s="2584"/>
      <c r="S22" s="2584"/>
      <c r="T22" s="2584"/>
      <c r="U22" s="2584"/>
    </row>
    <row r="23" spans="1:21" ht="29.25" thickBot="1">
      <c r="A23" s="1465" t="s">
        <v>1480</v>
      </c>
      <c r="B23" s="1408" t="s">
        <v>1481</v>
      </c>
      <c r="C23" s="1409"/>
      <c r="D23" s="1410" t="s">
        <v>1482</v>
      </c>
      <c r="E23" s="1411"/>
      <c r="F23" s="1412" t="str">
        <f>IF(AND(C23="是",E23="否"),"是否提供他项权证或相关说明","")</f>
        <v/>
      </c>
      <c r="G23" s="1413"/>
      <c r="H23" s="2603"/>
      <c r="I23" s="2604"/>
      <c r="J23" s="2603"/>
      <c r="K23" s="2587"/>
      <c r="L23" s="2583"/>
      <c r="M23" s="2583"/>
      <c r="N23" s="2584"/>
      <c r="O23" s="2585"/>
      <c r="P23" s="2584"/>
      <c r="Q23" s="2584"/>
      <c r="R23" s="2584"/>
      <c r="S23" s="2584"/>
      <c r="T23" s="2584"/>
      <c r="U23" s="2584"/>
    </row>
    <row r="24" spans="1:21">
      <c r="A24" s="1450" t="s">
        <v>1483</v>
      </c>
      <c r="B24" s="3452" t="s">
        <v>1484</v>
      </c>
      <c r="C24" s="3453"/>
      <c r="D24" s="3454" t="s">
        <v>1485</v>
      </c>
      <c r="E24" s="3455"/>
      <c r="F24" s="1414" t="s">
        <v>1486</v>
      </c>
      <c r="G24" s="2603"/>
      <c r="H24" s="2603"/>
      <c r="I24" s="2604"/>
      <c r="J24" s="2603"/>
      <c r="K24" s="3440" t="s">
        <v>1487</v>
      </c>
      <c r="L24" s="19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9"/>
      <c r="N24" s="2584"/>
      <c r="O24" s="2585"/>
      <c r="P24" s="2584"/>
      <c r="Q24" s="2584"/>
      <c r="R24" s="2584"/>
      <c r="S24" s="2584"/>
      <c r="T24" s="2584"/>
      <c r="U24" s="2584"/>
    </row>
    <row r="25" spans="1:21" ht="28.5">
      <c r="A25" s="1451"/>
      <c r="B25" s="1448" t="s">
        <v>1682</v>
      </c>
      <c r="C25" s="1415" t="s">
        <v>1488</v>
      </c>
      <c r="D25" s="1416"/>
      <c r="E25" s="1417" t="s">
        <v>877</v>
      </c>
      <c r="F25" s="1418"/>
      <c r="G25" s="2603"/>
      <c r="H25" s="2603"/>
      <c r="I25" s="2604"/>
      <c r="J25" s="2603"/>
      <c r="K25" s="3440"/>
      <c r="L25" s="19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9"/>
      <c r="N25" s="2584"/>
      <c r="O25" s="2585"/>
      <c r="P25" s="2584"/>
      <c r="Q25" s="2584"/>
      <c r="R25" s="2584"/>
      <c r="S25" s="2584"/>
      <c r="T25" s="2584"/>
      <c r="U25" s="2584"/>
    </row>
    <row r="26" spans="1:21" ht="29.25" thickBot="1">
      <c r="A26" s="1452"/>
      <c r="B26" s="1449" t="s">
        <v>1489</v>
      </c>
      <c r="C26" s="1415" t="s">
        <v>1683</v>
      </c>
      <c r="D26" s="2603"/>
      <c r="E26" s="2603"/>
      <c r="F26" s="2608"/>
      <c r="G26" s="2603"/>
      <c r="H26" s="2603"/>
      <c r="I26" s="2604"/>
      <c r="J26" s="2603"/>
      <c r="K26" s="3440"/>
      <c r="L26" s="19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9"/>
      <c r="N26" s="2584"/>
      <c r="O26" s="2585"/>
      <c r="P26" s="2584"/>
      <c r="Q26" s="2584"/>
      <c r="R26" s="2584"/>
      <c r="S26" s="2584"/>
      <c r="T26" s="2584"/>
      <c r="U26" s="2584"/>
    </row>
    <row r="27" spans="1:21">
      <c r="A27" s="1455" t="s">
        <v>1490</v>
      </c>
      <c r="B27" s="1453" t="s">
        <v>1491</v>
      </c>
      <c r="C27" s="1419"/>
      <c r="D27" s="2090" t="s">
        <v>1491</v>
      </c>
      <c r="E27" s="1420"/>
      <c r="F27" s="2608"/>
      <c r="G27" s="2603"/>
      <c r="H27" s="2603"/>
      <c r="I27" s="2604"/>
      <c r="J27" s="2603"/>
      <c r="K27" s="2587"/>
      <c r="L27" s="2583"/>
      <c r="M27" s="2583"/>
      <c r="N27" s="2584"/>
      <c r="O27" s="2585"/>
      <c r="P27" s="2584"/>
      <c r="Q27" s="2584"/>
      <c r="R27" s="2584"/>
      <c r="S27" s="2584"/>
      <c r="T27" s="2584"/>
      <c r="U27" s="2584"/>
    </row>
    <row r="28" spans="1:21">
      <c r="A28" s="1456"/>
      <c r="B28" s="1453" t="s">
        <v>1492</v>
      </c>
      <c r="C28" s="1421"/>
      <c r="D28" s="2091" t="s">
        <v>1492</v>
      </c>
      <c r="E28" s="1422"/>
      <c r="F28" s="2608"/>
      <c r="G28" s="2603"/>
      <c r="H28" s="2603"/>
      <c r="I28" s="2604"/>
      <c r="J28" s="2603"/>
      <c r="K28" s="2587"/>
      <c r="L28" s="2583"/>
      <c r="M28" s="2583"/>
      <c r="N28" s="2584"/>
      <c r="O28" s="2585"/>
      <c r="P28" s="2584"/>
      <c r="Q28" s="2584"/>
      <c r="R28" s="2584"/>
      <c r="S28" s="2584"/>
      <c r="T28" s="2584"/>
      <c r="U28" s="2584"/>
    </row>
    <row r="29" spans="1:21">
      <c r="A29" s="1456"/>
      <c r="B29" s="1453" t="s">
        <v>1493</v>
      </c>
      <c r="C29" s="1421"/>
      <c r="D29" s="2091" t="s">
        <v>1493</v>
      </c>
      <c r="E29" s="1422"/>
      <c r="F29" s="2608"/>
      <c r="G29" s="2603"/>
      <c r="H29" s="2603"/>
      <c r="I29" s="2604"/>
      <c r="J29" s="2603"/>
      <c r="K29" s="2587"/>
      <c r="L29" s="2583"/>
      <c r="M29" s="2583"/>
      <c r="N29" s="2584"/>
      <c r="O29" s="2585"/>
      <c r="P29" s="2584"/>
      <c r="Q29" s="2584"/>
      <c r="R29" s="2584"/>
      <c r="S29" s="2584"/>
      <c r="T29" s="2584"/>
      <c r="U29" s="2584"/>
    </row>
    <row r="30" spans="1:21" ht="15" thickBot="1">
      <c r="A30" s="1457"/>
      <c r="B30" s="1454" t="s">
        <v>1494</v>
      </c>
      <c r="C30" s="1423"/>
      <c r="D30" s="2092" t="s">
        <v>1494</v>
      </c>
      <c r="E30" s="1424"/>
      <c r="F30" s="2609"/>
      <c r="G30" s="2606"/>
      <c r="H30" s="2606"/>
      <c r="I30" s="2607"/>
      <c r="J30" s="2603"/>
      <c r="K30" s="2587"/>
      <c r="L30" s="2583"/>
      <c r="M30" s="2583"/>
      <c r="N30" s="2584"/>
      <c r="O30" s="2585"/>
      <c r="P30" s="2584"/>
      <c r="Q30" s="2584"/>
      <c r="R30" s="2584"/>
      <c r="S30" s="2584"/>
      <c r="T30" s="2584"/>
      <c r="U30" s="2584"/>
    </row>
    <row r="31" spans="1:21" ht="15" thickTop="1">
      <c r="A31" s="3467" t="s">
        <v>1519</v>
      </c>
      <c r="B31" s="1464" t="s">
        <v>1520</v>
      </c>
      <c r="C31" s="3465"/>
      <c r="D31" s="3466"/>
      <c r="E31" s="2603"/>
      <c r="F31" s="2603"/>
      <c r="G31" s="2603"/>
      <c r="H31" s="2603"/>
      <c r="I31" s="2604"/>
      <c r="J31" s="2603"/>
      <c r="K31" s="2590"/>
      <c r="L31" s="2584"/>
      <c r="M31" s="2584"/>
      <c r="N31" s="2584"/>
      <c r="O31" s="2584"/>
      <c r="P31" s="2584"/>
      <c r="Q31" s="2584"/>
      <c r="R31" s="2584"/>
      <c r="S31" s="2584"/>
      <c r="T31" s="2584"/>
      <c r="U31" s="2584"/>
    </row>
    <row r="32" spans="1:21">
      <c r="A32" s="3467"/>
      <c r="B32" s="1378" t="s">
        <v>1521</v>
      </c>
      <c r="C32" s="1425"/>
      <c r="D32" s="1426"/>
      <c r="E32" s="2603"/>
      <c r="F32" s="2603"/>
      <c r="G32" s="2603"/>
      <c r="H32" s="2603"/>
      <c r="I32" s="2604"/>
      <c r="J32" s="2603"/>
      <c r="K32" s="2590"/>
      <c r="L32" s="2584"/>
      <c r="M32" s="2584"/>
      <c r="N32" s="2584"/>
      <c r="O32" s="2584"/>
      <c r="P32" s="2584"/>
      <c r="Q32" s="2584"/>
      <c r="R32" s="2584"/>
      <c r="S32" s="2584"/>
      <c r="T32" s="2584"/>
      <c r="U32" s="2584"/>
    </row>
    <row r="33" spans="1:28">
      <c r="A33" s="3467"/>
      <c r="B33" s="1378" t="s">
        <v>1522</v>
      </c>
      <c r="C33" s="1427"/>
      <c r="D33" s="1527"/>
      <c r="E33" s="2603"/>
      <c r="F33" s="2603"/>
      <c r="G33" s="2603"/>
      <c r="H33" s="2603"/>
      <c r="I33" s="2604"/>
      <c r="J33" s="2603"/>
      <c r="K33" s="2590"/>
      <c r="L33" s="2584"/>
      <c r="M33" s="2584"/>
      <c r="N33" s="2584"/>
      <c r="O33" s="2584"/>
      <c r="P33" s="2584"/>
      <c r="Q33" s="2584"/>
      <c r="R33" s="2584"/>
      <c r="S33" s="2584"/>
      <c r="T33" s="2584"/>
      <c r="U33" s="2584"/>
    </row>
    <row r="34" spans="1:28">
      <c r="A34" s="3468"/>
      <c r="B34" s="1378" t="s">
        <v>1523</v>
      </c>
      <c r="C34" s="3469"/>
      <c r="D34" s="3470"/>
      <c r="E34" s="2603"/>
      <c r="F34" s="2603"/>
      <c r="G34" s="2603"/>
      <c r="H34" s="2603"/>
      <c r="I34" s="2604"/>
      <c r="J34" s="2603"/>
      <c r="K34" s="2590"/>
      <c r="L34" s="2584"/>
      <c r="M34" s="2584"/>
      <c r="N34" s="2584"/>
      <c r="O34" s="2584"/>
      <c r="P34" s="2584"/>
      <c r="Q34" s="2584"/>
      <c r="R34" s="2584"/>
      <c r="S34" s="2584"/>
      <c r="T34" s="2584"/>
      <c r="U34" s="2584"/>
    </row>
    <row r="35" spans="1:28">
      <c r="A35" s="3471" t="s">
        <v>785</v>
      </c>
      <c r="B35" s="1428"/>
      <c r="C35" s="1472" t="str">
        <f>IF(B35="场地平整","——","具体情况：")</f>
        <v>具体情况：</v>
      </c>
      <c r="D35" s="3473"/>
      <c r="E35" s="3474"/>
      <c r="F35" s="3474"/>
      <c r="G35" s="3474"/>
      <c r="H35" s="3474"/>
      <c r="I35" s="3475"/>
      <c r="J35" s="2603"/>
      <c r="K35" s="2591"/>
      <c r="L35" s="2583"/>
      <c r="M35" s="2583"/>
      <c r="N35" s="2584"/>
      <c r="O35" s="2585"/>
      <c r="P35" s="2584"/>
      <c r="Q35" s="2584"/>
      <c r="R35" s="2584"/>
      <c r="S35" s="2584"/>
      <c r="T35" s="2584"/>
      <c r="U35" s="2584"/>
    </row>
    <row r="36" spans="1:28">
      <c r="A36" s="3467"/>
      <c r="B36" s="3476" t="s">
        <v>1572</v>
      </c>
      <c r="C36" s="3477"/>
      <c r="D36" s="1487"/>
      <c r="E36" s="3478"/>
      <c r="F36" s="3478"/>
      <c r="G36" s="1399" t="str">
        <f>IF(B35="场地未平整","估价结果处理","")</f>
        <v/>
      </c>
      <c r="H36" s="3479"/>
      <c r="I36" s="3479"/>
      <c r="J36" s="2603"/>
      <c r="K36" s="2591"/>
      <c r="L36" s="2583"/>
      <c r="M36" s="2583"/>
      <c r="N36" s="2584"/>
      <c r="O36" s="2585"/>
      <c r="P36" s="2584"/>
      <c r="Q36" s="2584"/>
      <c r="R36" s="2584"/>
      <c r="S36" s="2584"/>
      <c r="T36" s="2584"/>
      <c r="U36" s="2584"/>
    </row>
    <row r="37" spans="1:28" ht="28.5">
      <c r="A37" s="3467"/>
      <c r="B37" s="3456" t="s">
        <v>786</v>
      </c>
      <c r="C37" s="1430" t="s">
        <v>787</v>
      </c>
      <c r="D37" s="1431"/>
      <c r="E37" s="1432"/>
      <c r="F37" s="2603"/>
      <c r="G37" s="2603"/>
      <c r="H37" s="2603"/>
      <c r="I37" s="2604"/>
      <c r="J37" s="2603"/>
      <c r="K37" s="2591"/>
      <c r="L37" s="2584"/>
      <c r="M37" s="2584"/>
      <c r="N37" s="2584"/>
      <c r="O37" s="2584"/>
      <c r="P37" s="2584"/>
      <c r="Q37" s="2584"/>
      <c r="R37" s="2584"/>
      <c r="S37" s="2584"/>
      <c r="T37" s="2584"/>
      <c r="U37" s="2584"/>
    </row>
    <row r="38" spans="1:28">
      <c r="A38" s="3467"/>
      <c r="B38" s="3457"/>
      <c r="C38" s="1386" t="s">
        <v>788</v>
      </c>
      <c r="D38" s="1486">
        <f>ROUNDDOWN(MIN(('数据-取费表'!$B$2-D37)/365,D34),1)</f>
        <v>123.4</v>
      </c>
      <c r="E38" s="1433" t="s">
        <v>789</v>
      </c>
      <c r="F38" s="2603"/>
      <c r="G38" s="2603"/>
      <c r="H38" s="2603"/>
      <c r="I38" s="2604"/>
      <c r="J38" s="2603"/>
      <c r="K38" s="2591"/>
      <c r="L38" s="2584"/>
      <c r="M38" s="2584"/>
      <c r="N38" s="2584"/>
      <c r="O38" s="2584"/>
      <c r="P38" s="2584"/>
      <c r="Q38" s="2584"/>
      <c r="R38" s="2584"/>
      <c r="S38" s="2584"/>
      <c r="T38" s="2584"/>
      <c r="U38" s="2584"/>
    </row>
    <row r="39" spans="1:28">
      <c r="A39" s="3468"/>
      <c r="B39" s="3458"/>
      <c r="C39" s="1405" t="str">
        <f>IF(D38&lt;1,"不存在土地闲置",IF(B35="宗地内已开工建设","已开工，不存在土地闲置","估价对象已涉嫌土地闲置"))</f>
        <v>估价对象已涉嫌土地闲置</v>
      </c>
      <c r="D39" s="1434"/>
      <c r="E39" s="1435"/>
      <c r="F39" s="2603"/>
      <c r="G39" s="2603"/>
      <c r="H39" s="2603"/>
      <c r="I39" s="2604"/>
      <c r="J39" s="2603"/>
      <c r="K39" s="2587"/>
      <c r="L39" s="2583"/>
      <c r="M39" s="2583"/>
      <c r="N39" s="2584"/>
      <c r="O39" s="2585"/>
      <c r="P39" s="2584"/>
      <c r="Q39" s="2584"/>
      <c r="R39" s="2584"/>
      <c r="S39" s="2584"/>
      <c r="T39" s="2584"/>
      <c r="U39" s="2584"/>
    </row>
    <row r="40" spans="1:28">
      <c r="A40" s="1399" t="s">
        <v>1495</v>
      </c>
      <c r="B40" s="1400"/>
      <c r="C40" s="1400"/>
      <c r="D40" s="1400"/>
      <c r="E40" s="1400"/>
      <c r="F40" s="1400"/>
      <c r="G40" s="1400"/>
      <c r="H40" s="1400"/>
      <c r="I40" s="2604"/>
      <c r="J40" s="2603"/>
      <c r="K40" s="1436">
        <f>COUNTIF(B40:H40,"——")</f>
        <v>0</v>
      </c>
      <c r="L40" s="1407" t="s">
        <v>1496</v>
      </c>
      <c r="M40" s="1404" t="s">
        <v>1497</v>
      </c>
      <c r="N40" s="1404" t="s">
        <v>1498</v>
      </c>
      <c r="O40" s="1404" t="s">
        <v>1499</v>
      </c>
      <c r="P40" s="1404" t="s">
        <v>1500</v>
      </c>
      <c r="Q40" s="1404" t="s">
        <v>1501</v>
      </c>
      <c r="R40" s="1404" t="s">
        <v>1502</v>
      </c>
      <c r="S40" s="3439" t="s">
        <v>1503</v>
      </c>
      <c r="T40" s="1407" t="str">
        <f>NUMBERSTRING(7-K40,1)&amp;"通"</f>
        <v>七通</v>
      </c>
      <c r="U40" s="2584"/>
    </row>
    <row r="41" spans="1:28">
      <c r="A41" s="1380"/>
      <c r="B41" s="3472" t="s">
        <v>1250</v>
      </c>
      <c r="C41" s="3472"/>
      <c r="D41" s="3472"/>
      <c r="E41" s="3472"/>
      <c r="F41" s="1437" t="str">
        <f>C10</f>
        <v>江苏省</v>
      </c>
      <c r="G41" s="2603"/>
      <c r="H41" s="2603"/>
      <c r="I41" s="2604"/>
      <c r="J41" s="2603"/>
      <c r="K41" s="1407"/>
      <c r="L41" s="1404">
        <f>B40</f>
        <v>0</v>
      </c>
      <c r="M41" s="1438" t="str">
        <f>B40&amp;"、"&amp;C40</f>
        <v>、</v>
      </c>
      <c r="N41" s="1439" t="str">
        <f>B40&amp;"、"&amp;C40&amp;"、"&amp;D40</f>
        <v>、、</v>
      </c>
      <c r="O41" s="1439" t="str">
        <f>B40&amp;"、"&amp;C40&amp;"、"&amp;D40&amp;"、"&amp;E40</f>
        <v>、、、</v>
      </c>
      <c r="P41" s="1439" t="str">
        <f>B40&amp;"、"&amp;C40&amp;"、"&amp;D40&amp;"、"&amp;E40&amp;"、"&amp;F40</f>
        <v>、、、、</v>
      </c>
      <c r="Q41" s="1439" t="str">
        <f>B40&amp;"、"&amp;C40&amp;"、"&amp;D40&amp;"、"&amp;E40&amp;"、"&amp;F40&amp;"、"&amp;G40</f>
        <v>、、、、、</v>
      </c>
      <c r="R41" s="1439" t="str">
        <f>B40&amp;"、"&amp;C40&amp;"、"&amp;D40&amp;"、"&amp;E40&amp;"、"&amp;F40&amp;"、"&amp;G40&amp;"、"&amp;H40</f>
        <v>、、、、、、</v>
      </c>
      <c r="S41" s="3439"/>
      <c r="T41" s="1438" t="str">
        <f>IF(T40="一通",L41,IF(T40="二通",M41,IF(T40="三通",N41,IF(T40="四通",O41,IF(T40="五通",P41,IF(T40="六通",Q41,R41))))))</f>
        <v>、、、、、、</v>
      </c>
      <c r="U41" s="2584"/>
    </row>
    <row r="42" spans="1:28">
      <c r="A42" s="1440"/>
      <c r="B42" s="1466" t="s">
        <v>1422</v>
      </c>
      <c r="C42" s="1466" t="s">
        <v>1423</v>
      </c>
      <c r="D42" s="1466" t="s">
        <v>1424</v>
      </c>
      <c r="E42" s="1466" t="s">
        <v>2740</v>
      </c>
      <c r="F42" s="1466" t="s">
        <v>2741</v>
      </c>
      <c r="G42" s="2603"/>
      <c r="H42" s="2603"/>
      <c r="I42" s="2604"/>
      <c r="J42" s="2603"/>
      <c r="K42" s="2587"/>
      <c r="L42" s="2583"/>
      <c r="M42" s="2583"/>
      <c r="N42" s="2584"/>
      <c r="O42" s="2585"/>
      <c r="P42" s="2584"/>
      <c r="Q42" s="2584"/>
      <c r="R42" s="2584"/>
      <c r="S42" s="2584"/>
      <c r="T42" s="2584"/>
      <c r="U42" s="2584"/>
    </row>
    <row r="43" spans="1:28">
      <c r="A43" s="2559" t="s">
        <v>1235</v>
      </c>
      <c r="B43" s="1442"/>
      <c r="C43" s="1442"/>
      <c r="D43" s="1442"/>
      <c r="E43" s="1442"/>
      <c r="F43" s="1442"/>
      <c r="G43" s="2603"/>
      <c r="H43" s="2603"/>
      <c r="I43" s="2604"/>
      <c r="J43" s="2603"/>
      <c r="K43" s="2587"/>
      <c r="L43" s="2583"/>
      <c r="M43" s="2583"/>
      <c r="N43" s="2584"/>
      <c r="O43" s="2585"/>
      <c r="P43" s="2584"/>
      <c r="Q43" s="2584"/>
      <c r="R43" s="2584"/>
      <c r="S43" s="2584"/>
      <c r="T43" s="2584"/>
      <c r="U43" s="2584"/>
    </row>
    <row r="44" spans="1:28">
      <c r="A44" s="2559" t="s">
        <v>1236</v>
      </c>
      <c r="B44" s="1442"/>
      <c r="C44" s="1442"/>
      <c r="D44" s="1442"/>
      <c r="E44" s="1487"/>
      <c r="F44" s="1487"/>
      <c r="G44" s="2603"/>
      <c r="H44" s="2603"/>
      <c r="I44" s="2604"/>
      <c r="J44" s="2603"/>
      <c r="K44" s="2587"/>
      <c r="L44" s="2583"/>
      <c r="M44" s="2583"/>
      <c r="N44" s="2584"/>
      <c r="O44" s="2585"/>
      <c r="P44" s="2584"/>
      <c r="Q44" s="2584"/>
      <c r="R44" s="2584"/>
      <c r="S44" s="2584"/>
      <c r="T44" s="2584"/>
      <c r="U44" s="2584"/>
    </row>
    <row r="45" spans="1:28" s="2340" customFormat="1" ht="21" thickBot="1">
      <c r="A45" s="2341" t="s">
        <v>2165</v>
      </c>
      <c r="B45" s="2339"/>
      <c r="C45" s="2339"/>
      <c r="D45" s="2339"/>
      <c r="E45" s="2339"/>
      <c r="F45" s="2339"/>
      <c r="G45" s="2594"/>
      <c r="H45" s="2594"/>
      <c r="I45" s="2595"/>
      <c r="J45" s="2605"/>
      <c r="K45" s="2592"/>
      <c r="L45" s="2593"/>
      <c r="M45" s="2593"/>
      <c r="N45" s="2594"/>
      <c r="O45" s="2595"/>
      <c r="P45" s="2594"/>
      <c r="Q45" s="2594"/>
      <c r="R45" s="2594"/>
      <c r="S45" s="2594"/>
      <c r="T45" s="2594"/>
      <c r="U45" s="2594"/>
      <c r="V45" s="2596"/>
      <c r="W45" s="2596"/>
      <c r="X45" s="2596"/>
      <c r="Y45" s="2596"/>
      <c r="Z45" s="2596"/>
      <c r="AA45" s="2596"/>
      <c r="AB45" s="2596"/>
    </row>
    <row r="46" spans="1:28">
      <c r="A46" s="1377"/>
      <c r="B46" s="1377"/>
      <c r="C46" s="1377"/>
      <c r="D46" s="1377"/>
      <c r="E46" s="1377"/>
      <c r="F46" s="1377"/>
      <c r="G46" s="1377"/>
      <c r="H46" s="1377"/>
      <c r="I46" s="1403"/>
      <c r="J46" s="1377"/>
      <c r="K46" s="2587"/>
      <c r="L46" s="2583"/>
      <c r="M46" s="2583"/>
      <c r="N46" s="2584"/>
      <c r="O46" s="2585"/>
      <c r="P46" s="2584"/>
      <c r="Q46" s="2584"/>
      <c r="R46" s="2584"/>
      <c r="S46" s="2584"/>
      <c r="T46" s="2584"/>
      <c r="U46" s="2584"/>
    </row>
    <row r="47" spans="1:28">
      <c r="A47" s="1443" t="s">
        <v>1524</v>
      </c>
      <c r="B47" s="1444"/>
      <c r="C47" s="1435"/>
      <c r="D47" s="1377"/>
      <c r="E47" s="1377"/>
      <c r="F47" s="1377"/>
      <c r="G47" s="1377"/>
      <c r="H47" s="1377"/>
      <c r="I47" s="1403"/>
      <c r="J47" s="1377"/>
      <c r="K47" s="2587"/>
      <c r="L47" s="2583"/>
      <c r="M47" s="2583"/>
      <c r="N47" s="2584"/>
      <c r="O47" s="2585"/>
      <c r="P47" s="2584"/>
      <c r="Q47" s="2584"/>
      <c r="R47" s="2584"/>
      <c r="S47" s="2584"/>
      <c r="T47" s="2584"/>
      <c r="U47" s="2584"/>
    </row>
    <row r="48" spans="1:28" ht="28.5">
      <c r="A48" s="1407" t="s">
        <v>1525</v>
      </c>
      <c r="B48" s="1398" t="s">
        <v>1526</v>
      </c>
      <c r="C48" s="1398" t="s">
        <v>1527</v>
      </c>
      <c r="D48" s="1398" t="s">
        <v>1528</v>
      </c>
      <c r="E48" s="1398" t="s">
        <v>1529</v>
      </c>
      <c r="F48" s="1398" t="s">
        <v>1530</v>
      </c>
      <c r="G48" s="1398" t="s">
        <v>1531</v>
      </c>
      <c r="H48" s="1398" t="s">
        <v>1532</v>
      </c>
      <c r="I48" s="1398" t="s">
        <v>1533</v>
      </c>
      <c r="J48" s="1471" t="s">
        <v>1534</v>
      </c>
      <c r="K48" s="2597" t="s">
        <v>1535</v>
      </c>
      <c r="L48" s="2597" t="s">
        <v>1536</v>
      </c>
      <c r="M48" s="2597" t="s">
        <v>1537</v>
      </c>
      <c r="N48" s="2598" t="s">
        <v>1538</v>
      </c>
      <c r="O48" s="2598" t="s">
        <v>1539</v>
      </c>
      <c r="P48" s="2598" t="s">
        <v>1540</v>
      </c>
      <c r="Q48" s="2589" t="s">
        <v>1541</v>
      </c>
      <c r="R48" s="2589" t="s">
        <v>1542</v>
      </c>
      <c r="S48" s="2584"/>
      <c r="T48" s="2584"/>
      <c r="U48" s="2584"/>
    </row>
    <row r="49" spans="1:21">
      <c r="A49" s="1404"/>
      <c r="B49" s="1436"/>
      <c r="C49" s="1436"/>
      <c r="D49" s="1436"/>
      <c r="E49" s="1436"/>
      <c r="F49" s="1436"/>
      <c r="G49" s="1436"/>
      <c r="H49" s="1436"/>
      <c r="I49" s="1436"/>
      <c r="J49" s="1528"/>
      <c r="K49" s="2599"/>
      <c r="L49" s="2599"/>
      <c r="M49" s="1441"/>
      <c r="N49" s="1441"/>
      <c r="O49" s="1441"/>
      <c r="P49" s="1441"/>
      <c r="Q49" s="1441"/>
      <c r="R49" s="1441"/>
      <c r="S49" s="2584"/>
      <c r="T49" s="2584"/>
      <c r="U49" s="2584"/>
    </row>
    <row r="50" spans="1:21">
      <c r="A50" s="1404"/>
      <c r="B50" s="1404"/>
      <c r="C50" s="1436"/>
      <c r="D50" s="1436"/>
      <c r="E50" s="1436"/>
      <c r="F50" s="1436"/>
      <c r="G50" s="1436"/>
      <c r="H50" s="1436"/>
      <c r="I50" s="1436"/>
      <c r="J50" s="1528"/>
      <c r="K50" s="2599"/>
      <c r="L50" s="2599"/>
      <c r="M50" s="1441"/>
      <c r="N50" s="1441"/>
      <c r="O50" s="1441"/>
      <c r="P50" s="1441"/>
      <c r="Q50" s="1441"/>
      <c r="R50" s="1441"/>
      <c r="S50" s="2584"/>
      <c r="T50" s="2584"/>
      <c r="U50" s="2584"/>
    </row>
    <row r="51" spans="1:21">
      <c r="A51" s="1404"/>
      <c r="B51" s="1404"/>
      <c r="C51" s="1436"/>
      <c r="D51" s="1436"/>
      <c r="E51" s="1436"/>
      <c r="F51" s="1436"/>
      <c r="G51" s="1436"/>
      <c r="H51" s="1436"/>
      <c r="I51" s="1436"/>
      <c r="J51" s="1528"/>
      <c r="K51" s="2599"/>
      <c r="L51" s="2599"/>
      <c r="M51" s="1441"/>
      <c r="N51" s="1441"/>
      <c r="O51" s="1441"/>
      <c r="P51" s="1441"/>
      <c r="Q51" s="1441"/>
      <c r="R51" s="1441"/>
      <c r="S51" s="2584"/>
      <c r="T51" s="2584"/>
      <c r="U51" s="2584"/>
    </row>
    <row r="52" spans="1:21">
      <c r="A52" s="1404"/>
      <c r="B52" s="1404"/>
      <c r="C52" s="1436"/>
      <c r="D52" s="1436"/>
      <c r="E52" s="1436"/>
      <c r="F52" s="1436"/>
      <c r="G52" s="1436"/>
      <c r="H52" s="1436"/>
      <c r="I52" s="1436"/>
      <c r="J52" s="1528"/>
      <c r="K52" s="2599"/>
      <c r="L52" s="2599"/>
      <c r="M52" s="1441"/>
      <c r="N52" s="1441"/>
      <c r="O52" s="1441"/>
      <c r="P52" s="1441"/>
      <c r="Q52" s="1441"/>
      <c r="R52" s="1441"/>
      <c r="S52" s="2584"/>
      <c r="T52" s="2584"/>
      <c r="U52" s="2584"/>
    </row>
    <row r="53" spans="1:21">
      <c r="A53" s="1404"/>
      <c r="B53" s="1404"/>
      <c r="C53" s="1436"/>
      <c r="D53" s="1436"/>
      <c r="E53" s="1436"/>
      <c r="F53" s="1436"/>
      <c r="G53" s="1436"/>
      <c r="H53" s="1436"/>
      <c r="I53" s="1436"/>
      <c r="J53" s="1528"/>
      <c r="K53" s="2599"/>
      <c r="L53" s="2599"/>
      <c r="M53" s="1441"/>
      <c r="N53" s="1441"/>
      <c r="O53" s="1441"/>
      <c r="P53" s="1441"/>
      <c r="Q53" s="1441"/>
      <c r="R53" s="1441"/>
      <c r="S53" s="2584"/>
      <c r="T53" s="2584"/>
      <c r="U53" s="2584"/>
    </row>
    <row r="54" spans="1:21">
      <c r="A54" s="1404"/>
      <c r="B54" s="1404"/>
      <c r="C54" s="1404"/>
      <c r="D54" s="1404"/>
      <c r="E54" s="1404"/>
      <c r="F54" s="1436"/>
      <c r="G54" s="1404"/>
      <c r="H54" s="1404"/>
      <c r="I54" s="1404"/>
      <c r="J54" s="1529"/>
      <c r="K54" s="2599"/>
      <c r="L54" s="2599"/>
      <c r="M54" s="2599"/>
      <c r="N54" s="2556"/>
      <c r="O54" s="2556"/>
      <c r="P54" s="2556"/>
      <c r="Q54" s="2556"/>
      <c r="R54" s="2556"/>
      <c r="S54" s="2584"/>
      <c r="T54" s="2584"/>
      <c r="U54" s="2584"/>
    </row>
    <row r="55" spans="1:21">
      <c r="A55" s="1404"/>
      <c r="B55" s="1404"/>
      <c r="C55" s="1404"/>
      <c r="D55" s="1404"/>
      <c r="E55" s="1404"/>
      <c r="F55" s="1436"/>
      <c r="G55" s="1404"/>
      <c r="H55" s="1404"/>
      <c r="I55" s="1404"/>
      <c r="J55" s="1529"/>
      <c r="K55" s="2599"/>
      <c r="L55" s="2599"/>
      <c r="M55" s="2599"/>
      <c r="N55" s="2556"/>
      <c r="O55" s="2556"/>
      <c r="P55" s="2556"/>
      <c r="Q55" s="2556"/>
      <c r="R55" s="2556"/>
      <c r="S55" s="2584"/>
      <c r="T55" s="2584"/>
      <c r="U55" s="2584"/>
    </row>
    <row r="56" spans="1:21">
      <c r="A56" s="1404"/>
      <c r="B56" s="1404"/>
      <c r="C56" s="1404"/>
      <c r="D56" s="1404"/>
      <c r="E56" s="1404"/>
      <c r="F56" s="1436"/>
      <c r="G56" s="1404"/>
      <c r="H56" s="1404"/>
      <c r="I56" s="1404"/>
      <c r="J56" s="1529"/>
      <c r="K56" s="2599"/>
      <c r="L56" s="2599"/>
      <c r="M56" s="2599"/>
      <c r="N56" s="2556"/>
      <c r="O56" s="2556"/>
      <c r="P56" s="2556"/>
      <c r="Q56" s="2556"/>
      <c r="R56" s="2556"/>
      <c r="S56" s="2584"/>
      <c r="T56" s="2584"/>
      <c r="U56" s="2584"/>
    </row>
    <row r="57" spans="1:21">
      <c r="A57" s="1404"/>
      <c r="B57" s="1404"/>
      <c r="C57" s="1404"/>
      <c r="D57" s="1404"/>
      <c r="E57" s="1404"/>
      <c r="F57" s="1436"/>
      <c r="G57" s="1404"/>
      <c r="H57" s="1404"/>
      <c r="I57" s="1404"/>
      <c r="J57" s="1529"/>
      <c r="K57" s="2599"/>
      <c r="L57" s="2599"/>
      <c r="M57" s="2599"/>
      <c r="N57" s="2556"/>
      <c r="O57" s="2556"/>
      <c r="P57" s="2556"/>
      <c r="Q57" s="2556"/>
      <c r="R57" s="2556"/>
      <c r="S57" s="2584"/>
      <c r="T57" s="2584"/>
      <c r="U57" s="2584"/>
    </row>
    <row r="58" spans="1:21">
      <c r="A58" s="1404"/>
      <c r="B58" s="1404"/>
      <c r="C58" s="1404"/>
      <c r="D58" s="1404"/>
      <c r="E58" s="1404"/>
      <c r="F58" s="1436"/>
      <c r="G58" s="1404"/>
      <c r="H58" s="1404"/>
      <c r="I58" s="1404"/>
      <c r="J58" s="1529"/>
      <c r="K58" s="2599"/>
      <c r="L58" s="2599"/>
      <c r="M58" s="2599"/>
      <c r="N58" s="2556"/>
      <c r="O58" s="2556"/>
      <c r="P58" s="2556"/>
      <c r="Q58" s="2556"/>
      <c r="R58" s="2556"/>
      <c r="S58" s="2584"/>
      <c r="T58" s="2584"/>
      <c r="U58" s="2584"/>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6" sqref="K26"/>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6"/>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6" t="s">
        <v>1690</v>
      </c>
      <c r="BA2" s="1927" t="s">
        <v>1689</v>
      </c>
      <c r="BB2" s="38"/>
      <c r="BC2" s="38"/>
      <c r="BD2" s="38"/>
      <c r="BE2" s="38"/>
      <c r="BF2" s="38"/>
      <c r="BG2" s="38"/>
      <c r="BH2" s="38"/>
      <c r="BI2" s="38"/>
      <c r="BJ2" s="38"/>
      <c r="BK2" s="38"/>
      <c r="BL2" s="38"/>
      <c r="BM2" s="38"/>
      <c r="BN2" s="38"/>
      <c r="BO2" s="38"/>
      <c r="BP2" s="38"/>
      <c r="BQ2" s="38"/>
      <c r="BR2" s="38"/>
      <c r="BS2" s="38"/>
      <c r="BT2" s="38"/>
    </row>
    <row r="3" spans="1:72" s="15" customFormat="1" ht="12.75">
      <c r="A3" s="18">
        <v>86493.04</v>
      </c>
      <c r="B3" s="19">
        <f>IF(C3="否",G5-AT5,G5)</f>
        <v>302725.5</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8"/>
      <c r="BB3" s="38"/>
      <c r="BC3" s="38"/>
      <c r="BD3" s="38"/>
      <c r="BE3" s="38"/>
      <c r="BF3" s="38"/>
      <c r="BG3" s="38"/>
      <c r="BH3" s="38"/>
      <c r="BI3" s="38"/>
      <c r="BJ3" s="38"/>
      <c r="BK3" s="38"/>
      <c r="BL3" s="38"/>
      <c r="BM3" s="38"/>
      <c r="BN3" s="38"/>
      <c r="BO3" s="38"/>
      <c r="BP3" s="38"/>
      <c r="BQ3" s="38"/>
      <c r="BR3" s="38"/>
      <c r="BS3" s="38"/>
      <c r="BT3" s="38"/>
    </row>
    <row r="4" spans="1:72" s="15" customFormat="1" ht="13.5" thickBot="1">
      <c r="A4" s="1037"/>
      <c r="B4" s="1038"/>
      <c r="C4" s="1039"/>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0"/>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3"/>
      <c r="C5" s="903"/>
      <c r="D5" s="909"/>
      <c r="E5" s="23" t="s">
        <v>0</v>
      </c>
      <c r="F5" s="23">
        <f>SUM(F13:F572)</f>
        <v>0</v>
      </c>
      <c r="G5" s="23">
        <f>SUM(G13:G572)</f>
        <v>302725.5</v>
      </c>
      <c r="H5" s="23">
        <f t="shared" ref="H5:AT5" si="0">SUM(H13:H641)</f>
        <v>302725.5</v>
      </c>
      <c r="I5" s="23">
        <f t="shared" si="0"/>
        <v>302725.5</v>
      </c>
      <c r="J5" s="23">
        <f t="shared" si="0"/>
        <v>0</v>
      </c>
      <c r="K5" s="23">
        <f t="shared" si="0"/>
        <v>0</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2"/>
      <c r="AV5" s="22" t="s">
        <v>134</v>
      </c>
      <c r="AW5" s="903"/>
      <c r="AX5" s="903"/>
      <c r="AY5" s="24" t="s">
        <v>2</v>
      </c>
      <c r="AZ5" s="25">
        <f t="shared" ref="AZ5:BT5" si="1">SUM(AZ13:AZ641)</f>
        <v>302725.5</v>
      </c>
      <c r="BA5" s="25">
        <f t="shared" si="1"/>
        <v>302725.5</v>
      </c>
      <c r="BB5" s="25">
        <f t="shared" si="1"/>
        <v>302725.5</v>
      </c>
      <c r="BC5" s="25">
        <f t="shared" si="1"/>
        <v>0</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2.75">
      <c r="A6" s="22" t="s">
        <v>135</v>
      </c>
      <c r="B6" s="27"/>
      <c r="C6" s="27"/>
      <c r="D6" s="28"/>
      <c r="E6" s="23">
        <f>H6+AC6+AT6</f>
        <v>86493.04</v>
      </c>
      <c r="F6" s="23" t="s">
        <v>0</v>
      </c>
      <c r="G6" s="23" t="s">
        <v>1</v>
      </c>
      <c r="H6" s="29">
        <f>SUMIF(I$12:AB$12,"总值",I6:AB6)</f>
        <v>86493.04</v>
      </c>
      <c r="I6" s="23">
        <f t="shared" ref="I6:AB6" si="2">ROUND($A$3*I5/$B$3,2)</f>
        <v>86493.04</v>
      </c>
      <c r="J6" s="23">
        <f t="shared" si="2"/>
        <v>0</v>
      </c>
      <c r="K6" s="23">
        <f t="shared" si="2"/>
        <v>0</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86493.04</v>
      </c>
      <c r="AZ6" s="23" t="s">
        <v>2</v>
      </c>
      <c r="BA6" s="23">
        <f>ROUND($AY$6*BA5/$AZ$5,2)</f>
        <v>86493.04</v>
      </c>
      <c r="BB6" s="23">
        <f>ROUND($AY$6*BB5/$AZ$5,2)</f>
        <v>86493.04</v>
      </c>
      <c r="BC6" s="23">
        <f t="shared" ref="BC6:BH6" si="4">ROUND($AY$6*BC5/$AZ$5,2)</f>
        <v>0</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0"/>
      <c r="AU7" s="36" t="s">
        <v>143</v>
      </c>
      <c r="AV7" s="37" t="s">
        <v>144</v>
      </c>
      <c r="AW7" s="38" t="s">
        <v>145</v>
      </c>
      <c r="AX7" s="37" t="s">
        <v>146</v>
      </c>
      <c r="AY7" s="903"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4"/>
      <c r="K8" s="914"/>
      <c r="L8" s="914"/>
      <c r="M8" s="914"/>
      <c r="N8" s="914"/>
      <c r="O8" s="914"/>
      <c r="P8" s="914"/>
      <c r="Q8" s="914"/>
      <c r="R8" s="914"/>
      <c r="S8" s="914"/>
      <c r="T8" s="914"/>
      <c r="U8" s="914"/>
      <c r="V8" s="45"/>
      <c r="W8" s="914"/>
      <c r="X8" s="914"/>
      <c r="Y8" s="914"/>
      <c r="Z8" s="914"/>
      <c r="AA8" s="45"/>
      <c r="AB8" s="46"/>
      <c r="AC8" s="47" t="s">
        <v>150</v>
      </c>
      <c r="AD8" s="48"/>
      <c r="AE8" s="39"/>
      <c r="AF8" s="914"/>
      <c r="AG8" s="914"/>
      <c r="AH8" s="914"/>
      <c r="AI8" s="914"/>
      <c r="AJ8" s="914"/>
      <c r="AK8" s="914"/>
      <c r="AL8" s="914"/>
      <c r="AM8" s="914"/>
      <c r="AN8" s="914"/>
      <c r="AO8" s="914"/>
      <c r="AP8" s="914"/>
      <c r="AQ8" s="914"/>
      <c r="AR8" s="914"/>
      <c r="AS8" s="915"/>
      <c r="AT8" s="1915" t="s">
        <v>793</v>
      </c>
      <c r="AU8" s="41" t="s">
        <v>151</v>
      </c>
      <c r="AV8" s="51"/>
      <c r="AW8" s="866"/>
      <c r="AX8" s="51"/>
      <c r="AY8" s="38" t="s">
        <v>152</v>
      </c>
      <c r="AZ8" s="913" t="s">
        <v>153</v>
      </c>
      <c r="BA8" s="914"/>
      <c r="BB8" s="914"/>
      <c r="BC8" s="914"/>
      <c r="BD8" s="914"/>
      <c r="BE8" s="914"/>
      <c r="BF8" s="914"/>
      <c r="BG8" s="914"/>
      <c r="BH8" s="914"/>
      <c r="BI8" s="914"/>
      <c r="BJ8" s="914"/>
      <c r="BK8" s="914"/>
      <c r="BL8" s="914"/>
      <c r="BM8" s="914"/>
      <c r="BN8" s="914"/>
      <c r="BO8" s="914"/>
      <c r="BP8" s="914"/>
      <c r="BQ8" s="914"/>
      <c r="BR8" s="914"/>
      <c r="BS8" s="914"/>
      <c r="BT8" s="52"/>
    </row>
    <row r="9" spans="1:72" s="53" customFormat="1" ht="12.75">
      <c r="A9" s="41"/>
      <c r="B9" s="41"/>
      <c r="C9" s="41"/>
      <c r="D9" s="41"/>
      <c r="E9" s="41"/>
      <c r="F9" s="41"/>
      <c r="G9" s="51"/>
      <c r="H9" s="54" t="s">
        <v>154</v>
      </c>
      <c r="I9" s="2304" t="s">
        <v>3257</v>
      </c>
      <c r="J9" s="47"/>
      <c r="K9" s="2304"/>
      <c r="L9" s="47"/>
      <c r="M9" s="2304"/>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1" t="s">
        <v>157</v>
      </c>
      <c r="AQ9" s="1033"/>
      <c r="AR9" s="1031" t="s">
        <v>158</v>
      </c>
      <c r="AS9" s="1916"/>
      <c r="AT9" s="41"/>
      <c r="AU9" s="41" t="s">
        <v>160</v>
      </c>
      <c r="AV9" s="51"/>
      <c r="AW9" s="866"/>
      <c r="AX9" s="51"/>
      <c r="AY9" s="58"/>
      <c r="AZ9" s="58" t="s">
        <v>161</v>
      </c>
      <c r="BA9" s="59" t="s">
        <v>162</v>
      </c>
      <c r="BB9" s="60"/>
      <c r="BC9" s="908"/>
      <c r="BD9" s="908"/>
      <c r="BE9" s="908"/>
      <c r="BF9" s="908"/>
      <c r="BG9" s="908"/>
      <c r="BH9" s="908"/>
      <c r="BI9" s="908"/>
      <c r="BJ9" s="908"/>
      <c r="BK9" s="61"/>
      <c r="BL9" s="22" t="s">
        <v>163</v>
      </c>
      <c r="BM9" s="914"/>
      <c r="BN9" s="44"/>
      <c r="BO9" s="914"/>
      <c r="BP9" s="914"/>
      <c r="BQ9" s="914"/>
      <c r="BR9" s="914"/>
      <c r="BS9" s="914"/>
      <c r="BT9" s="52"/>
    </row>
    <row r="10" spans="1:72" s="53" customFormat="1" ht="12.75">
      <c r="A10" s="41"/>
      <c r="B10" s="41"/>
      <c r="C10" s="41"/>
      <c r="D10" s="41"/>
      <c r="E10" s="41"/>
      <c r="F10" s="41"/>
      <c r="G10" s="51"/>
      <c r="H10" s="58"/>
      <c r="I10" s="2304" t="s">
        <v>2736</v>
      </c>
      <c r="J10" s="47"/>
      <c r="K10" s="2306"/>
      <c r="L10" s="47"/>
      <c r="M10" s="2306"/>
      <c r="N10" s="47"/>
      <c r="O10" s="62"/>
      <c r="P10" s="47"/>
      <c r="Q10" s="62"/>
      <c r="R10" s="47"/>
      <c r="S10" s="62"/>
      <c r="T10" s="47"/>
      <c r="U10" s="62"/>
      <c r="V10" s="47"/>
      <c r="W10" s="62"/>
      <c r="X10" s="47"/>
      <c r="Y10" s="62"/>
      <c r="Z10" s="47"/>
      <c r="AA10" s="62"/>
      <c r="AB10" s="47"/>
      <c r="AC10" s="51"/>
      <c r="AD10" s="1901" t="s">
        <v>1674</v>
      </c>
      <c r="AE10" s="1923"/>
      <c r="AF10" s="1901" t="s">
        <v>1674</v>
      </c>
      <c r="AG10" s="1923"/>
      <c r="AH10" s="1901" t="s">
        <v>1675</v>
      </c>
      <c r="AI10" s="1923"/>
      <c r="AJ10" s="22" t="s">
        <v>1688</v>
      </c>
      <c r="AK10" s="1920"/>
      <c r="AL10" s="1901" t="s">
        <v>1676</v>
      </c>
      <c r="AM10" s="1902"/>
      <c r="AN10" s="22" t="s">
        <v>164</v>
      </c>
      <c r="AO10" s="57"/>
      <c r="AP10" s="1031" t="s">
        <v>165</v>
      </c>
      <c r="AQ10" s="1033"/>
      <c r="AR10" s="1031" t="s">
        <v>165</v>
      </c>
      <c r="AS10" s="1033"/>
      <c r="AT10" s="41"/>
      <c r="AU10" s="41"/>
      <c r="AV10" s="51"/>
      <c r="AW10" s="866"/>
      <c r="AX10" s="51"/>
      <c r="AY10" s="58"/>
      <c r="AZ10" s="58"/>
      <c r="BA10" s="63" t="s">
        <v>159</v>
      </c>
      <c r="BB10" s="64" t="str">
        <f>I9</f>
        <v>地上</v>
      </c>
      <c r="BC10" s="65">
        <f>K9</f>
        <v>0</v>
      </c>
      <c r="BD10" s="65">
        <f>M9</f>
        <v>0</v>
      </c>
      <c r="BE10" s="65">
        <f>O9</f>
        <v>0</v>
      </c>
      <c r="BF10" s="65">
        <f>Q9</f>
        <v>0</v>
      </c>
      <c r="BG10" s="65">
        <f>S9</f>
        <v>0</v>
      </c>
      <c r="BH10" s="65">
        <f>U9</f>
        <v>0</v>
      </c>
      <c r="BI10" s="65">
        <f>W9</f>
        <v>0</v>
      </c>
      <c r="BJ10" s="65">
        <f>Y9</f>
        <v>0</v>
      </c>
      <c r="BK10" s="65">
        <f>AA9</f>
        <v>0</v>
      </c>
      <c r="BL10" s="50" t="s">
        <v>159</v>
      </c>
      <c r="BM10" s="913" t="str">
        <f>AD9</f>
        <v>地上</v>
      </c>
      <c r="BN10" s="65" t="str">
        <f>AF9</f>
        <v>地下</v>
      </c>
      <c r="BO10" s="913" t="str">
        <f>AH9</f>
        <v>地上</v>
      </c>
      <c r="BP10" s="65" t="str">
        <f>AJ9</f>
        <v>地下</v>
      </c>
      <c r="BQ10" s="913" t="str">
        <f>AL9</f>
        <v>地上</v>
      </c>
      <c r="BR10" s="65" t="str">
        <f>AN9</f>
        <v>地下</v>
      </c>
      <c r="BS10" s="913" t="str">
        <f>AP9</f>
        <v>地上</v>
      </c>
      <c r="BT10" s="911" t="str">
        <f>AR9</f>
        <v>地下</v>
      </c>
    </row>
    <row r="11" spans="1:72" s="53" customFormat="1" ht="12.75">
      <c r="A11" s="41"/>
      <c r="B11" s="41"/>
      <c r="C11" s="41"/>
      <c r="D11" s="41"/>
      <c r="E11" s="41"/>
      <c r="F11" s="41"/>
      <c r="G11" s="51"/>
      <c r="H11" s="63"/>
      <c r="I11" s="2305" t="s">
        <v>3258</v>
      </c>
      <c r="J11" s="67"/>
      <c r="K11" s="2305"/>
      <c r="L11" s="67"/>
      <c r="M11" s="66"/>
      <c r="N11" s="67"/>
      <c r="O11" s="66"/>
      <c r="P11" s="67"/>
      <c r="Q11" s="66"/>
      <c r="R11" s="67"/>
      <c r="S11" s="66"/>
      <c r="T11" s="67"/>
      <c r="U11" s="66"/>
      <c r="V11" s="67"/>
      <c r="W11" s="66"/>
      <c r="X11" s="67"/>
      <c r="Y11" s="66"/>
      <c r="Z11" s="67"/>
      <c r="AA11" s="66"/>
      <c r="AB11" s="67"/>
      <c r="AC11" s="51"/>
      <c r="AD11" s="1921" t="s">
        <v>1687</v>
      </c>
      <c r="AE11" s="915"/>
      <c r="AF11" s="1921" t="s">
        <v>1687</v>
      </c>
      <c r="AG11" s="915"/>
      <c r="AH11" s="1921" t="s">
        <v>1686</v>
      </c>
      <c r="AI11" s="1922"/>
      <c r="AJ11" s="1921" t="s">
        <v>1686</v>
      </c>
      <c r="AK11" s="1920"/>
      <c r="AL11" s="913"/>
      <c r="AM11" s="915"/>
      <c r="AN11" s="913"/>
      <c r="AO11" s="915"/>
      <c r="AP11" s="1032"/>
      <c r="AQ11" s="1034"/>
      <c r="AR11" s="1032"/>
      <c r="AS11" s="1034"/>
      <c r="AT11" s="866"/>
      <c r="AU11" s="41"/>
      <c r="AV11" s="51"/>
      <c r="AW11" s="866"/>
      <c r="AX11" s="51"/>
      <c r="AY11" s="58"/>
      <c r="AZ11" s="58"/>
      <c r="BA11" s="58"/>
      <c r="BB11" s="46" t="str">
        <f>I10</f>
        <v>商业</v>
      </c>
      <c r="BC11" s="46">
        <f>K10</f>
        <v>0</v>
      </c>
      <c r="BD11" s="46">
        <f>M10</f>
        <v>0</v>
      </c>
      <c r="BE11" s="46">
        <f>O10</f>
        <v>0</v>
      </c>
      <c r="BF11" s="46">
        <f>Q10</f>
        <v>0</v>
      </c>
      <c r="BG11" s="46">
        <f>S10</f>
        <v>0</v>
      </c>
      <c r="BH11" s="46">
        <f>U10</f>
        <v>0</v>
      </c>
      <c r="BI11" s="46">
        <f>W10</f>
        <v>0</v>
      </c>
      <c r="BJ11" s="46">
        <f>Y10</f>
        <v>0</v>
      </c>
      <c r="BK11" s="46">
        <f>AA10</f>
        <v>0</v>
      </c>
      <c r="BL11" s="51"/>
      <c r="BM11" s="913" t="str">
        <f>AD10</f>
        <v>公共配套设施</v>
      </c>
      <c r="BN11" s="913" t="str">
        <f>AF10</f>
        <v>公共配套设施</v>
      </c>
      <c r="BO11" s="49" t="str">
        <f>AH10</f>
        <v>物业管理用房</v>
      </c>
      <c r="BP11" s="49" t="str">
        <f>AJ10</f>
        <v>物业管理用房</v>
      </c>
      <c r="BQ11" s="49" t="str">
        <f>AL10</f>
        <v>设备及其他</v>
      </c>
      <c r="BR11" s="49" t="str">
        <f>AN10</f>
        <v>设备及其他</v>
      </c>
      <c r="BS11" s="50" t="str">
        <f>AP10</f>
        <v>未注明</v>
      </c>
      <c r="BT11" s="910" t="str">
        <f>AR10</f>
        <v>未注明</v>
      </c>
    </row>
    <row r="12" spans="1:72" s="15" customFormat="1" ht="12.75">
      <c r="A12" s="68"/>
      <c r="B12" s="68"/>
      <c r="C12" s="68"/>
      <c r="D12" s="68"/>
      <c r="E12" s="68"/>
      <c r="F12" s="68"/>
      <c r="G12" s="69"/>
      <c r="H12" s="70"/>
      <c r="I12" s="909"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2" t="s">
        <v>167</v>
      </c>
      <c r="W12" s="14" t="s">
        <v>166</v>
      </c>
      <c r="X12" s="14" t="s">
        <v>167</v>
      </c>
      <c r="Y12" s="14" t="s">
        <v>166</v>
      </c>
      <c r="Z12" s="14" t="s">
        <v>167</v>
      </c>
      <c r="AA12" s="14" t="s">
        <v>166</v>
      </c>
      <c r="AB12" s="14" t="s">
        <v>167</v>
      </c>
      <c r="AC12" s="71"/>
      <c r="AD12" s="909" t="s">
        <v>166</v>
      </c>
      <c r="AE12" s="14" t="s">
        <v>167</v>
      </c>
      <c r="AF12" s="14" t="s">
        <v>166</v>
      </c>
      <c r="AG12" s="14" t="s">
        <v>167</v>
      </c>
      <c r="AH12" s="14" t="s">
        <v>166</v>
      </c>
      <c r="AI12" s="14" t="s">
        <v>167</v>
      </c>
      <c r="AJ12" s="14" t="s">
        <v>166</v>
      </c>
      <c r="AK12" s="14" t="s">
        <v>167</v>
      </c>
      <c r="AL12" s="14" t="s">
        <v>166</v>
      </c>
      <c r="AM12" s="14" t="s">
        <v>167</v>
      </c>
      <c r="AN12" s="14" t="s">
        <v>166</v>
      </c>
      <c r="AO12" s="14" t="s">
        <v>167</v>
      </c>
      <c r="AP12" s="1030" t="s">
        <v>166</v>
      </c>
      <c r="AQ12" s="1030" t="s">
        <v>167</v>
      </c>
      <c r="AR12" s="1036" t="s">
        <v>166</v>
      </c>
      <c r="AS12" s="1035" t="s">
        <v>167</v>
      </c>
      <c r="AT12" s="72"/>
      <c r="AU12" s="68"/>
      <c r="AV12" s="73"/>
      <c r="AW12" s="38"/>
      <c r="AX12" s="73"/>
      <c r="AY12" s="74"/>
      <c r="AZ12" s="58"/>
      <c r="BA12" s="63"/>
      <c r="BB12" s="49" t="str">
        <f>I11</f>
        <v>独立商业</v>
      </c>
      <c r="BC12" s="75">
        <f>K11</f>
        <v>0</v>
      </c>
      <c r="BD12" s="75">
        <f>M11</f>
        <v>0</v>
      </c>
      <c r="BE12" s="46">
        <f>O11</f>
        <v>0</v>
      </c>
      <c r="BF12" s="46">
        <f>Q11</f>
        <v>0</v>
      </c>
      <c r="BG12" s="46">
        <f>S11</f>
        <v>0</v>
      </c>
      <c r="BH12" s="46">
        <f>U11</f>
        <v>0</v>
      </c>
      <c r="BI12" s="46">
        <f>W11</f>
        <v>0</v>
      </c>
      <c r="BJ12" s="46">
        <f>Y11</f>
        <v>0</v>
      </c>
      <c r="BK12" s="46">
        <f>AA11</f>
        <v>0</v>
      </c>
      <c r="BL12" s="51"/>
      <c r="BM12" s="913" t="str">
        <f>AD11</f>
        <v>（住宅）</v>
      </c>
      <c r="BN12" s="913" t="str">
        <f>AF11</f>
        <v>（住宅）</v>
      </c>
      <c r="BO12" s="49" t="str">
        <f>AH11</f>
        <v>（住宅、计出让金）</v>
      </c>
      <c r="BP12" s="49" t="str">
        <f>AJ11</f>
        <v>（住宅、计出让金）</v>
      </c>
      <c r="BQ12" s="49">
        <f>AL11</f>
        <v>0</v>
      </c>
      <c r="BR12" s="49">
        <f>AN11</f>
        <v>0</v>
      </c>
      <c r="BS12" s="50">
        <f>AP11</f>
        <v>0</v>
      </c>
      <c r="BT12" s="910">
        <f>AR11</f>
        <v>0</v>
      </c>
    </row>
    <row r="13" spans="1:72" s="15" customFormat="1" ht="12.75">
      <c r="A13" s="2300" t="s">
        <v>3254</v>
      </c>
      <c r="B13" s="2300">
        <v>3.5</v>
      </c>
      <c r="C13" s="2300"/>
      <c r="D13" s="2301" t="s">
        <v>3260</v>
      </c>
      <c r="E13" s="23">
        <f t="shared" ref="E13:E20" si="6">IF($C$3="是",ROUND($A$3*G13/$B$3,2),ROUND($A$3*(G13-AT13)/$B$3,2))</f>
        <v>86493.04</v>
      </c>
      <c r="F13" s="76"/>
      <c r="G13" s="77">
        <f t="shared" ref="G13:G20" si="7">H13+AC13+AT13</f>
        <v>302725.5</v>
      </c>
      <c r="H13" s="29">
        <f t="shared" ref="H13:H20" si="8">SUMIF(I$12:AB$12,"总值",I13:AB13)</f>
        <v>302725.5</v>
      </c>
      <c r="I13" s="2303">
        <v>302725.5</v>
      </c>
      <c r="J13" s="2303"/>
      <c r="K13" s="2303"/>
      <c r="L13" s="2303"/>
      <c r="M13" s="2303"/>
      <c r="N13" s="78"/>
      <c r="O13" s="78"/>
      <c r="P13" s="78"/>
      <c r="Q13" s="78"/>
      <c r="R13" s="78"/>
      <c r="S13" s="78"/>
      <c r="T13" s="78"/>
      <c r="U13" s="78"/>
      <c r="V13" s="78"/>
      <c r="W13" s="78"/>
      <c r="X13" s="78"/>
      <c r="Y13" s="78"/>
      <c r="Z13" s="78"/>
      <c r="AA13" s="78"/>
      <c r="AB13" s="78"/>
      <c r="AC13" s="23">
        <f t="shared" ref="AC13:AC20" si="9">SUMIF(AD$12:AS$12,"总值",AD13:AS13)</f>
        <v>0</v>
      </c>
      <c r="AD13" s="2307"/>
      <c r="AE13" s="2307"/>
      <c r="AF13" s="2307"/>
      <c r="AG13" s="2307"/>
      <c r="AH13" s="2307"/>
      <c r="AI13" s="2307"/>
      <c r="AJ13" s="2307"/>
      <c r="AK13" s="2307"/>
      <c r="AL13" s="2307"/>
      <c r="AM13" s="2307"/>
      <c r="AN13" s="2307"/>
      <c r="AO13" s="2307"/>
      <c r="AP13" s="2307"/>
      <c r="AQ13" s="2307"/>
      <c r="AR13" s="2307"/>
      <c r="AS13" s="2307"/>
      <c r="AT13" s="2308"/>
      <c r="AU13" s="2309"/>
      <c r="AV13" s="14" t="str">
        <f t="shared" ref="AV13:AX20" si="10">A13</f>
        <v>容积率</v>
      </c>
      <c r="AW13" s="14">
        <f t="shared" si="10"/>
        <v>3.5</v>
      </c>
      <c r="AX13" s="14">
        <f t="shared" si="10"/>
        <v>0</v>
      </c>
      <c r="AY13" s="909">
        <f t="shared" ref="AY13:AY20" si="11">ROUND($AY$6*AZ13/$AZ$5,2)</f>
        <v>86493.04</v>
      </c>
      <c r="AZ13" s="23">
        <f t="shared" ref="AZ13:AZ20" si="12">BA13+BL13</f>
        <v>302725.5</v>
      </c>
      <c r="BA13" s="23">
        <f t="shared" ref="BA13:BA20" si="13">SUM(BB13:BK13)</f>
        <v>302725.5</v>
      </c>
      <c r="BB13" s="23">
        <f t="shared" ref="BB13:BB20" si="14">IF($D13="是",I13-J13,0)</f>
        <v>302725.5</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300" t="s">
        <v>3255</v>
      </c>
      <c r="B14" s="3390">
        <v>0.4</v>
      </c>
      <c r="C14" s="2302"/>
      <c r="D14" s="2301"/>
      <c r="E14" s="23">
        <f t="shared" si="6"/>
        <v>0</v>
      </c>
      <c r="F14" s="76"/>
      <c r="G14" s="77">
        <f t="shared" si="7"/>
        <v>0</v>
      </c>
      <c r="H14" s="29">
        <f t="shared" si="8"/>
        <v>0</v>
      </c>
      <c r="I14" s="2303"/>
      <c r="J14" s="2303"/>
      <c r="K14" s="2303"/>
      <c r="L14" s="2303"/>
      <c r="M14" s="2303"/>
      <c r="N14" s="78"/>
      <c r="O14" s="78"/>
      <c r="P14" s="78"/>
      <c r="Q14" s="78"/>
      <c r="R14" s="78"/>
      <c r="S14" s="78"/>
      <c r="T14" s="78"/>
      <c r="U14" s="78"/>
      <c r="V14" s="78"/>
      <c r="W14" s="78"/>
      <c r="X14" s="78"/>
      <c r="Y14" s="78"/>
      <c r="Z14" s="78"/>
      <c r="AA14" s="78"/>
      <c r="AB14" s="78"/>
      <c r="AC14" s="23">
        <f t="shared" si="9"/>
        <v>0</v>
      </c>
      <c r="AD14" s="2307"/>
      <c r="AE14" s="2307"/>
      <c r="AF14" s="2307"/>
      <c r="AG14" s="2307"/>
      <c r="AH14" s="2307"/>
      <c r="AI14" s="2307"/>
      <c r="AJ14" s="2307"/>
      <c r="AK14" s="2307"/>
      <c r="AL14" s="2307"/>
      <c r="AM14" s="2307"/>
      <c r="AN14" s="2307"/>
      <c r="AO14" s="2307"/>
      <c r="AP14" s="2307"/>
      <c r="AQ14" s="2307"/>
      <c r="AR14" s="2307"/>
      <c r="AS14" s="2307"/>
      <c r="AT14" s="2308"/>
      <c r="AU14" s="2309"/>
      <c r="AV14" s="14" t="str">
        <f t="shared" si="10"/>
        <v>建筑密度</v>
      </c>
      <c r="AW14" s="14">
        <f t="shared" si="10"/>
        <v>0.4</v>
      </c>
      <c r="AX14" s="14">
        <f t="shared" si="10"/>
        <v>0</v>
      </c>
      <c r="AY14" s="909">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300"/>
      <c r="B15" s="2300"/>
      <c r="C15" s="2302"/>
      <c r="D15" s="2301"/>
      <c r="E15" s="23">
        <f t="shared" si="6"/>
        <v>0</v>
      </c>
      <c r="F15" s="76"/>
      <c r="G15" s="77">
        <f t="shared" si="7"/>
        <v>0</v>
      </c>
      <c r="H15" s="29">
        <f t="shared" si="8"/>
        <v>0</v>
      </c>
      <c r="I15" s="2303"/>
      <c r="J15" s="2303"/>
      <c r="K15" s="2303"/>
      <c r="L15" s="2303"/>
      <c r="M15" s="2303"/>
      <c r="N15" s="78"/>
      <c r="O15" s="78"/>
      <c r="P15" s="78"/>
      <c r="Q15" s="78"/>
      <c r="R15" s="78"/>
      <c r="S15" s="78"/>
      <c r="T15" s="78"/>
      <c r="U15" s="78"/>
      <c r="V15" s="78"/>
      <c r="W15" s="78"/>
      <c r="X15" s="78"/>
      <c r="Y15" s="78"/>
      <c r="Z15" s="78"/>
      <c r="AA15" s="78"/>
      <c r="AB15" s="78"/>
      <c r="AC15" s="23">
        <f t="shared" si="9"/>
        <v>0</v>
      </c>
      <c r="AD15" s="2307"/>
      <c r="AE15" s="2307"/>
      <c r="AF15" s="2307"/>
      <c r="AG15" s="2307"/>
      <c r="AH15" s="2307"/>
      <c r="AI15" s="2307"/>
      <c r="AJ15" s="2307"/>
      <c r="AK15" s="2307"/>
      <c r="AL15" s="2307"/>
      <c r="AM15" s="2307"/>
      <c r="AN15" s="2307"/>
      <c r="AO15" s="2307"/>
      <c r="AP15" s="2307"/>
      <c r="AQ15" s="2307"/>
      <c r="AR15" s="2307"/>
      <c r="AS15" s="2307"/>
      <c r="AT15" s="2308"/>
      <c r="AU15" s="2309"/>
      <c r="AV15" s="14">
        <f t="shared" si="10"/>
        <v>0</v>
      </c>
      <c r="AW15" s="14">
        <f t="shared" si="10"/>
        <v>0</v>
      </c>
      <c r="AX15" s="14">
        <f t="shared" si="10"/>
        <v>0</v>
      </c>
      <c r="AY15" s="909">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300"/>
      <c r="B16" s="2300"/>
      <c r="C16" s="2302"/>
      <c r="D16" s="2301"/>
      <c r="E16" s="23">
        <f t="shared" si="6"/>
        <v>0</v>
      </c>
      <c r="F16" s="76"/>
      <c r="G16" s="77">
        <f t="shared" si="7"/>
        <v>0</v>
      </c>
      <c r="H16" s="29">
        <f t="shared" si="8"/>
        <v>0</v>
      </c>
      <c r="I16" s="2303"/>
      <c r="J16" s="2303"/>
      <c r="K16" s="2303"/>
      <c r="L16" s="2303"/>
      <c r="M16" s="2303"/>
      <c r="N16" s="78"/>
      <c r="O16" s="78"/>
      <c r="P16" s="78"/>
      <c r="Q16" s="78"/>
      <c r="R16" s="78"/>
      <c r="S16" s="78"/>
      <c r="T16" s="78"/>
      <c r="U16" s="78"/>
      <c r="V16" s="78"/>
      <c r="W16" s="78"/>
      <c r="X16" s="78"/>
      <c r="Y16" s="78"/>
      <c r="Z16" s="78"/>
      <c r="AA16" s="78"/>
      <c r="AB16" s="78"/>
      <c r="AC16" s="23">
        <f t="shared" si="9"/>
        <v>0</v>
      </c>
      <c r="AD16" s="2307"/>
      <c r="AE16" s="2307"/>
      <c r="AF16" s="2307"/>
      <c r="AG16" s="2307"/>
      <c r="AH16" s="2307"/>
      <c r="AI16" s="2307"/>
      <c r="AJ16" s="2307"/>
      <c r="AK16" s="2307"/>
      <c r="AL16" s="2307"/>
      <c r="AM16" s="2307"/>
      <c r="AN16" s="2307"/>
      <c r="AO16" s="2307"/>
      <c r="AP16" s="2307"/>
      <c r="AQ16" s="2307"/>
      <c r="AR16" s="2307"/>
      <c r="AS16" s="2307"/>
      <c r="AT16" s="2308"/>
      <c r="AU16" s="2309"/>
      <c r="AV16" s="14">
        <f t="shared" si="10"/>
        <v>0</v>
      </c>
      <c r="AW16" s="14">
        <f t="shared" si="10"/>
        <v>0</v>
      </c>
      <c r="AX16" s="14">
        <f t="shared" si="10"/>
        <v>0</v>
      </c>
      <c r="AY16" s="909">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300" t="s">
        <v>3256</v>
      </c>
      <c r="B17" s="2300">
        <f>I13/(B14*A3)</f>
        <v>8.7499959534316289</v>
      </c>
      <c r="C17" s="2302"/>
      <c r="D17" s="2301"/>
      <c r="E17" s="23">
        <f t="shared" si="6"/>
        <v>0</v>
      </c>
      <c r="F17" s="76"/>
      <c r="G17" s="77">
        <f t="shared" si="7"/>
        <v>0</v>
      </c>
      <c r="H17" s="29">
        <f t="shared" si="8"/>
        <v>0</v>
      </c>
      <c r="I17" s="2303"/>
      <c r="J17" s="2303"/>
      <c r="K17" s="2303"/>
      <c r="L17" s="2303"/>
      <c r="M17" s="2303"/>
      <c r="N17" s="78"/>
      <c r="O17" s="78"/>
      <c r="P17" s="78"/>
      <c r="Q17" s="78"/>
      <c r="R17" s="78"/>
      <c r="S17" s="78"/>
      <c r="T17" s="78"/>
      <c r="U17" s="78"/>
      <c r="V17" s="78"/>
      <c r="W17" s="78"/>
      <c r="X17" s="78"/>
      <c r="Y17" s="78"/>
      <c r="Z17" s="78"/>
      <c r="AA17" s="78"/>
      <c r="AB17" s="78"/>
      <c r="AC17" s="23">
        <f t="shared" si="9"/>
        <v>0</v>
      </c>
      <c r="AD17" s="2307"/>
      <c r="AE17" s="2307"/>
      <c r="AF17" s="2307"/>
      <c r="AG17" s="2307"/>
      <c r="AH17" s="2307"/>
      <c r="AI17" s="2307"/>
      <c r="AJ17" s="2307"/>
      <c r="AK17" s="2307"/>
      <c r="AL17" s="2307"/>
      <c r="AM17" s="2307"/>
      <c r="AN17" s="2307"/>
      <c r="AO17" s="2307"/>
      <c r="AP17" s="2307"/>
      <c r="AQ17" s="2307"/>
      <c r="AR17" s="2307"/>
      <c r="AS17" s="2307"/>
      <c r="AT17" s="2308"/>
      <c r="AU17" s="2309"/>
      <c r="AV17" s="14" t="str">
        <f t="shared" si="10"/>
        <v>估算楼层</v>
      </c>
      <c r="AW17" s="14">
        <f t="shared" si="10"/>
        <v>8.7499959534316289</v>
      </c>
      <c r="AX17" s="14">
        <f t="shared" si="10"/>
        <v>0</v>
      </c>
      <c r="AY17" s="909">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1"/>
      <c r="E18" s="81">
        <f t="shared" si="6"/>
        <v>0</v>
      </c>
      <c r="F18" s="82"/>
      <c r="G18" s="83">
        <f t="shared" si="7"/>
        <v>0</v>
      </c>
      <c r="H18" s="84">
        <f t="shared" si="8"/>
        <v>0</v>
      </c>
      <c r="I18" s="1180"/>
      <c r="J18" s="85"/>
      <c r="K18" s="1180"/>
      <c r="L18" s="85"/>
      <c r="M18" s="85"/>
      <c r="N18" s="85"/>
      <c r="O18" s="85"/>
      <c r="P18" s="85"/>
      <c r="Q18" s="85"/>
      <c r="R18" s="85"/>
      <c r="S18" s="85"/>
      <c r="T18" s="85"/>
      <c r="U18" s="85"/>
      <c r="V18" s="85"/>
      <c r="W18" s="85"/>
      <c r="X18" s="85"/>
      <c r="Y18" s="85"/>
      <c r="Z18" s="85"/>
      <c r="AA18" s="85"/>
      <c r="AB18" s="85"/>
      <c r="AC18" s="81">
        <f t="shared" si="9"/>
        <v>0</v>
      </c>
      <c r="AD18" s="86"/>
      <c r="AE18" s="86"/>
      <c r="AF18" s="1180"/>
      <c r="AG18" s="86"/>
      <c r="AH18" s="86"/>
      <c r="AI18" s="86"/>
      <c r="AJ18" s="86"/>
      <c r="AK18" s="86"/>
      <c r="AL18" s="1157"/>
      <c r="AM18" s="86"/>
      <c r="AN18" s="1180"/>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3391"/>
      <c r="C19" s="1180"/>
      <c r="D19" s="2301"/>
      <c r="E19" s="81">
        <f t="shared" si="6"/>
        <v>0</v>
      </c>
      <c r="F19" s="82"/>
      <c r="G19" s="83">
        <f t="shared" si="7"/>
        <v>0</v>
      </c>
      <c r="H19" s="84">
        <f t="shared" si="8"/>
        <v>0</v>
      </c>
      <c r="I19" s="1180"/>
      <c r="J19" s="85"/>
      <c r="K19" s="1180"/>
      <c r="L19" s="85"/>
      <c r="M19" s="85"/>
      <c r="N19" s="85"/>
      <c r="O19" s="85"/>
      <c r="P19" s="85"/>
      <c r="Q19" s="85"/>
      <c r="R19" s="85"/>
      <c r="S19" s="85"/>
      <c r="T19" s="85"/>
      <c r="U19" s="85"/>
      <c r="V19" s="85"/>
      <c r="W19" s="85"/>
      <c r="X19" s="85"/>
      <c r="Y19" s="85"/>
      <c r="Z19" s="85"/>
      <c r="AA19" s="85"/>
      <c r="AB19" s="85"/>
      <c r="AC19" s="81">
        <f t="shared" si="9"/>
        <v>0</v>
      </c>
      <c r="AD19" s="86"/>
      <c r="AE19" s="86"/>
      <c r="AF19" s="1180"/>
      <c r="AG19" s="86"/>
      <c r="AH19" s="86"/>
      <c r="AI19" s="86"/>
      <c r="AJ19" s="86"/>
      <c r="AK19" s="86"/>
      <c r="AL19" s="86"/>
      <c r="AM19" s="86"/>
      <c r="AN19" s="1180"/>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2"/>
      <c r="C20" s="1180"/>
      <c r="D20" s="2301"/>
      <c r="E20" s="81">
        <f t="shared" si="6"/>
        <v>0</v>
      </c>
      <c r="F20" s="82"/>
      <c r="G20" s="83">
        <f t="shared" si="7"/>
        <v>0</v>
      </c>
      <c r="H20" s="84">
        <f t="shared" si="8"/>
        <v>0</v>
      </c>
      <c r="I20" s="1180"/>
      <c r="J20" s="85"/>
      <c r="K20" s="1180"/>
      <c r="L20" s="85"/>
      <c r="M20" s="85"/>
      <c r="N20" s="85"/>
      <c r="O20" s="85"/>
      <c r="P20" s="85"/>
      <c r="Q20" s="85"/>
      <c r="R20" s="85"/>
      <c r="S20" s="85"/>
      <c r="T20" s="85"/>
      <c r="U20" s="85"/>
      <c r="V20" s="85"/>
      <c r="W20" s="85"/>
      <c r="X20" s="85"/>
      <c r="Y20" s="85"/>
      <c r="Z20" s="85"/>
      <c r="AA20" s="85"/>
      <c r="AB20" s="85"/>
      <c r="AC20" s="81">
        <f t="shared" si="9"/>
        <v>0</v>
      </c>
      <c r="AD20" s="86"/>
      <c r="AE20" s="86"/>
      <c r="AF20" s="1180"/>
      <c r="AG20" s="86"/>
      <c r="AH20" s="86"/>
      <c r="AI20" s="86"/>
      <c r="AJ20" s="86"/>
      <c r="AK20" s="86"/>
      <c r="AL20" s="86"/>
      <c r="AM20" s="86"/>
      <c r="AN20" s="1180"/>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9"/>
      <c r="C21" s="1180"/>
      <c r="D21" s="2301"/>
      <c r="E21" s="81">
        <f t="shared" ref="E21:E112" si="33">IF($C$3="是",ROUND($A$3*G21/$B$3,2),ROUND($A$3*(G21-AT21)/$B$3,2))</f>
        <v>0</v>
      </c>
      <c r="F21" s="82"/>
      <c r="G21" s="83">
        <f t="shared" ref="G21:G109" si="34">H21+AC21+AT21</f>
        <v>0</v>
      </c>
      <c r="H21" s="84">
        <f t="shared" ref="H21:H109" si="35">SUMIF(I$12:AB$12,"总值",I21:AB21)</f>
        <v>0</v>
      </c>
      <c r="I21" s="1180"/>
      <c r="J21" s="85"/>
      <c r="K21" s="118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1"/>
      <c r="AG21" s="86"/>
      <c r="AH21" s="86"/>
      <c r="AI21" s="86"/>
      <c r="AJ21" s="86"/>
      <c r="AK21" s="86"/>
      <c r="AL21" s="86"/>
      <c r="AM21" s="86"/>
      <c r="AN21" s="1157"/>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9"/>
      <c r="C22" s="1180"/>
      <c r="D22" s="2301"/>
      <c r="E22" s="81">
        <f t="shared" si="33"/>
        <v>0</v>
      </c>
      <c r="F22" s="82"/>
      <c r="G22" s="83">
        <f t="shared" si="34"/>
        <v>0</v>
      </c>
      <c r="H22" s="84">
        <f t="shared" si="35"/>
        <v>0</v>
      </c>
      <c r="I22" s="1180"/>
      <c r="J22" s="85"/>
      <c r="K22" s="1180"/>
      <c r="L22" s="85"/>
      <c r="M22" s="1157"/>
      <c r="N22" s="85"/>
      <c r="O22" s="85"/>
      <c r="P22" s="85"/>
      <c r="Q22" s="85"/>
      <c r="R22" s="85"/>
      <c r="S22" s="85"/>
      <c r="T22" s="85"/>
      <c r="U22" s="85"/>
      <c r="V22" s="85"/>
      <c r="W22" s="85"/>
      <c r="X22" s="85"/>
      <c r="Y22" s="85"/>
      <c r="Z22" s="85"/>
      <c r="AA22" s="85"/>
      <c r="AB22" s="85"/>
      <c r="AC22" s="81">
        <f t="shared" si="36"/>
        <v>0</v>
      </c>
      <c r="AD22" s="1157"/>
      <c r="AE22" s="86"/>
      <c r="AF22" s="1181"/>
      <c r="AG22" s="86"/>
      <c r="AH22" s="86"/>
      <c r="AI22" s="86"/>
      <c r="AJ22" s="86"/>
      <c r="AK22" s="86"/>
      <c r="AL22" s="1157"/>
      <c r="AM22" s="86"/>
      <c r="AN22" s="1157"/>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9"/>
      <c r="C23" s="1180"/>
      <c r="D23" s="2301"/>
      <c r="E23" s="81">
        <f t="shared" si="33"/>
        <v>0</v>
      </c>
      <c r="F23" s="82"/>
      <c r="G23" s="83">
        <f t="shared" si="34"/>
        <v>0</v>
      </c>
      <c r="H23" s="84">
        <f t="shared" si="35"/>
        <v>0</v>
      </c>
      <c r="I23" s="1180"/>
      <c r="J23" s="85"/>
      <c r="K23" s="1180"/>
      <c r="L23" s="85"/>
      <c r="M23" s="1157"/>
      <c r="N23" s="85"/>
      <c r="O23" s="85"/>
      <c r="P23" s="85"/>
      <c r="Q23" s="85"/>
      <c r="R23" s="85"/>
      <c r="S23" s="85"/>
      <c r="T23" s="85"/>
      <c r="U23" s="85"/>
      <c r="V23" s="85"/>
      <c r="W23" s="85"/>
      <c r="X23" s="85"/>
      <c r="Y23" s="85"/>
      <c r="Z23" s="85"/>
      <c r="AA23" s="85"/>
      <c r="AB23" s="85"/>
      <c r="AC23" s="81">
        <f t="shared" si="36"/>
        <v>0</v>
      </c>
      <c r="AD23" s="86"/>
      <c r="AE23" s="86"/>
      <c r="AF23" s="1181"/>
      <c r="AG23" s="86"/>
      <c r="AH23" s="86"/>
      <c r="AI23" s="86"/>
      <c r="AJ23" s="86"/>
      <c r="AK23" s="86"/>
      <c r="AL23" s="1157"/>
      <c r="AM23" s="86"/>
      <c r="AN23" s="1157"/>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9"/>
      <c r="C24" s="1180"/>
      <c r="D24" s="2301"/>
      <c r="E24" s="81">
        <f t="shared" si="33"/>
        <v>0</v>
      </c>
      <c r="F24" s="82"/>
      <c r="G24" s="83">
        <f t="shared" si="34"/>
        <v>0</v>
      </c>
      <c r="H24" s="84">
        <f t="shared" si="35"/>
        <v>0</v>
      </c>
      <c r="I24" s="1180"/>
      <c r="J24" s="85"/>
      <c r="K24" s="1180"/>
      <c r="L24" s="85"/>
      <c r="M24" s="85"/>
      <c r="N24" s="85"/>
      <c r="O24" s="1157"/>
      <c r="P24" s="85"/>
      <c r="Q24" s="85"/>
      <c r="R24" s="85"/>
      <c r="S24" s="85"/>
      <c r="T24" s="85"/>
      <c r="U24" s="85"/>
      <c r="V24" s="85"/>
      <c r="W24" s="85"/>
      <c r="X24" s="85"/>
      <c r="Y24" s="85"/>
      <c r="Z24" s="85"/>
      <c r="AA24" s="85"/>
      <c r="AB24" s="85"/>
      <c r="AC24" s="81">
        <f t="shared" si="36"/>
        <v>0</v>
      </c>
      <c r="AD24" s="86"/>
      <c r="AE24" s="86"/>
      <c r="AF24" s="1181"/>
      <c r="AG24" s="86"/>
      <c r="AH24" s="86"/>
      <c r="AI24" s="86"/>
      <c r="AJ24" s="86"/>
      <c r="AK24" s="86"/>
      <c r="AL24" s="86"/>
      <c r="AM24" s="86"/>
      <c r="AN24" s="1157"/>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9"/>
      <c r="C25" s="1180"/>
      <c r="D25" s="2301"/>
      <c r="E25" s="81">
        <f t="shared" si="33"/>
        <v>0</v>
      </c>
      <c r="F25" s="82"/>
      <c r="G25" s="83">
        <f t="shared" si="34"/>
        <v>0</v>
      </c>
      <c r="H25" s="84">
        <f t="shared" si="35"/>
        <v>0</v>
      </c>
      <c r="I25" s="1180"/>
      <c r="J25" s="85"/>
      <c r="K25" s="1180"/>
      <c r="L25" s="85"/>
      <c r="M25" s="85"/>
      <c r="N25" s="85"/>
      <c r="O25" s="85"/>
      <c r="P25" s="85"/>
      <c r="Q25" s="85"/>
      <c r="R25" s="85"/>
      <c r="S25" s="85"/>
      <c r="T25" s="85"/>
      <c r="U25" s="85"/>
      <c r="V25" s="85"/>
      <c r="W25" s="85"/>
      <c r="X25" s="85"/>
      <c r="Y25" s="85"/>
      <c r="Z25" s="85"/>
      <c r="AA25" s="85"/>
      <c r="AB25" s="85"/>
      <c r="AC25" s="81">
        <f t="shared" si="36"/>
        <v>0</v>
      </c>
      <c r="AD25" s="86"/>
      <c r="AE25" s="86"/>
      <c r="AF25" s="1181"/>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9"/>
      <c r="C26" s="1180"/>
      <c r="D26" s="2301"/>
      <c r="E26" s="81">
        <f t="shared" si="33"/>
        <v>0</v>
      </c>
      <c r="F26" s="82"/>
      <c r="G26" s="83">
        <f t="shared" si="34"/>
        <v>0</v>
      </c>
      <c r="H26" s="84">
        <f t="shared" si="35"/>
        <v>0</v>
      </c>
      <c r="I26" s="1180"/>
      <c r="J26" s="85"/>
      <c r="K26" s="1180"/>
      <c r="L26" s="85"/>
      <c r="M26" s="85"/>
      <c r="N26" s="85"/>
      <c r="O26" s="85"/>
      <c r="P26" s="85"/>
      <c r="Q26" s="85"/>
      <c r="R26" s="85"/>
      <c r="S26" s="85"/>
      <c r="T26" s="85"/>
      <c r="U26" s="85"/>
      <c r="V26" s="85"/>
      <c r="W26" s="85"/>
      <c r="X26" s="85"/>
      <c r="Y26" s="85"/>
      <c r="Z26" s="85"/>
      <c r="AA26" s="85"/>
      <c r="AB26" s="85"/>
      <c r="AC26" s="81">
        <f t="shared" si="36"/>
        <v>0</v>
      </c>
      <c r="AD26" s="86"/>
      <c r="AE26" s="86"/>
      <c r="AF26" s="1181"/>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9"/>
      <c r="C27" s="1180"/>
      <c r="D27" s="2301"/>
      <c r="E27" s="81">
        <f t="shared" si="33"/>
        <v>0</v>
      </c>
      <c r="F27" s="82"/>
      <c r="G27" s="83">
        <f t="shared" si="34"/>
        <v>0</v>
      </c>
      <c r="H27" s="84">
        <f t="shared" si="35"/>
        <v>0</v>
      </c>
      <c r="I27" s="1180"/>
      <c r="J27" s="85"/>
      <c r="K27" s="1180"/>
      <c r="L27" s="85"/>
      <c r="M27" s="85"/>
      <c r="N27" s="85"/>
      <c r="O27" s="85"/>
      <c r="P27" s="85"/>
      <c r="Q27" s="85"/>
      <c r="R27" s="85"/>
      <c r="S27" s="85"/>
      <c r="T27" s="85"/>
      <c r="U27" s="85"/>
      <c r="V27" s="85"/>
      <c r="W27" s="85"/>
      <c r="X27" s="85"/>
      <c r="Y27" s="85"/>
      <c r="Z27" s="85"/>
      <c r="AA27" s="85"/>
      <c r="AB27" s="85"/>
      <c r="AC27" s="81">
        <f t="shared" si="36"/>
        <v>0</v>
      </c>
      <c r="AD27" s="86"/>
      <c r="AE27" s="86"/>
      <c r="AF27" s="1181"/>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9"/>
      <c r="C28" s="1180"/>
      <c r="D28" s="2301"/>
      <c r="E28" s="81">
        <f t="shared" si="33"/>
        <v>0</v>
      </c>
      <c r="F28" s="82"/>
      <c r="G28" s="83">
        <f t="shared" si="34"/>
        <v>0</v>
      </c>
      <c r="H28" s="84">
        <f t="shared" si="35"/>
        <v>0</v>
      </c>
      <c r="I28" s="1180"/>
      <c r="J28" s="85"/>
      <c r="K28" s="1180"/>
      <c r="L28" s="85"/>
      <c r="M28" s="85"/>
      <c r="N28" s="85"/>
      <c r="O28" s="85"/>
      <c r="P28" s="85"/>
      <c r="Q28" s="85"/>
      <c r="R28" s="85"/>
      <c r="S28" s="85"/>
      <c r="T28" s="85"/>
      <c r="U28" s="85"/>
      <c r="V28" s="85"/>
      <c r="W28" s="85"/>
      <c r="X28" s="85"/>
      <c r="Y28" s="85"/>
      <c r="Z28" s="85"/>
      <c r="AA28" s="85"/>
      <c r="AB28" s="85"/>
      <c r="AC28" s="81">
        <f t="shared" si="36"/>
        <v>0</v>
      </c>
      <c r="AD28" s="86"/>
      <c r="AE28" s="86"/>
      <c r="AF28" s="1180"/>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9"/>
      <c r="C29" s="1180"/>
      <c r="D29" s="2301"/>
      <c r="E29" s="81">
        <f t="shared" si="33"/>
        <v>0</v>
      </c>
      <c r="F29" s="82"/>
      <c r="G29" s="83">
        <f t="shared" si="34"/>
        <v>0</v>
      </c>
      <c r="H29" s="84">
        <f t="shared" si="35"/>
        <v>0</v>
      </c>
      <c r="I29" s="1180"/>
      <c r="J29" s="85"/>
      <c r="K29" s="1180"/>
      <c r="L29" s="85"/>
      <c r="M29" s="85"/>
      <c r="N29" s="85"/>
      <c r="O29" s="85"/>
      <c r="P29" s="85"/>
      <c r="Q29" s="85"/>
      <c r="R29" s="85"/>
      <c r="S29" s="85"/>
      <c r="T29" s="85"/>
      <c r="U29" s="85"/>
      <c r="V29" s="85"/>
      <c r="W29" s="85"/>
      <c r="X29" s="85"/>
      <c r="Y29" s="85"/>
      <c r="Z29" s="85"/>
      <c r="AA29" s="85"/>
      <c r="AB29" s="85"/>
      <c r="AC29" s="81">
        <f t="shared" si="36"/>
        <v>0</v>
      </c>
      <c r="AD29" s="86"/>
      <c r="AE29" s="86"/>
      <c r="AF29" s="1180"/>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9"/>
      <c r="C30" s="1180"/>
      <c r="D30" s="2301"/>
      <c r="E30" s="81">
        <f t="shared" si="33"/>
        <v>0</v>
      </c>
      <c r="F30" s="82"/>
      <c r="G30" s="83">
        <f t="shared" si="34"/>
        <v>0</v>
      </c>
      <c r="H30" s="84">
        <f t="shared" si="35"/>
        <v>0</v>
      </c>
      <c r="I30" s="1180"/>
      <c r="J30" s="85"/>
      <c r="K30" s="1180"/>
      <c r="L30" s="85"/>
      <c r="M30" s="85"/>
      <c r="N30" s="85"/>
      <c r="O30" s="85"/>
      <c r="P30" s="85"/>
      <c r="Q30" s="85"/>
      <c r="R30" s="85"/>
      <c r="S30" s="85"/>
      <c r="T30" s="85"/>
      <c r="U30" s="85"/>
      <c r="V30" s="85"/>
      <c r="W30" s="85"/>
      <c r="X30" s="85"/>
      <c r="Y30" s="85"/>
      <c r="Z30" s="85"/>
      <c r="AA30" s="85"/>
      <c r="AB30" s="85"/>
      <c r="AC30" s="81">
        <f t="shared" si="36"/>
        <v>0</v>
      </c>
      <c r="AD30" s="86"/>
      <c r="AE30" s="86"/>
      <c r="AF30" s="1180"/>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9"/>
      <c r="C31" s="1180"/>
      <c r="D31" s="2301"/>
      <c r="E31" s="81">
        <f t="shared" si="33"/>
        <v>0</v>
      </c>
      <c r="F31" s="82"/>
      <c r="G31" s="83">
        <f t="shared" si="34"/>
        <v>0</v>
      </c>
      <c r="H31" s="84">
        <f t="shared" si="35"/>
        <v>0</v>
      </c>
      <c r="I31" s="1180"/>
      <c r="J31" s="85"/>
      <c r="K31" s="1180"/>
      <c r="L31" s="85"/>
      <c r="M31" s="85"/>
      <c r="N31" s="85"/>
      <c r="O31" s="85"/>
      <c r="P31" s="85"/>
      <c r="Q31" s="85"/>
      <c r="R31" s="85"/>
      <c r="S31" s="85"/>
      <c r="T31" s="85"/>
      <c r="U31" s="85"/>
      <c r="V31" s="85"/>
      <c r="W31" s="85"/>
      <c r="X31" s="85"/>
      <c r="Y31" s="85"/>
      <c r="Z31" s="85"/>
      <c r="AA31" s="85"/>
      <c r="AB31" s="85"/>
      <c r="AC31" s="81">
        <f t="shared" si="36"/>
        <v>0</v>
      </c>
      <c r="AD31" s="86"/>
      <c r="AE31" s="86"/>
      <c r="AF31" s="1180"/>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9"/>
      <c r="C32" s="1180"/>
      <c r="D32" s="2301"/>
      <c r="E32" s="81">
        <f t="shared" si="33"/>
        <v>0</v>
      </c>
      <c r="F32" s="82"/>
      <c r="G32" s="83">
        <f t="shared" si="34"/>
        <v>0</v>
      </c>
      <c r="H32" s="84">
        <f t="shared" si="35"/>
        <v>0</v>
      </c>
      <c r="I32" s="1180"/>
      <c r="J32" s="85"/>
      <c r="K32" s="1180"/>
      <c r="L32" s="85"/>
      <c r="M32" s="85"/>
      <c r="N32" s="85"/>
      <c r="O32" s="85"/>
      <c r="P32" s="85"/>
      <c r="Q32" s="85"/>
      <c r="R32" s="85"/>
      <c r="S32" s="85"/>
      <c r="T32" s="85"/>
      <c r="U32" s="85"/>
      <c r="V32" s="85"/>
      <c r="W32" s="85"/>
      <c r="X32" s="85"/>
      <c r="Y32" s="85"/>
      <c r="Z32" s="85"/>
      <c r="AA32" s="85"/>
      <c r="AB32" s="85"/>
      <c r="AC32" s="81">
        <f t="shared" si="36"/>
        <v>0</v>
      </c>
      <c r="AD32" s="86"/>
      <c r="AE32" s="86"/>
      <c r="AF32" s="1180"/>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9"/>
      <c r="C33" s="1180"/>
      <c r="D33" s="2301"/>
      <c r="E33" s="81">
        <f t="shared" si="33"/>
        <v>0</v>
      </c>
      <c r="F33" s="82"/>
      <c r="G33" s="83">
        <f t="shared" si="34"/>
        <v>0</v>
      </c>
      <c r="H33" s="84">
        <f t="shared" si="35"/>
        <v>0</v>
      </c>
      <c r="I33" s="1180"/>
      <c r="J33" s="85"/>
      <c r="K33" s="1180"/>
      <c r="L33" s="85"/>
      <c r="M33" s="85"/>
      <c r="N33" s="85"/>
      <c r="O33" s="85"/>
      <c r="P33" s="85"/>
      <c r="Q33" s="85"/>
      <c r="R33" s="85"/>
      <c r="S33" s="85"/>
      <c r="T33" s="85"/>
      <c r="U33" s="85"/>
      <c r="V33" s="85"/>
      <c r="W33" s="85"/>
      <c r="X33" s="85"/>
      <c r="Y33" s="85"/>
      <c r="Z33" s="85"/>
      <c r="AA33" s="85"/>
      <c r="AB33" s="85"/>
      <c r="AC33" s="81">
        <f t="shared" si="36"/>
        <v>0</v>
      </c>
      <c r="AD33" s="86"/>
      <c r="AE33" s="86"/>
      <c r="AF33" s="1180"/>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9"/>
      <c r="C34" s="1180"/>
      <c r="D34" s="2301"/>
      <c r="E34" s="81">
        <f t="shared" si="33"/>
        <v>0</v>
      </c>
      <c r="F34" s="82"/>
      <c r="G34" s="83">
        <f t="shared" si="34"/>
        <v>0</v>
      </c>
      <c r="H34" s="84">
        <f t="shared" si="35"/>
        <v>0</v>
      </c>
      <c r="I34" s="1180"/>
      <c r="J34" s="85"/>
      <c r="K34" s="1180"/>
      <c r="L34" s="85"/>
      <c r="M34" s="85"/>
      <c r="N34" s="85"/>
      <c r="O34" s="85"/>
      <c r="P34" s="85"/>
      <c r="Q34" s="85"/>
      <c r="R34" s="85"/>
      <c r="S34" s="85"/>
      <c r="T34" s="85"/>
      <c r="U34" s="85"/>
      <c r="V34" s="85"/>
      <c r="W34" s="85"/>
      <c r="X34" s="85"/>
      <c r="Y34" s="85"/>
      <c r="Z34" s="85"/>
      <c r="AA34" s="85"/>
      <c r="AB34" s="85"/>
      <c r="AC34" s="81">
        <f t="shared" si="36"/>
        <v>0</v>
      </c>
      <c r="AD34" s="86"/>
      <c r="AE34" s="86"/>
      <c r="AF34" s="1180"/>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9"/>
      <c r="C35" s="1180"/>
      <c r="D35" s="2301"/>
      <c r="E35" s="81">
        <f t="shared" si="33"/>
        <v>0</v>
      </c>
      <c r="F35" s="82"/>
      <c r="G35" s="83">
        <f t="shared" si="34"/>
        <v>0</v>
      </c>
      <c r="H35" s="84">
        <f t="shared" si="35"/>
        <v>0</v>
      </c>
      <c r="I35" s="1180"/>
      <c r="J35" s="85"/>
      <c r="K35" s="1180"/>
      <c r="L35" s="85"/>
      <c r="M35" s="85"/>
      <c r="N35" s="85"/>
      <c r="O35" s="85"/>
      <c r="P35" s="85"/>
      <c r="Q35" s="85"/>
      <c r="R35" s="85"/>
      <c r="S35" s="85"/>
      <c r="T35" s="85"/>
      <c r="U35" s="85"/>
      <c r="V35" s="85"/>
      <c r="W35" s="85"/>
      <c r="X35" s="85"/>
      <c r="Y35" s="85"/>
      <c r="Z35" s="85"/>
      <c r="AA35" s="85"/>
      <c r="AB35" s="85"/>
      <c r="AC35" s="81">
        <f t="shared" si="36"/>
        <v>0</v>
      </c>
      <c r="AD35" s="86"/>
      <c r="AE35" s="86"/>
      <c r="AF35" s="1180"/>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9"/>
      <c r="C36" s="1180"/>
      <c r="D36" s="2301"/>
      <c r="E36" s="81">
        <f t="shared" si="33"/>
        <v>0</v>
      </c>
      <c r="F36" s="82"/>
      <c r="G36" s="83">
        <f t="shared" si="34"/>
        <v>0</v>
      </c>
      <c r="H36" s="84">
        <f t="shared" si="35"/>
        <v>0</v>
      </c>
      <c r="I36" s="1180"/>
      <c r="J36" s="85"/>
      <c r="K36" s="1180"/>
      <c r="L36" s="85"/>
      <c r="M36" s="85"/>
      <c r="N36" s="85"/>
      <c r="O36" s="85"/>
      <c r="P36" s="85"/>
      <c r="Q36" s="85"/>
      <c r="R36" s="85"/>
      <c r="S36" s="85"/>
      <c r="T36" s="85"/>
      <c r="U36" s="85"/>
      <c r="V36" s="85"/>
      <c r="W36" s="85"/>
      <c r="X36" s="85"/>
      <c r="Y36" s="85"/>
      <c r="Z36" s="85"/>
      <c r="AA36" s="85"/>
      <c r="AB36" s="85"/>
      <c r="AC36" s="81">
        <f t="shared" si="36"/>
        <v>0</v>
      </c>
      <c r="AD36" s="86"/>
      <c r="AE36" s="86"/>
      <c r="AF36" s="1180"/>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9"/>
      <c r="C37" s="1180"/>
      <c r="D37" s="2301"/>
      <c r="E37" s="81">
        <f t="shared" si="33"/>
        <v>0</v>
      </c>
      <c r="F37" s="82"/>
      <c r="G37" s="83">
        <f t="shared" si="34"/>
        <v>0</v>
      </c>
      <c r="H37" s="84">
        <f t="shared" si="35"/>
        <v>0</v>
      </c>
      <c r="I37" s="1180"/>
      <c r="J37" s="85"/>
      <c r="K37" s="1180"/>
      <c r="L37" s="85"/>
      <c r="M37" s="85"/>
      <c r="N37" s="85"/>
      <c r="O37" s="85"/>
      <c r="P37" s="85"/>
      <c r="Q37" s="85"/>
      <c r="R37" s="85"/>
      <c r="S37" s="85"/>
      <c r="T37" s="85"/>
      <c r="U37" s="85"/>
      <c r="V37" s="85"/>
      <c r="W37" s="85"/>
      <c r="X37" s="85"/>
      <c r="Y37" s="85"/>
      <c r="Z37" s="85"/>
      <c r="AA37" s="85"/>
      <c r="AB37" s="85"/>
      <c r="AC37" s="81">
        <f t="shared" si="36"/>
        <v>0</v>
      </c>
      <c r="AD37" s="86"/>
      <c r="AE37" s="86"/>
      <c r="AF37" s="1180"/>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9"/>
      <c r="C38" s="1180"/>
      <c r="D38" s="2301"/>
      <c r="E38" s="81">
        <f t="shared" si="33"/>
        <v>0</v>
      </c>
      <c r="F38" s="82"/>
      <c r="G38" s="83">
        <f t="shared" si="34"/>
        <v>0</v>
      </c>
      <c r="H38" s="84">
        <f t="shared" si="35"/>
        <v>0</v>
      </c>
      <c r="I38" s="1180"/>
      <c r="J38" s="85"/>
      <c r="K38" s="1180"/>
      <c r="L38" s="85"/>
      <c r="M38" s="85"/>
      <c r="N38" s="85"/>
      <c r="O38" s="85"/>
      <c r="P38" s="85"/>
      <c r="Q38" s="85"/>
      <c r="R38" s="85"/>
      <c r="S38" s="85"/>
      <c r="T38" s="85"/>
      <c r="U38" s="85"/>
      <c r="V38" s="85"/>
      <c r="W38" s="85"/>
      <c r="X38" s="85"/>
      <c r="Y38" s="85"/>
      <c r="Z38" s="85"/>
      <c r="AA38" s="85"/>
      <c r="AB38" s="85"/>
      <c r="AC38" s="81">
        <f t="shared" si="36"/>
        <v>0</v>
      </c>
      <c r="AD38" s="86"/>
      <c r="AE38" s="86"/>
      <c r="AF38" s="1180"/>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9"/>
      <c r="C39" s="1180"/>
      <c r="D39" s="2301"/>
      <c r="E39" s="81">
        <f t="shared" si="33"/>
        <v>0</v>
      </c>
      <c r="F39" s="82"/>
      <c r="G39" s="83">
        <f t="shared" si="34"/>
        <v>0</v>
      </c>
      <c r="H39" s="84">
        <f t="shared" si="35"/>
        <v>0</v>
      </c>
      <c r="I39" s="1180"/>
      <c r="J39" s="85"/>
      <c r="K39" s="1180"/>
      <c r="L39" s="85"/>
      <c r="M39" s="85"/>
      <c r="N39" s="85"/>
      <c r="O39" s="85"/>
      <c r="P39" s="85"/>
      <c r="Q39" s="85"/>
      <c r="R39" s="85"/>
      <c r="S39" s="85"/>
      <c r="T39" s="85"/>
      <c r="U39" s="85"/>
      <c r="V39" s="85"/>
      <c r="W39" s="85"/>
      <c r="X39" s="85"/>
      <c r="Y39" s="85"/>
      <c r="Z39" s="85"/>
      <c r="AA39" s="85"/>
      <c r="AB39" s="85"/>
      <c r="AC39" s="81">
        <f t="shared" si="36"/>
        <v>0</v>
      </c>
      <c r="AD39" s="86"/>
      <c r="AE39" s="86"/>
      <c r="AF39" s="1180"/>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9"/>
      <c r="C40" s="1180"/>
      <c r="D40" s="2301"/>
      <c r="E40" s="81">
        <f t="shared" si="33"/>
        <v>0</v>
      </c>
      <c r="F40" s="82"/>
      <c r="G40" s="83">
        <f t="shared" si="34"/>
        <v>0</v>
      </c>
      <c r="H40" s="84">
        <f t="shared" si="35"/>
        <v>0</v>
      </c>
      <c r="I40" s="1180"/>
      <c r="J40" s="85"/>
      <c r="K40" s="1180"/>
      <c r="L40" s="85"/>
      <c r="M40" s="85"/>
      <c r="N40" s="85"/>
      <c r="O40" s="85"/>
      <c r="P40" s="85"/>
      <c r="Q40" s="85"/>
      <c r="R40" s="85"/>
      <c r="S40" s="85"/>
      <c r="T40" s="85"/>
      <c r="U40" s="85"/>
      <c r="V40" s="85"/>
      <c r="W40" s="85"/>
      <c r="X40" s="85"/>
      <c r="Y40" s="85"/>
      <c r="Z40" s="85"/>
      <c r="AA40" s="85"/>
      <c r="AB40" s="85"/>
      <c r="AC40" s="81">
        <f t="shared" si="36"/>
        <v>0</v>
      </c>
      <c r="AD40" s="86"/>
      <c r="AE40" s="86"/>
      <c r="AF40" s="1180"/>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9"/>
      <c r="C41" s="1180"/>
      <c r="D41" s="2301"/>
      <c r="E41" s="81">
        <f t="shared" si="33"/>
        <v>0</v>
      </c>
      <c r="F41" s="82"/>
      <c r="G41" s="83">
        <f t="shared" si="34"/>
        <v>0</v>
      </c>
      <c r="H41" s="84">
        <f t="shared" si="35"/>
        <v>0</v>
      </c>
      <c r="I41" s="1180"/>
      <c r="J41" s="85"/>
      <c r="K41" s="1180"/>
      <c r="L41" s="85"/>
      <c r="M41" s="85"/>
      <c r="N41" s="85"/>
      <c r="O41" s="85"/>
      <c r="P41" s="85"/>
      <c r="Q41" s="85"/>
      <c r="R41" s="85"/>
      <c r="S41" s="85"/>
      <c r="T41" s="85"/>
      <c r="U41" s="85"/>
      <c r="V41" s="85"/>
      <c r="W41" s="85"/>
      <c r="X41" s="85"/>
      <c r="Y41" s="85"/>
      <c r="Z41" s="85"/>
      <c r="AA41" s="85"/>
      <c r="AB41" s="85"/>
      <c r="AC41" s="81">
        <f t="shared" si="36"/>
        <v>0</v>
      </c>
      <c r="AD41" s="86"/>
      <c r="AE41" s="86"/>
      <c r="AF41" s="1180"/>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9"/>
      <c r="C42" s="1180"/>
      <c r="D42" s="2301"/>
      <c r="E42" s="81">
        <f t="shared" si="33"/>
        <v>0</v>
      </c>
      <c r="F42" s="82"/>
      <c r="G42" s="83">
        <f t="shared" si="34"/>
        <v>0</v>
      </c>
      <c r="H42" s="84">
        <f t="shared" si="35"/>
        <v>0</v>
      </c>
      <c r="I42" s="1180"/>
      <c r="J42" s="85"/>
      <c r="K42" s="1180"/>
      <c r="L42" s="85"/>
      <c r="M42" s="85"/>
      <c r="N42" s="85"/>
      <c r="O42" s="85"/>
      <c r="P42" s="85"/>
      <c r="Q42" s="85"/>
      <c r="R42" s="85"/>
      <c r="S42" s="85"/>
      <c r="T42" s="85"/>
      <c r="U42" s="85"/>
      <c r="V42" s="85"/>
      <c r="W42" s="85"/>
      <c r="X42" s="85"/>
      <c r="Y42" s="85"/>
      <c r="Z42" s="85"/>
      <c r="AA42" s="85"/>
      <c r="AB42" s="85"/>
      <c r="AC42" s="81">
        <f t="shared" si="36"/>
        <v>0</v>
      </c>
      <c r="AD42" s="86"/>
      <c r="AE42" s="86"/>
      <c r="AF42" s="1180"/>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9"/>
      <c r="C43" s="1180"/>
      <c r="D43" s="2301"/>
      <c r="E43" s="81">
        <f t="shared" si="33"/>
        <v>0</v>
      </c>
      <c r="F43" s="82"/>
      <c r="G43" s="83">
        <f t="shared" si="34"/>
        <v>0</v>
      </c>
      <c r="H43" s="84">
        <f t="shared" si="35"/>
        <v>0</v>
      </c>
      <c r="I43" s="1180"/>
      <c r="J43" s="85"/>
      <c r="K43" s="1180"/>
      <c r="L43" s="85"/>
      <c r="M43" s="85"/>
      <c r="N43" s="85"/>
      <c r="O43" s="85"/>
      <c r="P43" s="85"/>
      <c r="Q43" s="85"/>
      <c r="R43" s="85"/>
      <c r="S43" s="85"/>
      <c r="T43" s="85"/>
      <c r="U43" s="85"/>
      <c r="V43" s="85"/>
      <c r="W43" s="85"/>
      <c r="X43" s="85"/>
      <c r="Y43" s="85"/>
      <c r="Z43" s="85"/>
      <c r="AA43" s="85"/>
      <c r="AB43" s="85"/>
      <c r="AC43" s="81">
        <f t="shared" si="36"/>
        <v>0</v>
      </c>
      <c r="AD43" s="86"/>
      <c r="AE43" s="86"/>
      <c r="AF43" s="1180"/>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9"/>
      <c r="C44" s="1180"/>
      <c r="D44" s="2301"/>
      <c r="E44" s="81">
        <f t="shared" si="33"/>
        <v>0</v>
      </c>
      <c r="F44" s="82"/>
      <c r="G44" s="83">
        <f t="shared" si="34"/>
        <v>0</v>
      </c>
      <c r="H44" s="84">
        <f t="shared" si="35"/>
        <v>0</v>
      </c>
      <c r="I44" s="1180"/>
      <c r="J44" s="85"/>
      <c r="K44" s="1180"/>
      <c r="L44" s="85"/>
      <c r="M44" s="85"/>
      <c r="N44" s="85"/>
      <c r="O44" s="85"/>
      <c r="P44" s="85"/>
      <c r="Q44" s="85"/>
      <c r="R44" s="85"/>
      <c r="S44" s="85"/>
      <c r="T44" s="85"/>
      <c r="U44" s="85"/>
      <c r="V44" s="85"/>
      <c r="W44" s="85"/>
      <c r="X44" s="85"/>
      <c r="Y44" s="85"/>
      <c r="Z44" s="85"/>
      <c r="AA44" s="85"/>
      <c r="AB44" s="85"/>
      <c r="AC44" s="81">
        <f t="shared" si="36"/>
        <v>0</v>
      </c>
      <c r="AD44" s="86"/>
      <c r="AE44" s="86"/>
      <c r="AF44" s="1180"/>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9"/>
      <c r="C45" s="1180"/>
      <c r="D45" s="2301"/>
      <c r="E45" s="81">
        <f t="shared" si="33"/>
        <v>0</v>
      </c>
      <c r="F45" s="82"/>
      <c r="G45" s="83">
        <f t="shared" si="34"/>
        <v>0</v>
      </c>
      <c r="H45" s="84">
        <f t="shared" si="35"/>
        <v>0</v>
      </c>
      <c r="I45" s="1180"/>
      <c r="J45" s="85"/>
      <c r="K45" s="1180"/>
      <c r="L45" s="85"/>
      <c r="M45" s="85"/>
      <c r="N45" s="85"/>
      <c r="O45" s="85"/>
      <c r="P45" s="85"/>
      <c r="Q45" s="85"/>
      <c r="R45" s="85"/>
      <c r="S45" s="85"/>
      <c r="T45" s="85"/>
      <c r="U45" s="85"/>
      <c r="V45" s="85"/>
      <c r="W45" s="85"/>
      <c r="X45" s="85"/>
      <c r="Y45" s="85"/>
      <c r="Z45" s="85"/>
      <c r="AA45" s="85"/>
      <c r="AB45" s="85"/>
      <c r="AC45" s="81">
        <f t="shared" si="36"/>
        <v>0</v>
      </c>
      <c r="AD45" s="86"/>
      <c r="AE45" s="86"/>
      <c r="AF45" s="1180"/>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9"/>
      <c r="C46" s="1180"/>
      <c r="D46" s="2301"/>
      <c r="E46" s="81">
        <f t="shared" si="33"/>
        <v>0</v>
      </c>
      <c r="F46" s="82"/>
      <c r="G46" s="83">
        <f t="shared" si="34"/>
        <v>0</v>
      </c>
      <c r="H46" s="84">
        <f t="shared" si="35"/>
        <v>0</v>
      </c>
      <c r="I46" s="1180"/>
      <c r="J46" s="85"/>
      <c r="K46" s="1180"/>
      <c r="L46" s="85"/>
      <c r="M46" s="85"/>
      <c r="N46" s="85"/>
      <c r="O46" s="85"/>
      <c r="P46" s="85"/>
      <c r="Q46" s="85"/>
      <c r="R46" s="85"/>
      <c r="S46" s="85"/>
      <c r="T46" s="85"/>
      <c r="U46" s="85"/>
      <c r="V46" s="85"/>
      <c r="W46" s="85"/>
      <c r="X46" s="85"/>
      <c r="Y46" s="85"/>
      <c r="Z46" s="85"/>
      <c r="AA46" s="85"/>
      <c r="AB46" s="85"/>
      <c r="AC46" s="81">
        <f t="shared" si="36"/>
        <v>0</v>
      </c>
      <c r="AD46" s="86"/>
      <c r="AE46" s="86"/>
      <c r="AF46" s="1180"/>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9"/>
      <c r="C47" s="1180"/>
      <c r="D47" s="2301"/>
      <c r="E47" s="81">
        <f t="shared" si="33"/>
        <v>0</v>
      </c>
      <c r="F47" s="82"/>
      <c r="G47" s="83">
        <f t="shared" si="34"/>
        <v>0</v>
      </c>
      <c r="H47" s="84">
        <f t="shared" si="35"/>
        <v>0</v>
      </c>
      <c r="I47" s="1180"/>
      <c r="J47" s="85"/>
      <c r="K47" s="1180"/>
      <c r="L47" s="85"/>
      <c r="M47" s="85"/>
      <c r="N47" s="85"/>
      <c r="O47" s="85"/>
      <c r="P47" s="85"/>
      <c r="Q47" s="85"/>
      <c r="R47" s="85"/>
      <c r="S47" s="85"/>
      <c r="T47" s="85"/>
      <c r="U47" s="85"/>
      <c r="V47" s="85"/>
      <c r="W47" s="85"/>
      <c r="X47" s="85"/>
      <c r="Y47" s="85"/>
      <c r="Z47" s="85"/>
      <c r="AA47" s="85"/>
      <c r="AB47" s="85"/>
      <c r="AC47" s="81">
        <f t="shared" si="36"/>
        <v>0</v>
      </c>
      <c r="AD47" s="86"/>
      <c r="AE47" s="86"/>
      <c r="AF47" s="1180"/>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9"/>
      <c r="C48" s="1180"/>
      <c r="D48" s="2301"/>
      <c r="E48" s="81">
        <f t="shared" si="33"/>
        <v>0</v>
      </c>
      <c r="F48" s="82"/>
      <c r="G48" s="83">
        <f t="shared" si="34"/>
        <v>0</v>
      </c>
      <c r="H48" s="84">
        <f t="shared" si="35"/>
        <v>0</v>
      </c>
      <c r="I48" s="1180"/>
      <c r="J48" s="85"/>
      <c r="K48" s="1180"/>
      <c r="L48" s="85"/>
      <c r="M48" s="85"/>
      <c r="N48" s="85"/>
      <c r="O48" s="85"/>
      <c r="P48" s="85"/>
      <c r="Q48" s="85"/>
      <c r="R48" s="85"/>
      <c r="S48" s="85"/>
      <c r="T48" s="85"/>
      <c r="U48" s="85"/>
      <c r="V48" s="85"/>
      <c r="W48" s="85"/>
      <c r="X48" s="85"/>
      <c r="Y48" s="85"/>
      <c r="Z48" s="85"/>
      <c r="AA48" s="85"/>
      <c r="AB48" s="85"/>
      <c r="AC48" s="81">
        <f t="shared" si="36"/>
        <v>0</v>
      </c>
      <c r="AD48" s="86"/>
      <c r="AE48" s="86"/>
      <c r="AF48" s="1180"/>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9"/>
      <c r="C49" s="1180"/>
      <c r="D49" s="2301"/>
      <c r="E49" s="81">
        <f t="shared" si="33"/>
        <v>0</v>
      </c>
      <c r="F49" s="82"/>
      <c r="G49" s="83">
        <f t="shared" si="34"/>
        <v>0</v>
      </c>
      <c r="H49" s="84">
        <f t="shared" si="35"/>
        <v>0</v>
      </c>
      <c r="I49" s="1180"/>
      <c r="J49" s="85"/>
      <c r="K49" s="1180"/>
      <c r="L49" s="85"/>
      <c r="M49" s="85"/>
      <c r="N49" s="85"/>
      <c r="O49" s="85"/>
      <c r="P49" s="85"/>
      <c r="Q49" s="85"/>
      <c r="R49" s="85"/>
      <c r="S49" s="85"/>
      <c r="T49" s="85"/>
      <c r="U49" s="85"/>
      <c r="V49" s="85"/>
      <c r="W49" s="85"/>
      <c r="X49" s="85"/>
      <c r="Y49" s="85"/>
      <c r="Z49" s="85"/>
      <c r="AA49" s="85"/>
      <c r="AB49" s="85"/>
      <c r="AC49" s="81">
        <f t="shared" si="36"/>
        <v>0</v>
      </c>
      <c r="AD49" s="86"/>
      <c r="AE49" s="86"/>
      <c r="AF49" s="1180"/>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9"/>
      <c r="C50" s="1180"/>
      <c r="D50" s="2301"/>
      <c r="E50" s="81">
        <f t="shared" si="33"/>
        <v>0</v>
      </c>
      <c r="F50" s="82"/>
      <c r="G50" s="83">
        <f t="shared" si="34"/>
        <v>0</v>
      </c>
      <c r="H50" s="84">
        <f t="shared" si="35"/>
        <v>0</v>
      </c>
      <c r="I50" s="1180"/>
      <c r="J50" s="85"/>
      <c r="K50" s="1180"/>
      <c r="L50" s="85"/>
      <c r="M50" s="85"/>
      <c r="N50" s="85"/>
      <c r="O50" s="85"/>
      <c r="P50" s="85"/>
      <c r="Q50" s="85"/>
      <c r="R50" s="85"/>
      <c r="S50" s="85"/>
      <c r="T50" s="85"/>
      <c r="U50" s="85"/>
      <c r="V50" s="85"/>
      <c r="W50" s="85"/>
      <c r="X50" s="85"/>
      <c r="Y50" s="85"/>
      <c r="Z50" s="85"/>
      <c r="AA50" s="85"/>
      <c r="AB50" s="85"/>
      <c r="AC50" s="81">
        <f t="shared" si="36"/>
        <v>0</v>
      </c>
      <c r="AD50" s="86"/>
      <c r="AE50" s="86"/>
      <c r="AF50" s="1180"/>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9"/>
      <c r="C51" s="1180"/>
      <c r="D51" s="2301"/>
      <c r="E51" s="81">
        <f t="shared" si="33"/>
        <v>0</v>
      </c>
      <c r="F51" s="82"/>
      <c r="G51" s="83">
        <f t="shared" si="34"/>
        <v>0</v>
      </c>
      <c r="H51" s="84">
        <f t="shared" si="35"/>
        <v>0</v>
      </c>
      <c r="I51" s="1180"/>
      <c r="J51" s="85"/>
      <c r="K51" s="1180"/>
      <c r="L51" s="85"/>
      <c r="M51" s="85"/>
      <c r="N51" s="85"/>
      <c r="O51" s="85"/>
      <c r="P51" s="85"/>
      <c r="Q51" s="85"/>
      <c r="R51" s="85"/>
      <c r="S51" s="85"/>
      <c r="T51" s="85"/>
      <c r="U51" s="85"/>
      <c r="V51" s="85"/>
      <c r="W51" s="85"/>
      <c r="X51" s="85"/>
      <c r="Y51" s="85"/>
      <c r="Z51" s="85"/>
      <c r="AA51" s="85"/>
      <c r="AB51" s="85"/>
      <c r="AC51" s="81">
        <f t="shared" si="36"/>
        <v>0</v>
      </c>
      <c r="AD51" s="86"/>
      <c r="AE51" s="86"/>
      <c r="AF51" s="1180"/>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9"/>
      <c r="C52" s="1180"/>
      <c r="D52" s="2301"/>
      <c r="E52" s="81">
        <f t="shared" si="33"/>
        <v>0</v>
      </c>
      <c r="F52" s="82"/>
      <c r="G52" s="83">
        <f t="shared" si="34"/>
        <v>0</v>
      </c>
      <c r="H52" s="84">
        <f t="shared" si="35"/>
        <v>0</v>
      </c>
      <c r="I52" s="1180"/>
      <c r="J52" s="85"/>
      <c r="K52" s="1180"/>
      <c r="L52" s="85"/>
      <c r="M52" s="85"/>
      <c r="N52" s="85"/>
      <c r="O52" s="85"/>
      <c r="P52" s="85"/>
      <c r="Q52" s="85"/>
      <c r="R52" s="85"/>
      <c r="S52" s="85"/>
      <c r="T52" s="85"/>
      <c r="U52" s="85"/>
      <c r="V52" s="85"/>
      <c r="W52" s="85"/>
      <c r="X52" s="85"/>
      <c r="Y52" s="85"/>
      <c r="Z52" s="85"/>
      <c r="AA52" s="85"/>
      <c r="AB52" s="85"/>
      <c r="AC52" s="81">
        <f t="shared" si="36"/>
        <v>0</v>
      </c>
      <c r="AD52" s="86"/>
      <c r="AE52" s="86"/>
      <c r="AF52" s="1180"/>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9"/>
      <c r="C53" s="1180"/>
      <c r="D53" s="2301"/>
      <c r="E53" s="81">
        <f t="shared" si="33"/>
        <v>0</v>
      </c>
      <c r="F53" s="82"/>
      <c r="G53" s="83">
        <f t="shared" si="34"/>
        <v>0</v>
      </c>
      <c r="H53" s="84">
        <f t="shared" si="35"/>
        <v>0</v>
      </c>
      <c r="I53" s="1180"/>
      <c r="J53" s="85"/>
      <c r="K53" s="1180"/>
      <c r="L53" s="85"/>
      <c r="M53" s="85"/>
      <c r="N53" s="85"/>
      <c r="O53" s="85"/>
      <c r="P53" s="85"/>
      <c r="Q53" s="85"/>
      <c r="R53" s="85"/>
      <c r="S53" s="85"/>
      <c r="T53" s="85"/>
      <c r="U53" s="85"/>
      <c r="V53" s="85"/>
      <c r="W53" s="85"/>
      <c r="X53" s="85"/>
      <c r="Y53" s="85"/>
      <c r="Z53" s="85"/>
      <c r="AA53" s="85"/>
      <c r="AB53" s="85"/>
      <c r="AC53" s="81">
        <f t="shared" si="36"/>
        <v>0</v>
      </c>
      <c r="AD53" s="86"/>
      <c r="AE53" s="86"/>
      <c r="AF53" s="1180"/>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9"/>
      <c r="C54" s="1180"/>
      <c r="D54" s="2301"/>
      <c r="E54" s="81">
        <f t="shared" si="33"/>
        <v>0</v>
      </c>
      <c r="F54" s="82"/>
      <c r="G54" s="83">
        <f t="shared" si="34"/>
        <v>0</v>
      </c>
      <c r="H54" s="84">
        <f t="shared" si="35"/>
        <v>0</v>
      </c>
      <c r="I54" s="1180"/>
      <c r="J54" s="85"/>
      <c r="K54" s="1180"/>
      <c r="L54" s="85"/>
      <c r="M54" s="85"/>
      <c r="N54" s="85"/>
      <c r="O54" s="85"/>
      <c r="P54" s="85"/>
      <c r="Q54" s="85"/>
      <c r="R54" s="85"/>
      <c r="S54" s="85"/>
      <c r="T54" s="85"/>
      <c r="U54" s="85"/>
      <c r="V54" s="85"/>
      <c r="W54" s="85"/>
      <c r="X54" s="85"/>
      <c r="Y54" s="85"/>
      <c r="Z54" s="85"/>
      <c r="AA54" s="85"/>
      <c r="AB54" s="85"/>
      <c r="AC54" s="81">
        <f t="shared" si="36"/>
        <v>0</v>
      </c>
      <c r="AD54" s="86"/>
      <c r="AE54" s="86"/>
      <c r="AF54" s="1180"/>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9"/>
      <c r="C55" s="1180"/>
      <c r="D55" s="2301"/>
      <c r="E55" s="81">
        <f t="shared" si="33"/>
        <v>0</v>
      </c>
      <c r="F55" s="82"/>
      <c r="G55" s="83">
        <f t="shared" si="34"/>
        <v>0</v>
      </c>
      <c r="H55" s="84">
        <f t="shared" si="35"/>
        <v>0</v>
      </c>
      <c r="I55" s="1180"/>
      <c r="J55" s="85"/>
      <c r="K55" s="1180"/>
      <c r="L55" s="85"/>
      <c r="M55" s="1180"/>
      <c r="N55" s="85"/>
      <c r="O55" s="85"/>
      <c r="P55" s="85"/>
      <c r="Q55" s="85"/>
      <c r="R55" s="85"/>
      <c r="S55" s="85"/>
      <c r="T55" s="85"/>
      <c r="U55" s="85"/>
      <c r="V55" s="85"/>
      <c r="W55" s="85"/>
      <c r="X55" s="85"/>
      <c r="Y55" s="85"/>
      <c r="Z55" s="85"/>
      <c r="AA55" s="85"/>
      <c r="AB55" s="85"/>
      <c r="AC55" s="81">
        <f t="shared" si="36"/>
        <v>0</v>
      </c>
      <c r="AD55" s="86"/>
      <c r="AE55" s="86"/>
      <c r="AF55" s="1180"/>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1"/>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1"/>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1"/>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1"/>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1"/>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1"/>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1"/>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1"/>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1"/>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1"/>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1"/>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1"/>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1"/>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1"/>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1"/>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1"/>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1"/>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1"/>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1"/>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1"/>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1"/>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1"/>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1"/>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1"/>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1"/>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1"/>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1"/>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1"/>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1"/>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1"/>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1"/>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1"/>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1"/>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1"/>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1"/>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1"/>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1"/>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1"/>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1"/>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1"/>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1"/>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1"/>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1"/>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1"/>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1"/>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1"/>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1"/>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1"/>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1"/>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1"/>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1"/>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1"/>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1"/>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1"/>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1"/>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1"/>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1"/>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9"/>
      <c r="C113" s="1180"/>
      <c r="D113" s="2301"/>
      <c r="E113" s="81">
        <f t="shared" ref="E113:E144" si="87">IF($C$3="是",ROUND($A$3*G113/$B$3,2),ROUND($A$3*(G113-AT113)/$B$3,2))</f>
        <v>0</v>
      </c>
      <c r="F113" s="82"/>
      <c r="G113" s="83">
        <f t="shared" si="62"/>
        <v>0</v>
      </c>
      <c r="H113" s="84">
        <f t="shared" si="63"/>
        <v>0</v>
      </c>
      <c r="I113" s="1180"/>
      <c r="J113" s="85"/>
      <c r="K113" s="118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1"/>
      <c r="AG113" s="86"/>
      <c r="AH113" s="86"/>
      <c r="AI113" s="86"/>
      <c r="AJ113" s="86"/>
      <c r="AK113" s="86"/>
      <c r="AL113" s="86"/>
      <c r="AM113" s="86"/>
      <c r="AN113" s="1157"/>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9"/>
      <c r="C114" s="1180"/>
      <c r="D114" s="2301"/>
      <c r="E114" s="81">
        <f t="shared" si="87"/>
        <v>0</v>
      </c>
      <c r="F114" s="82"/>
      <c r="G114" s="83">
        <f t="shared" si="62"/>
        <v>0</v>
      </c>
      <c r="H114" s="84">
        <f t="shared" si="63"/>
        <v>0</v>
      </c>
      <c r="I114" s="1180"/>
      <c r="J114" s="85"/>
      <c r="K114" s="1180"/>
      <c r="L114" s="85"/>
      <c r="M114" s="1157"/>
      <c r="N114" s="85"/>
      <c r="O114" s="85"/>
      <c r="P114" s="85"/>
      <c r="Q114" s="85"/>
      <c r="R114" s="85"/>
      <c r="S114" s="85"/>
      <c r="T114" s="85"/>
      <c r="U114" s="85"/>
      <c r="V114" s="85"/>
      <c r="W114" s="85"/>
      <c r="X114" s="85"/>
      <c r="Y114" s="85"/>
      <c r="Z114" s="85"/>
      <c r="AA114" s="85"/>
      <c r="AB114" s="85"/>
      <c r="AC114" s="81">
        <f t="shared" si="64"/>
        <v>0</v>
      </c>
      <c r="AD114" s="1157"/>
      <c r="AE114" s="86"/>
      <c r="AF114" s="1181"/>
      <c r="AG114" s="86"/>
      <c r="AH114" s="86"/>
      <c r="AI114" s="86"/>
      <c r="AJ114" s="86"/>
      <c r="AK114" s="86"/>
      <c r="AL114" s="1157"/>
      <c r="AM114" s="86"/>
      <c r="AN114" s="1157"/>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9"/>
      <c r="C115" s="1180"/>
      <c r="D115" s="2301"/>
      <c r="E115" s="81">
        <f t="shared" si="87"/>
        <v>0</v>
      </c>
      <c r="F115" s="82"/>
      <c r="G115" s="83">
        <f t="shared" si="62"/>
        <v>0</v>
      </c>
      <c r="H115" s="84">
        <f t="shared" si="63"/>
        <v>0</v>
      </c>
      <c r="I115" s="1180"/>
      <c r="J115" s="85"/>
      <c r="K115" s="1180"/>
      <c r="L115" s="85"/>
      <c r="M115" s="1157"/>
      <c r="N115" s="85"/>
      <c r="O115" s="85"/>
      <c r="P115" s="85"/>
      <c r="Q115" s="85"/>
      <c r="R115" s="85"/>
      <c r="S115" s="85"/>
      <c r="T115" s="85"/>
      <c r="U115" s="85"/>
      <c r="V115" s="85"/>
      <c r="W115" s="85"/>
      <c r="X115" s="85"/>
      <c r="Y115" s="85"/>
      <c r="Z115" s="85"/>
      <c r="AA115" s="85"/>
      <c r="AB115" s="85"/>
      <c r="AC115" s="81">
        <f t="shared" si="64"/>
        <v>0</v>
      </c>
      <c r="AD115" s="86"/>
      <c r="AE115" s="86"/>
      <c r="AF115" s="1181"/>
      <c r="AG115" s="86"/>
      <c r="AH115" s="86"/>
      <c r="AI115" s="86"/>
      <c r="AJ115" s="86"/>
      <c r="AK115" s="86"/>
      <c r="AL115" s="1157"/>
      <c r="AM115" s="86"/>
      <c r="AN115" s="1157"/>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9"/>
      <c r="C116" s="1180"/>
      <c r="D116" s="2301"/>
      <c r="E116" s="81">
        <f t="shared" si="87"/>
        <v>0</v>
      </c>
      <c r="F116" s="82"/>
      <c r="G116" s="83">
        <f t="shared" si="62"/>
        <v>0</v>
      </c>
      <c r="H116" s="84">
        <f t="shared" si="63"/>
        <v>0</v>
      </c>
      <c r="I116" s="1180"/>
      <c r="J116" s="85"/>
      <c r="K116" s="1180"/>
      <c r="L116" s="85"/>
      <c r="M116" s="85"/>
      <c r="N116" s="85"/>
      <c r="O116" s="1157"/>
      <c r="P116" s="85"/>
      <c r="Q116" s="85"/>
      <c r="R116" s="85"/>
      <c r="S116" s="85"/>
      <c r="T116" s="85"/>
      <c r="U116" s="85"/>
      <c r="V116" s="85"/>
      <c r="W116" s="85"/>
      <c r="X116" s="85"/>
      <c r="Y116" s="85"/>
      <c r="Z116" s="85"/>
      <c r="AA116" s="85"/>
      <c r="AB116" s="85"/>
      <c r="AC116" s="81">
        <f t="shared" si="64"/>
        <v>0</v>
      </c>
      <c r="AD116" s="86"/>
      <c r="AE116" s="86"/>
      <c r="AF116" s="1181"/>
      <c r="AG116" s="86"/>
      <c r="AH116" s="86"/>
      <c r="AI116" s="86"/>
      <c r="AJ116" s="86"/>
      <c r="AK116" s="86"/>
      <c r="AL116" s="86"/>
      <c r="AM116" s="86"/>
      <c r="AN116" s="1157"/>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9"/>
      <c r="C117" s="1180"/>
      <c r="D117" s="2301"/>
      <c r="E117" s="81">
        <f t="shared" si="87"/>
        <v>0</v>
      </c>
      <c r="F117" s="82"/>
      <c r="G117" s="83">
        <f t="shared" si="62"/>
        <v>0</v>
      </c>
      <c r="H117" s="84">
        <f t="shared" si="63"/>
        <v>0</v>
      </c>
      <c r="I117" s="1180"/>
      <c r="J117" s="85"/>
      <c r="K117" s="118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1"/>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9"/>
      <c r="C118" s="1180"/>
      <c r="D118" s="2301"/>
      <c r="E118" s="81">
        <f t="shared" si="87"/>
        <v>0</v>
      </c>
      <c r="F118" s="82"/>
      <c r="G118" s="83">
        <f t="shared" si="62"/>
        <v>0</v>
      </c>
      <c r="H118" s="84">
        <f t="shared" si="63"/>
        <v>0</v>
      </c>
      <c r="I118" s="1180"/>
      <c r="J118" s="85"/>
      <c r="K118" s="118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1"/>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9"/>
      <c r="C119" s="1180"/>
      <c r="D119" s="2301"/>
      <c r="E119" s="81">
        <f t="shared" si="87"/>
        <v>0</v>
      </c>
      <c r="F119" s="82"/>
      <c r="G119" s="83">
        <f t="shared" si="62"/>
        <v>0</v>
      </c>
      <c r="H119" s="84">
        <f t="shared" si="63"/>
        <v>0</v>
      </c>
      <c r="I119" s="1180"/>
      <c r="J119" s="85"/>
      <c r="K119" s="118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1"/>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9"/>
      <c r="C120" s="1180"/>
      <c r="D120" s="2301"/>
      <c r="E120" s="81">
        <f t="shared" si="87"/>
        <v>0</v>
      </c>
      <c r="F120" s="82"/>
      <c r="G120" s="83">
        <f t="shared" si="62"/>
        <v>0</v>
      </c>
      <c r="H120" s="84">
        <f t="shared" si="63"/>
        <v>0</v>
      </c>
      <c r="I120" s="1180"/>
      <c r="J120" s="85"/>
      <c r="K120" s="118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0"/>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9"/>
      <c r="C121" s="1180"/>
      <c r="D121" s="2301"/>
      <c r="E121" s="81">
        <f t="shared" si="87"/>
        <v>0</v>
      </c>
      <c r="F121" s="82"/>
      <c r="G121" s="83">
        <f t="shared" si="62"/>
        <v>0</v>
      </c>
      <c r="H121" s="84">
        <f t="shared" si="63"/>
        <v>0</v>
      </c>
      <c r="I121" s="1180"/>
      <c r="J121" s="85"/>
      <c r="K121" s="118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0"/>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9"/>
      <c r="C122" s="1180"/>
      <c r="D122" s="2301"/>
      <c r="E122" s="81">
        <f t="shared" si="87"/>
        <v>0</v>
      </c>
      <c r="F122" s="82"/>
      <c r="G122" s="83">
        <f t="shared" si="62"/>
        <v>0</v>
      </c>
      <c r="H122" s="84">
        <f t="shared" si="63"/>
        <v>0</v>
      </c>
      <c r="I122" s="1180"/>
      <c r="J122" s="85"/>
      <c r="K122" s="118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0"/>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9"/>
      <c r="C123" s="1180"/>
      <c r="D123" s="2301"/>
      <c r="E123" s="81">
        <f t="shared" si="87"/>
        <v>0</v>
      </c>
      <c r="F123" s="82"/>
      <c r="G123" s="83">
        <f t="shared" si="62"/>
        <v>0</v>
      </c>
      <c r="H123" s="84">
        <f t="shared" si="63"/>
        <v>0</v>
      </c>
      <c r="I123" s="1180"/>
      <c r="J123" s="85"/>
      <c r="K123" s="118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0"/>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9"/>
      <c r="C124" s="1180"/>
      <c r="D124" s="2301"/>
      <c r="E124" s="81">
        <f t="shared" si="87"/>
        <v>0</v>
      </c>
      <c r="F124" s="82"/>
      <c r="G124" s="83">
        <f t="shared" si="62"/>
        <v>0</v>
      </c>
      <c r="H124" s="84">
        <f t="shared" si="63"/>
        <v>0</v>
      </c>
      <c r="I124" s="1180"/>
      <c r="J124" s="85"/>
      <c r="K124" s="118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0"/>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9"/>
      <c r="C125" s="1180"/>
      <c r="D125" s="2301"/>
      <c r="E125" s="81">
        <f t="shared" si="87"/>
        <v>0</v>
      </c>
      <c r="F125" s="82"/>
      <c r="G125" s="83">
        <f t="shared" si="62"/>
        <v>0</v>
      </c>
      <c r="H125" s="84">
        <f t="shared" si="63"/>
        <v>0</v>
      </c>
      <c r="I125" s="1180"/>
      <c r="J125" s="85"/>
      <c r="K125" s="118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0"/>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9"/>
      <c r="C126" s="1180"/>
      <c r="D126" s="2301"/>
      <c r="E126" s="81">
        <f t="shared" si="87"/>
        <v>0</v>
      </c>
      <c r="F126" s="82"/>
      <c r="G126" s="83">
        <f t="shared" si="62"/>
        <v>0</v>
      </c>
      <c r="H126" s="84">
        <f t="shared" si="63"/>
        <v>0</v>
      </c>
      <c r="I126" s="1180"/>
      <c r="J126" s="85"/>
      <c r="K126" s="118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0"/>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9"/>
      <c r="C127" s="1180"/>
      <c r="D127" s="2301"/>
      <c r="E127" s="81">
        <f t="shared" si="87"/>
        <v>0</v>
      </c>
      <c r="F127" s="82"/>
      <c r="G127" s="83">
        <f t="shared" si="62"/>
        <v>0</v>
      </c>
      <c r="H127" s="84">
        <f t="shared" si="63"/>
        <v>0</v>
      </c>
      <c r="I127" s="1180"/>
      <c r="J127" s="85"/>
      <c r="K127" s="118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0"/>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9"/>
      <c r="C128" s="1180"/>
      <c r="D128" s="2301"/>
      <c r="E128" s="81">
        <f t="shared" si="87"/>
        <v>0</v>
      </c>
      <c r="F128" s="82"/>
      <c r="G128" s="83">
        <f t="shared" si="62"/>
        <v>0</v>
      </c>
      <c r="H128" s="84">
        <f t="shared" si="63"/>
        <v>0</v>
      </c>
      <c r="I128" s="1180"/>
      <c r="J128" s="85"/>
      <c r="K128" s="118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0"/>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9"/>
      <c r="C129" s="1180"/>
      <c r="D129" s="2301"/>
      <c r="E129" s="81">
        <f t="shared" si="87"/>
        <v>0</v>
      </c>
      <c r="F129" s="82"/>
      <c r="G129" s="83">
        <f t="shared" si="62"/>
        <v>0</v>
      </c>
      <c r="H129" s="84">
        <f t="shared" si="63"/>
        <v>0</v>
      </c>
      <c r="I129" s="1180"/>
      <c r="J129" s="85"/>
      <c r="K129" s="118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0"/>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9"/>
      <c r="C130" s="1180"/>
      <c r="D130" s="2301"/>
      <c r="E130" s="81">
        <f t="shared" si="87"/>
        <v>0</v>
      </c>
      <c r="F130" s="82"/>
      <c r="G130" s="83">
        <f t="shared" si="62"/>
        <v>0</v>
      </c>
      <c r="H130" s="84">
        <f t="shared" si="63"/>
        <v>0</v>
      </c>
      <c r="I130" s="1180"/>
      <c r="J130" s="85"/>
      <c r="K130" s="118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0"/>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9"/>
      <c r="C131" s="1180"/>
      <c r="D131" s="2301"/>
      <c r="E131" s="81">
        <f t="shared" si="87"/>
        <v>0</v>
      </c>
      <c r="F131" s="82"/>
      <c r="G131" s="83">
        <f t="shared" si="62"/>
        <v>0</v>
      </c>
      <c r="H131" s="84">
        <f t="shared" si="63"/>
        <v>0</v>
      </c>
      <c r="I131" s="1180"/>
      <c r="J131" s="85"/>
      <c r="K131" s="118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0"/>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9"/>
      <c r="C132" s="1180"/>
      <c r="D132" s="2301"/>
      <c r="E132" s="81">
        <f t="shared" si="87"/>
        <v>0</v>
      </c>
      <c r="F132" s="82"/>
      <c r="G132" s="83">
        <f t="shared" si="62"/>
        <v>0</v>
      </c>
      <c r="H132" s="84">
        <f t="shared" si="63"/>
        <v>0</v>
      </c>
      <c r="I132" s="1180"/>
      <c r="J132" s="85"/>
      <c r="K132" s="118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0"/>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9"/>
      <c r="C133" s="1180"/>
      <c r="D133" s="2301"/>
      <c r="E133" s="81">
        <f t="shared" si="87"/>
        <v>0</v>
      </c>
      <c r="F133" s="82"/>
      <c r="G133" s="83">
        <f t="shared" si="62"/>
        <v>0</v>
      </c>
      <c r="H133" s="84">
        <f t="shared" si="63"/>
        <v>0</v>
      </c>
      <c r="I133" s="1180"/>
      <c r="J133" s="85"/>
      <c r="K133" s="118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0"/>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9"/>
      <c r="C134" s="1180"/>
      <c r="D134" s="2301"/>
      <c r="E134" s="81">
        <f t="shared" si="87"/>
        <v>0</v>
      </c>
      <c r="F134" s="82"/>
      <c r="G134" s="83">
        <f t="shared" si="62"/>
        <v>0</v>
      </c>
      <c r="H134" s="84">
        <f t="shared" si="63"/>
        <v>0</v>
      </c>
      <c r="I134" s="1180"/>
      <c r="J134" s="85"/>
      <c r="K134" s="118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0"/>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9"/>
      <c r="C135" s="1180"/>
      <c r="D135" s="2301"/>
      <c r="E135" s="81">
        <f t="shared" si="87"/>
        <v>0</v>
      </c>
      <c r="F135" s="82"/>
      <c r="G135" s="83">
        <f t="shared" si="62"/>
        <v>0</v>
      </c>
      <c r="H135" s="84">
        <f t="shared" si="63"/>
        <v>0</v>
      </c>
      <c r="I135" s="1180"/>
      <c r="J135" s="85"/>
      <c r="K135" s="118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0"/>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9"/>
      <c r="C136" s="1180"/>
      <c r="D136" s="2301"/>
      <c r="E136" s="81">
        <f t="shared" si="87"/>
        <v>0</v>
      </c>
      <c r="F136" s="82"/>
      <c r="G136" s="83">
        <f t="shared" si="62"/>
        <v>0</v>
      </c>
      <c r="H136" s="84">
        <f t="shared" si="63"/>
        <v>0</v>
      </c>
      <c r="I136" s="1180"/>
      <c r="J136" s="85"/>
      <c r="K136" s="118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0"/>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9"/>
      <c r="C137" s="1180"/>
      <c r="D137" s="2301"/>
      <c r="E137" s="81">
        <f t="shared" si="87"/>
        <v>0</v>
      </c>
      <c r="F137" s="82"/>
      <c r="G137" s="83">
        <f t="shared" si="62"/>
        <v>0</v>
      </c>
      <c r="H137" s="84">
        <f t="shared" si="63"/>
        <v>0</v>
      </c>
      <c r="I137" s="1180"/>
      <c r="J137" s="85"/>
      <c r="K137" s="118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0"/>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9"/>
      <c r="C138" s="1180"/>
      <c r="D138" s="2301"/>
      <c r="E138" s="81">
        <f t="shared" si="87"/>
        <v>0</v>
      </c>
      <c r="F138" s="82"/>
      <c r="G138" s="83">
        <f t="shared" si="62"/>
        <v>0</v>
      </c>
      <c r="H138" s="84">
        <f t="shared" si="63"/>
        <v>0</v>
      </c>
      <c r="I138" s="1180"/>
      <c r="J138" s="85"/>
      <c r="K138" s="118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0"/>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9"/>
      <c r="C139" s="1180"/>
      <c r="D139" s="2301"/>
      <c r="E139" s="81">
        <f t="shared" si="87"/>
        <v>0</v>
      </c>
      <c r="F139" s="82"/>
      <c r="G139" s="83">
        <f t="shared" si="62"/>
        <v>0</v>
      </c>
      <c r="H139" s="84">
        <f t="shared" si="63"/>
        <v>0</v>
      </c>
      <c r="I139" s="1180"/>
      <c r="J139" s="85"/>
      <c r="K139" s="118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0"/>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9"/>
      <c r="C140" s="1180"/>
      <c r="D140" s="2301"/>
      <c r="E140" s="81">
        <f t="shared" si="87"/>
        <v>0</v>
      </c>
      <c r="F140" s="82"/>
      <c r="G140" s="83">
        <f t="shared" si="62"/>
        <v>0</v>
      </c>
      <c r="H140" s="84">
        <f t="shared" si="63"/>
        <v>0</v>
      </c>
      <c r="I140" s="1180"/>
      <c r="J140" s="85"/>
      <c r="K140" s="118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0"/>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9"/>
      <c r="C141" s="1180"/>
      <c r="D141" s="2301"/>
      <c r="E141" s="81">
        <f t="shared" si="87"/>
        <v>0</v>
      </c>
      <c r="F141" s="82"/>
      <c r="G141" s="83">
        <f t="shared" si="62"/>
        <v>0</v>
      </c>
      <c r="H141" s="84">
        <f t="shared" si="63"/>
        <v>0</v>
      </c>
      <c r="I141" s="1180"/>
      <c r="J141" s="85"/>
      <c r="K141" s="118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0"/>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9"/>
      <c r="C142" s="1180"/>
      <c r="D142" s="2301"/>
      <c r="E142" s="81">
        <f t="shared" si="87"/>
        <v>0</v>
      </c>
      <c r="F142" s="82"/>
      <c r="G142" s="83">
        <f t="shared" ref="G142:G173" si="91">H142+AC142+AT142</f>
        <v>0</v>
      </c>
      <c r="H142" s="84">
        <f t="shared" ref="H142:H173" si="92">SUMIF(I$12:AB$12,"总值",I142:AB142)</f>
        <v>0</v>
      </c>
      <c r="I142" s="1180"/>
      <c r="J142" s="85"/>
      <c r="K142" s="118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0"/>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9"/>
      <c r="C143" s="1180"/>
      <c r="D143" s="2301"/>
      <c r="E143" s="81">
        <f t="shared" si="87"/>
        <v>0</v>
      </c>
      <c r="F143" s="82"/>
      <c r="G143" s="83">
        <f t="shared" si="91"/>
        <v>0</v>
      </c>
      <c r="H143" s="84">
        <f t="shared" si="92"/>
        <v>0</v>
      </c>
      <c r="I143" s="1180"/>
      <c r="J143" s="85"/>
      <c r="K143" s="118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0"/>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9"/>
      <c r="C144" s="1180"/>
      <c r="D144" s="2301"/>
      <c r="E144" s="81">
        <f t="shared" si="87"/>
        <v>0</v>
      </c>
      <c r="F144" s="82"/>
      <c r="G144" s="83">
        <f t="shared" si="91"/>
        <v>0</v>
      </c>
      <c r="H144" s="84">
        <f t="shared" si="92"/>
        <v>0</v>
      </c>
      <c r="I144" s="1180"/>
      <c r="J144" s="85"/>
      <c r="K144" s="118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0"/>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9"/>
      <c r="C145" s="1180"/>
      <c r="D145" s="2301"/>
      <c r="E145" s="81">
        <f t="shared" ref="E145:E176" si="116">IF($C$3="是",ROUND($A$3*G145/$B$3,2),ROUND($A$3*(G145-AT145)/$B$3,2))</f>
        <v>0</v>
      </c>
      <c r="F145" s="82"/>
      <c r="G145" s="83">
        <f t="shared" si="91"/>
        <v>0</v>
      </c>
      <c r="H145" s="84">
        <f t="shared" si="92"/>
        <v>0</v>
      </c>
      <c r="I145" s="1180"/>
      <c r="J145" s="85"/>
      <c r="K145" s="118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0"/>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9"/>
      <c r="C146" s="1180"/>
      <c r="D146" s="2301"/>
      <c r="E146" s="81">
        <f t="shared" si="116"/>
        <v>0</v>
      </c>
      <c r="F146" s="82"/>
      <c r="G146" s="83">
        <f t="shared" si="91"/>
        <v>0</v>
      </c>
      <c r="H146" s="84">
        <f t="shared" si="92"/>
        <v>0</v>
      </c>
      <c r="I146" s="1180"/>
      <c r="J146" s="85"/>
      <c r="K146" s="118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0"/>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9"/>
      <c r="C147" s="1180"/>
      <c r="D147" s="2301"/>
      <c r="E147" s="81">
        <f t="shared" si="116"/>
        <v>0</v>
      </c>
      <c r="F147" s="82"/>
      <c r="G147" s="83">
        <f t="shared" si="91"/>
        <v>0</v>
      </c>
      <c r="H147" s="84">
        <f t="shared" si="92"/>
        <v>0</v>
      </c>
      <c r="I147" s="1180"/>
      <c r="J147" s="85"/>
      <c r="K147" s="1180"/>
      <c r="L147" s="85"/>
      <c r="M147" s="1180"/>
      <c r="N147" s="85"/>
      <c r="O147" s="85"/>
      <c r="P147" s="85"/>
      <c r="Q147" s="85"/>
      <c r="R147" s="85"/>
      <c r="S147" s="85"/>
      <c r="T147" s="85"/>
      <c r="U147" s="85"/>
      <c r="V147" s="85"/>
      <c r="W147" s="85"/>
      <c r="X147" s="85"/>
      <c r="Y147" s="85"/>
      <c r="Z147" s="85"/>
      <c r="AA147" s="85"/>
      <c r="AB147" s="85"/>
      <c r="AC147" s="81">
        <f t="shared" si="93"/>
        <v>0</v>
      </c>
      <c r="AD147" s="86"/>
      <c r="AE147" s="86"/>
      <c r="AF147" s="1180"/>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1"/>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1"/>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1"/>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1"/>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1"/>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1"/>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1"/>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1"/>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1"/>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1"/>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1"/>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1"/>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1"/>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1"/>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1"/>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1"/>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1"/>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1"/>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1"/>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1"/>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1"/>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1"/>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1"/>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1"/>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1"/>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1"/>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1"/>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1"/>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1"/>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1"/>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1"/>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1"/>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1"/>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1"/>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1"/>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1"/>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1"/>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1"/>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1"/>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1"/>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1"/>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1"/>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1"/>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1"/>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1"/>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1"/>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1"/>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1"/>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1"/>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1"/>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1"/>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1"/>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1"/>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1"/>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1"/>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1"/>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1"/>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9"/>
      <c r="C205" s="1180"/>
      <c r="D205" s="2301"/>
      <c r="E205" s="81">
        <f t="shared" ref="E205:E296" si="149">IF($C$3="是",ROUND($A$3*G205/$B$3,2),ROUND($A$3*(G205-AT205)/$B$3,2))</f>
        <v>0</v>
      </c>
      <c r="F205" s="82"/>
      <c r="G205" s="83">
        <f t="shared" ref="G205:G293" si="150">H205+AC205+AT205</f>
        <v>0</v>
      </c>
      <c r="H205" s="84">
        <f t="shared" ref="H205:H293" si="151">SUMIF(I$12:AB$12,"总值",I205:AB205)</f>
        <v>0</v>
      </c>
      <c r="I205" s="1180"/>
      <c r="J205" s="85"/>
      <c r="K205" s="118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1"/>
      <c r="AG205" s="86"/>
      <c r="AH205" s="86"/>
      <c r="AI205" s="86"/>
      <c r="AJ205" s="86"/>
      <c r="AK205" s="86"/>
      <c r="AL205" s="86"/>
      <c r="AM205" s="86"/>
      <c r="AN205" s="1157"/>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9"/>
      <c r="C206" s="1180"/>
      <c r="D206" s="2301"/>
      <c r="E206" s="81">
        <f t="shared" si="149"/>
        <v>0</v>
      </c>
      <c r="F206" s="82"/>
      <c r="G206" s="83">
        <f t="shared" si="150"/>
        <v>0</v>
      </c>
      <c r="H206" s="84">
        <f t="shared" si="151"/>
        <v>0</v>
      </c>
      <c r="I206" s="1180"/>
      <c r="J206" s="85"/>
      <c r="K206" s="1180"/>
      <c r="L206" s="85"/>
      <c r="M206" s="1157"/>
      <c r="N206" s="85"/>
      <c r="O206" s="85"/>
      <c r="P206" s="85"/>
      <c r="Q206" s="85"/>
      <c r="R206" s="85"/>
      <c r="S206" s="85"/>
      <c r="T206" s="85"/>
      <c r="U206" s="85"/>
      <c r="V206" s="85"/>
      <c r="W206" s="85"/>
      <c r="X206" s="85"/>
      <c r="Y206" s="85"/>
      <c r="Z206" s="85"/>
      <c r="AA206" s="85"/>
      <c r="AB206" s="85"/>
      <c r="AC206" s="81">
        <f t="shared" si="152"/>
        <v>0</v>
      </c>
      <c r="AD206" s="1157"/>
      <c r="AE206" s="86"/>
      <c r="AF206" s="1181"/>
      <c r="AG206" s="86"/>
      <c r="AH206" s="86"/>
      <c r="AI206" s="86"/>
      <c r="AJ206" s="86"/>
      <c r="AK206" s="86"/>
      <c r="AL206" s="1157"/>
      <c r="AM206" s="86"/>
      <c r="AN206" s="1157"/>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9"/>
      <c r="C207" s="1180"/>
      <c r="D207" s="2301"/>
      <c r="E207" s="81">
        <f t="shared" si="149"/>
        <v>0</v>
      </c>
      <c r="F207" s="82"/>
      <c r="G207" s="83">
        <f t="shared" si="150"/>
        <v>0</v>
      </c>
      <c r="H207" s="84">
        <f t="shared" si="151"/>
        <v>0</v>
      </c>
      <c r="I207" s="1180"/>
      <c r="J207" s="85"/>
      <c r="K207" s="1180"/>
      <c r="L207" s="85"/>
      <c r="M207" s="1157"/>
      <c r="N207" s="85"/>
      <c r="O207" s="85"/>
      <c r="P207" s="85"/>
      <c r="Q207" s="85"/>
      <c r="R207" s="85"/>
      <c r="S207" s="85"/>
      <c r="T207" s="85"/>
      <c r="U207" s="85"/>
      <c r="V207" s="85"/>
      <c r="W207" s="85"/>
      <c r="X207" s="85"/>
      <c r="Y207" s="85"/>
      <c r="Z207" s="85"/>
      <c r="AA207" s="85"/>
      <c r="AB207" s="85"/>
      <c r="AC207" s="81">
        <f t="shared" si="152"/>
        <v>0</v>
      </c>
      <c r="AD207" s="86"/>
      <c r="AE207" s="86"/>
      <c r="AF207" s="1181"/>
      <c r="AG207" s="86"/>
      <c r="AH207" s="86"/>
      <c r="AI207" s="86"/>
      <c r="AJ207" s="86"/>
      <c r="AK207" s="86"/>
      <c r="AL207" s="1157"/>
      <c r="AM207" s="86"/>
      <c r="AN207" s="1157"/>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9"/>
      <c r="C208" s="1180"/>
      <c r="D208" s="2301"/>
      <c r="E208" s="81">
        <f t="shared" si="149"/>
        <v>0</v>
      </c>
      <c r="F208" s="82"/>
      <c r="G208" s="83">
        <f t="shared" si="150"/>
        <v>0</v>
      </c>
      <c r="H208" s="84">
        <f t="shared" si="151"/>
        <v>0</v>
      </c>
      <c r="I208" s="1180"/>
      <c r="J208" s="85"/>
      <c r="K208" s="1180"/>
      <c r="L208" s="85"/>
      <c r="M208" s="85"/>
      <c r="N208" s="85"/>
      <c r="O208" s="1157"/>
      <c r="P208" s="85"/>
      <c r="Q208" s="85"/>
      <c r="R208" s="85"/>
      <c r="S208" s="85"/>
      <c r="T208" s="85"/>
      <c r="U208" s="85"/>
      <c r="V208" s="85"/>
      <c r="W208" s="85"/>
      <c r="X208" s="85"/>
      <c r="Y208" s="85"/>
      <c r="Z208" s="85"/>
      <c r="AA208" s="85"/>
      <c r="AB208" s="85"/>
      <c r="AC208" s="81">
        <f t="shared" si="152"/>
        <v>0</v>
      </c>
      <c r="AD208" s="86"/>
      <c r="AE208" s="86"/>
      <c r="AF208" s="1181"/>
      <c r="AG208" s="86"/>
      <c r="AH208" s="86"/>
      <c r="AI208" s="86"/>
      <c r="AJ208" s="86"/>
      <c r="AK208" s="86"/>
      <c r="AL208" s="86"/>
      <c r="AM208" s="86"/>
      <c r="AN208" s="1157"/>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9"/>
      <c r="C209" s="1180"/>
      <c r="D209" s="2301"/>
      <c r="E209" s="81">
        <f t="shared" si="149"/>
        <v>0</v>
      </c>
      <c r="F209" s="82"/>
      <c r="G209" s="83">
        <f t="shared" si="150"/>
        <v>0</v>
      </c>
      <c r="H209" s="84">
        <f t="shared" si="151"/>
        <v>0</v>
      </c>
      <c r="I209" s="1180"/>
      <c r="J209" s="85"/>
      <c r="K209" s="118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1"/>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9"/>
      <c r="C210" s="1180"/>
      <c r="D210" s="2301"/>
      <c r="E210" s="81">
        <f t="shared" si="149"/>
        <v>0</v>
      </c>
      <c r="F210" s="82"/>
      <c r="G210" s="83">
        <f t="shared" si="150"/>
        <v>0</v>
      </c>
      <c r="H210" s="84">
        <f t="shared" si="151"/>
        <v>0</v>
      </c>
      <c r="I210" s="1180"/>
      <c r="J210" s="85"/>
      <c r="K210" s="118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1"/>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9"/>
      <c r="C211" s="1180"/>
      <c r="D211" s="2301"/>
      <c r="E211" s="81">
        <f t="shared" si="149"/>
        <v>0</v>
      </c>
      <c r="F211" s="82"/>
      <c r="G211" s="83">
        <f t="shared" si="150"/>
        <v>0</v>
      </c>
      <c r="H211" s="84">
        <f t="shared" si="151"/>
        <v>0</v>
      </c>
      <c r="I211" s="1180"/>
      <c r="J211" s="85"/>
      <c r="K211" s="118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1"/>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9"/>
      <c r="C212" s="1180"/>
      <c r="D212" s="2301"/>
      <c r="E212" s="81">
        <f t="shared" si="149"/>
        <v>0</v>
      </c>
      <c r="F212" s="82"/>
      <c r="G212" s="83">
        <f t="shared" si="150"/>
        <v>0</v>
      </c>
      <c r="H212" s="84">
        <f t="shared" si="151"/>
        <v>0</v>
      </c>
      <c r="I212" s="1180"/>
      <c r="J212" s="85"/>
      <c r="K212" s="118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0"/>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9"/>
      <c r="C213" s="1180"/>
      <c r="D213" s="2301"/>
      <c r="E213" s="81">
        <f t="shared" si="149"/>
        <v>0</v>
      </c>
      <c r="F213" s="82"/>
      <c r="G213" s="83">
        <f t="shared" si="150"/>
        <v>0</v>
      </c>
      <c r="H213" s="84">
        <f t="shared" si="151"/>
        <v>0</v>
      </c>
      <c r="I213" s="1180"/>
      <c r="J213" s="85"/>
      <c r="K213" s="118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0"/>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9"/>
      <c r="C214" s="1180"/>
      <c r="D214" s="2301"/>
      <c r="E214" s="81">
        <f t="shared" si="149"/>
        <v>0</v>
      </c>
      <c r="F214" s="82"/>
      <c r="G214" s="83">
        <f t="shared" si="150"/>
        <v>0</v>
      </c>
      <c r="H214" s="84">
        <f t="shared" si="151"/>
        <v>0</v>
      </c>
      <c r="I214" s="1180"/>
      <c r="J214" s="85"/>
      <c r="K214" s="118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0"/>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9"/>
      <c r="C215" s="1180"/>
      <c r="D215" s="2301"/>
      <c r="E215" s="81">
        <f t="shared" si="149"/>
        <v>0</v>
      </c>
      <c r="F215" s="82"/>
      <c r="G215" s="83">
        <f t="shared" si="150"/>
        <v>0</v>
      </c>
      <c r="H215" s="84">
        <f t="shared" si="151"/>
        <v>0</v>
      </c>
      <c r="I215" s="1180"/>
      <c r="J215" s="85"/>
      <c r="K215" s="118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0"/>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9"/>
      <c r="C216" s="1180"/>
      <c r="D216" s="2301"/>
      <c r="E216" s="81">
        <f t="shared" si="149"/>
        <v>0</v>
      </c>
      <c r="F216" s="82"/>
      <c r="G216" s="83">
        <f t="shared" si="150"/>
        <v>0</v>
      </c>
      <c r="H216" s="84">
        <f t="shared" si="151"/>
        <v>0</v>
      </c>
      <c r="I216" s="1180"/>
      <c r="J216" s="85"/>
      <c r="K216" s="118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0"/>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9"/>
      <c r="C217" s="1180"/>
      <c r="D217" s="2301"/>
      <c r="E217" s="81">
        <f t="shared" si="149"/>
        <v>0</v>
      </c>
      <c r="F217" s="82"/>
      <c r="G217" s="83">
        <f t="shared" si="150"/>
        <v>0</v>
      </c>
      <c r="H217" s="84">
        <f t="shared" si="151"/>
        <v>0</v>
      </c>
      <c r="I217" s="1180"/>
      <c r="J217" s="85"/>
      <c r="K217" s="118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0"/>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9"/>
      <c r="C218" s="1180"/>
      <c r="D218" s="2301"/>
      <c r="E218" s="81">
        <f t="shared" si="149"/>
        <v>0</v>
      </c>
      <c r="F218" s="82"/>
      <c r="G218" s="83">
        <f t="shared" si="150"/>
        <v>0</v>
      </c>
      <c r="H218" s="84">
        <f t="shared" si="151"/>
        <v>0</v>
      </c>
      <c r="I218" s="1180"/>
      <c r="J218" s="85"/>
      <c r="K218" s="118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0"/>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9"/>
      <c r="C219" s="1180"/>
      <c r="D219" s="2301"/>
      <c r="E219" s="81">
        <f t="shared" si="149"/>
        <v>0</v>
      </c>
      <c r="F219" s="82"/>
      <c r="G219" s="83">
        <f t="shared" si="150"/>
        <v>0</v>
      </c>
      <c r="H219" s="84">
        <f t="shared" si="151"/>
        <v>0</v>
      </c>
      <c r="I219" s="1180"/>
      <c r="J219" s="85"/>
      <c r="K219" s="118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0"/>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9"/>
      <c r="C220" s="1180"/>
      <c r="D220" s="2301"/>
      <c r="E220" s="81">
        <f t="shared" si="149"/>
        <v>0</v>
      </c>
      <c r="F220" s="82"/>
      <c r="G220" s="83">
        <f t="shared" si="150"/>
        <v>0</v>
      </c>
      <c r="H220" s="84">
        <f t="shared" si="151"/>
        <v>0</v>
      </c>
      <c r="I220" s="1180"/>
      <c r="J220" s="85"/>
      <c r="K220" s="118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0"/>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9"/>
      <c r="C221" s="1180"/>
      <c r="D221" s="2301"/>
      <c r="E221" s="81">
        <f t="shared" si="149"/>
        <v>0</v>
      </c>
      <c r="F221" s="82"/>
      <c r="G221" s="83">
        <f t="shared" si="150"/>
        <v>0</v>
      </c>
      <c r="H221" s="84">
        <f t="shared" si="151"/>
        <v>0</v>
      </c>
      <c r="I221" s="1180"/>
      <c r="J221" s="85"/>
      <c r="K221" s="118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0"/>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9"/>
      <c r="C222" s="1180"/>
      <c r="D222" s="2301"/>
      <c r="E222" s="81">
        <f t="shared" si="149"/>
        <v>0</v>
      </c>
      <c r="F222" s="82"/>
      <c r="G222" s="83">
        <f t="shared" si="150"/>
        <v>0</v>
      </c>
      <c r="H222" s="84">
        <f t="shared" si="151"/>
        <v>0</v>
      </c>
      <c r="I222" s="1180"/>
      <c r="J222" s="85"/>
      <c r="K222" s="118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0"/>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9"/>
      <c r="C223" s="1180"/>
      <c r="D223" s="2301"/>
      <c r="E223" s="81">
        <f t="shared" si="149"/>
        <v>0</v>
      </c>
      <c r="F223" s="82"/>
      <c r="G223" s="83">
        <f t="shared" si="150"/>
        <v>0</v>
      </c>
      <c r="H223" s="84">
        <f t="shared" si="151"/>
        <v>0</v>
      </c>
      <c r="I223" s="1180"/>
      <c r="J223" s="85"/>
      <c r="K223" s="118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0"/>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9"/>
      <c r="C224" s="1180"/>
      <c r="D224" s="2301"/>
      <c r="E224" s="81">
        <f t="shared" si="149"/>
        <v>0</v>
      </c>
      <c r="F224" s="82"/>
      <c r="G224" s="83">
        <f t="shared" si="150"/>
        <v>0</v>
      </c>
      <c r="H224" s="84">
        <f t="shared" si="151"/>
        <v>0</v>
      </c>
      <c r="I224" s="1180"/>
      <c r="J224" s="85"/>
      <c r="K224" s="118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0"/>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9"/>
      <c r="C225" s="1180"/>
      <c r="D225" s="2301"/>
      <c r="E225" s="81">
        <f t="shared" si="149"/>
        <v>0</v>
      </c>
      <c r="F225" s="82"/>
      <c r="G225" s="83">
        <f t="shared" si="150"/>
        <v>0</v>
      </c>
      <c r="H225" s="84">
        <f t="shared" si="151"/>
        <v>0</v>
      </c>
      <c r="I225" s="1180"/>
      <c r="J225" s="85"/>
      <c r="K225" s="118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0"/>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9"/>
      <c r="C226" s="1180"/>
      <c r="D226" s="2301"/>
      <c r="E226" s="81">
        <f t="shared" si="149"/>
        <v>0</v>
      </c>
      <c r="F226" s="82"/>
      <c r="G226" s="83">
        <f t="shared" si="150"/>
        <v>0</v>
      </c>
      <c r="H226" s="84">
        <f t="shared" si="151"/>
        <v>0</v>
      </c>
      <c r="I226" s="1180"/>
      <c r="J226" s="85"/>
      <c r="K226" s="118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0"/>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9"/>
      <c r="C227" s="1180"/>
      <c r="D227" s="2301"/>
      <c r="E227" s="81">
        <f t="shared" si="149"/>
        <v>0</v>
      </c>
      <c r="F227" s="82"/>
      <c r="G227" s="83">
        <f t="shared" si="150"/>
        <v>0</v>
      </c>
      <c r="H227" s="84">
        <f t="shared" si="151"/>
        <v>0</v>
      </c>
      <c r="I227" s="1180"/>
      <c r="J227" s="85"/>
      <c r="K227" s="118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0"/>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9"/>
      <c r="C228" s="1180"/>
      <c r="D228" s="2301"/>
      <c r="E228" s="81">
        <f t="shared" si="149"/>
        <v>0</v>
      </c>
      <c r="F228" s="82"/>
      <c r="G228" s="83">
        <f t="shared" si="150"/>
        <v>0</v>
      </c>
      <c r="H228" s="84">
        <f t="shared" si="151"/>
        <v>0</v>
      </c>
      <c r="I228" s="1180"/>
      <c r="J228" s="85"/>
      <c r="K228" s="118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0"/>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9"/>
      <c r="C229" s="1180"/>
      <c r="D229" s="2301"/>
      <c r="E229" s="81">
        <f t="shared" si="149"/>
        <v>0</v>
      </c>
      <c r="F229" s="82"/>
      <c r="G229" s="83">
        <f t="shared" si="150"/>
        <v>0</v>
      </c>
      <c r="H229" s="84">
        <f t="shared" si="151"/>
        <v>0</v>
      </c>
      <c r="I229" s="1180"/>
      <c r="J229" s="85"/>
      <c r="K229" s="118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0"/>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9"/>
      <c r="C230" s="1180"/>
      <c r="D230" s="2301"/>
      <c r="E230" s="81">
        <f t="shared" si="149"/>
        <v>0</v>
      </c>
      <c r="F230" s="82"/>
      <c r="G230" s="83">
        <f t="shared" si="150"/>
        <v>0</v>
      </c>
      <c r="H230" s="84">
        <f t="shared" si="151"/>
        <v>0</v>
      </c>
      <c r="I230" s="1180"/>
      <c r="J230" s="85"/>
      <c r="K230" s="118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0"/>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9"/>
      <c r="C231" s="1180"/>
      <c r="D231" s="2301"/>
      <c r="E231" s="81">
        <f t="shared" si="149"/>
        <v>0</v>
      </c>
      <c r="F231" s="82"/>
      <c r="G231" s="83">
        <f t="shared" si="150"/>
        <v>0</v>
      </c>
      <c r="H231" s="84">
        <f t="shared" si="151"/>
        <v>0</v>
      </c>
      <c r="I231" s="1180"/>
      <c r="J231" s="85"/>
      <c r="K231" s="118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0"/>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9"/>
      <c r="C232" s="1180"/>
      <c r="D232" s="2301"/>
      <c r="E232" s="81">
        <f t="shared" si="149"/>
        <v>0</v>
      </c>
      <c r="F232" s="82"/>
      <c r="G232" s="83">
        <f t="shared" si="150"/>
        <v>0</v>
      </c>
      <c r="H232" s="84">
        <f t="shared" si="151"/>
        <v>0</v>
      </c>
      <c r="I232" s="1180"/>
      <c r="J232" s="85"/>
      <c r="K232" s="118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0"/>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9"/>
      <c r="C233" s="1180"/>
      <c r="D233" s="2301"/>
      <c r="E233" s="81">
        <f t="shared" si="149"/>
        <v>0</v>
      </c>
      <c r="F233" s="82"/>
      <c r="G233" s="83">
        <f t="shared" si="150"/>
        <v>0</v>
      </c>
      <c r="H233" s="84">
        <f t="shared" si="151"/>
        <v>0</v>
      </c>
      <c r="I233" s="1180"/>
      <c r="J233" s="85"/>
      <c r="K233" s="118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0"/>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9"/>
      <c r="C234" s="1180"/>
      <c r="D234" s="2301"/>
      <c r="E234" s="81">
        <f t="shared" si="149"/>
        <v>0</v>
      </c>
      <c r="F234" s="82"/>
      <c r="G234" s="83">
        <f t="shared" si="150"/>
        <v>0</v>
      </c>
      <c r="H234" s="84">
        <f t="shared" si="151"/>
        <v>0</v>
      </c>
      <c r="I234" s="1180"/>
      <c r="J234" s="85"/>
      <c r="K234" s="118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0"/>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9"/>
      <c r="C235" s="1180"/>
      <c r="D235" s="2301"/>
      <c r="E235" s="81">
        <f t="shared" si="149"/>
        <v>0</v>
      </c>
      <c r="F235" s="82"/>
      <c r="G235" s="83">
        <f t="shared" si="150"/>
        <v>0</v>
      </c>
      <c r="H235" s="84">
        <f t="shared" si="151"/>
        <v>0</v>
      </c>
      <c r="I235" s="1180"/>
      <c r="J235" s="85"/>
      <c r="K235" s="118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0"/>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9"/>
      <c r="C236" s="1180"/>
      <c r="D236" s="2301"/>
      <c r="E236" s="81">
        <f t="shared" si="149"/>
        <v>0</v>
      </c>
      <c r="F236" s="82"/>
      <c r="G236" s="83">
        <f t="shared" si="150"/>
        <v>0</v>
      </c>
      <c r="H236" s="84">
        <f t="shared" si="151"/>
        <v>0</v>
      </c>
      <c r="I236" s="1180"/>
      <c r="J236" s="85"/>
      <c r="K236" s="118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0"/>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9"/>
      <c r="C237" s="1180"/>
      <c r="D237" s="2301"/>
      <c r="E237" s="81">
        <f t="shared" si="149"/>
        <v>0</v>
      </c>
      <c r="F237" s="82"/>
      <c r="G237" s="83">
        <f t="shared" si="150"/>
        <v>0</v>
      </c>
      <c r="H237" s="84">
        <f t="shared" si="151"/>
        <v>0</v>
      </c>
      <c r="I237" s="1180"/>
      <c r="J237" s="85"/>
      <c r="K237" s="118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0"/>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9"/>
      <c r="C238" s="1180"/>
      <c r="D238" s="2301"/>
      <c r="E238" s="81">
        <f t="shared" si="149"/>
        <v>0</v>
      </c>
      <c r="F238" s="82"/>
      <c r="G238" s="83">
        <f t="shared" si="150"/>
        <v>0</v>
      </c>
      <c r="H238" s="84">
        <f t="shared" si="151"/>
        <v>0</v>
      </c>
      <c r="I238" s="1180"/>
      <c r="J238" s="85"/>
      <c r="K238" s="118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0"/>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9"/>
      <c r="C239" s="1180"/>
      <c r="D239" s="2301"/>
      <c r="E239" s="81">
        <f t="shared" si="149"/>
        <v>0</v>
      </c>
      <c r="F239" s="82"/>
      <c r="G239" s="83">
        <f t="shared" si="150"/>
        <v>0</v>
      </c>
      <c r="H239" s="84">
        <f t="shared" si="151"/>
        <v>0</v>
      </c>
      <c r="I239" s="1180"/>
      <c r="J239" s="85"/>
      <c r="K239" s="1180"/>
      <c r="L239" s="85"/>
      <c r="M239" s="1180"/>
      <c r="N239" s="85"/>
      <c r="O239" s="85"/>
      <c r="P239" s="85"/>
      <c r="Q239" s="85"/>
      <c r="R239" s="85"/>
      <c r="S239" s="85"/>
      <c r="T239" s="85"/>
      <c r="U239" s="85"/>
      <c r="V239" s="85"/>
      <c r="W239" s="85"/>
      <c r="X239" s="85"/>
      <c r="Y239" s="85"/>
      <c r="Z239" s="85"/>
      <c r="AA239" s="85"/>
      <c r="AB239" s="85"/>
      <c r="AC239" s="81">
        <f t="shared" si="152"/>
        <v>0</v>
      </c>
      <c r="AD239" s="86"/>
      <c r="AE239" s="86"/>
      <c r="AF239" s="1180"/>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1"/>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1"/>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1"/>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1"/>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1"/>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1"/>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1"/>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1"/>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1"/>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1"/>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1"/>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1"/>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1"/>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1"/>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1"/>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1"/>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1"/>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1"/>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1"/>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1"/>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1"/>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1"/>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1"/>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1"/>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1"/>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1"/>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1"/>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1"/>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1"/>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1"/>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1"/>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1"/>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1"/>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1"/>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1"/>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1"/>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1"/>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1"/>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1"/>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1"/>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1"/>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1"/>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1"/>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1"/>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1"/>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1"/>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1"/>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1"/>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1"/>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1"/>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1"/>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1"/>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1"/>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1"/>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1"/>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1"/>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1"/>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9"/>
      <c r="C297" s="1180"/>
      <c r="D297" s="2301"/>
      <c r="E297" s="81">
        <f t="shared" ref="E297:E328" si="203">IF($C$3="是",ROUND($A$3*G297/$B$3,2),ROUND($A$3*(G297-AT297)/$B$3,2))</f>
        <v>0</v>
      </c>
      <c r="F297" s="82"/>
      <c r="G297" s="83">
        <f t="shared" si="178"/>
        <v>0</v>
      </c>
      <c r="H297" s="84">
        <f t="shared" si="179"/>
        <v>0</v>
      </c>
      <c r="I297" s="1180"/>
      <c r="J297" s="85"/>
      <c r="K297" s="118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1"/>
      <c r="AG297" s="86"/>
      <c r="AH297" s="86"/>
      <c r="AI297" s="86"/>
      <c r="AJ297" s="86"/>
      <c r="AK297" s="86"/>
      <c r="AL297" s="86"/>
      <c r="AM297" s="86"/>
      <c r="AN297" s="1157"/>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9"/>
      <c r="C298" s="1180"/>
      <c r="D298" s="2301"/>
      <c r="E298" s="81">
        <f t="shared" si="203"/>
        <v>0</v>
      </c>
      <c r="F298" s="82"/>
      <c r="G298" s="83">
        <f t="shared" si="178"/>
        <v>0</v>
      </c>
      <c r="H298" s="84">
        <f t="shared" si="179"/>
        <v>0</v>
      </c>
      <c r="I298" s="1180"/>
      <c r="J298" s="85"/>
      <c r="K298" s="1180"/>
      <c r="L298" s="85"/>
      <c r="M298" s="1157"/>
      <c r="N298" s="85"/>
      <c r="O298" s="85"/>
      <c r="P298" s="85"/>
      <c r="Q298" s="85"/>
      <c r="R298" s="85"/>
      <c r="S298" s="85"/>
      <c r="T298" s="85"/>
      <c r="U298" s="85"/>
      <c r="V298" s="85"/>
      <c r="W298" s="85"/>
      <c r="X298" s="85"/>
      <c r="Y298" s="85"/>
      <c r="Z298" s="85"/>
      <c r="AA298" s="85"/>
      <c r="AB298" s="85"/>
      <c r="AC298" s="81">
        <f t="shared" si="180"/>
        <v>0</v>
      </c>
      <c r="AD298" s="1157"/>
      <c r="AE298" s="86"/>
      <c r="AF298" s="1181"/>
      <c r="AG298" s="86"/>
      <c r="AH298" s="86"/>
      <c r="AI298" s="86"/>
      <c r="AJ298" s="86"/>
      <c r="AK298" s="86"/>
      <c r="AL298" s="1157"/>
      <c r="AM298" s="86"/>
      <c r="AN298" s="1157"/>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9"/>
      <c r="C299" s="1180"/>
      <c r="D299" s="2301"/>
      <c r="E299" s="81">
        <f t="shared" si="203"/>
        <v>0</v>
      </c>
      <c r="F299" s="82"/>
      <c r="G299" s="83">
        <f t="shared" si="178"/>
        <v>0</v>
      </c>
      <c r="H299" s="84">
        <f t="shared" si="179"/>
        <v>0</v>
      </c>
      <c r="I299" s="1180"/>
      <c r="J299" s="85"/>
      <c r="K299" s="1180"/>
      <c r="L299" s="85"/>
      <c r="M299" s="1157"/>
      <c r="N299" s="85"/>
      <c r="O299" s="85"/>
      <c r="P299" s="85"/>
      <c r="Q299" s="85"/>
      <c r="R299" s="85"/>
      <c r="S299" s="85"/>
      <c r="T299" s="85"/>
      <c r="U299" s="85"/>
      <c r="V299" s="85"/>
      <c r="W299" s="85"/>
      <c r="X299" s="85"/>
      <c r="Y299" s="85"/>
      <c r="Z299" s="85"/>
      <c r="AA299" s="85"/>
      <c r="AB299" s="85"/>
      <c r="AC299" s="81">
        <f t="shared" si="180"/>
        <v>0</v>
      </c>
      <c r="AD299" s="86"/>
      <c r="AE299" s="86"/>
      <c r="AF299" s="1181"/>
      <c r="AG299" s="86"/>
      <c r="AH299" s="86"/>
      <c r="AI299" s="86"/>
      <c r="AJ299" s="86"/>
      <c r="AK299" s="86"/>
      <c r="AL299" s="1157"/>
      <c r="AM299" s="86"/>
      <c r="AN299" s="1157"/>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9"/>
      <c r="C300" s="1180"/>
      <c r="D300" s="2301"/>
      <c r="E300" s="81">
        <f t="shared" si="203"/>
        <v>0</v>
      </c>
      <c r="F300" s="82"/>
      <c r="G300" s="83">
        <f t="shared" si="178"/>
        <v>0</v>
      </c>
      <c r="H300" s="84">
        <f t="shared" si="179"/>
        <v>0</v>
      </c>
      <c r="I300" s="1180"/>
      <c r="J300" s="85"/>
      <c r="K300" s="1180"/>
      <c r="L300" s="85"/>
      <c r="M300" s="85"/>
      <c r="N300" s="85"/>
      <c r="O300" s="1157"/>
      <c r="P300" s="85"/>
      <c r="Q300" s="85"/>
      <c r="R300" s="85"/>
      <c r="S300" s="85"/>
      <c r="T300" s="85"/>
      <c r="U300" s="85"/>
      <c r="V300" s="85"/>
      <c r="W300" s="85"/>
      <c r="X300" s="85"/>
      <c r="Y300" s="85"/>
      <c r="Z300" s="85"/>
      <c r="AA300" s="85"/>
      <c r="AB300" s="85"/>
      <c r="AC300" s="81">
        <f t="shared" si="180"/>
        <v>0</v>
      </c>
      <c r="AD300" s="86"/>
      <c r="AE300" s="86"/>
      <c r="AF300" s="1181"/>
      <c r="AG300" s="86"/>
      <c r="AH300" s="86"/>
      <c r="AI300" s="86"/>
      <c r="AJ300" s="86"/>
      <c r="AK300" s="86"/>
      <c r="AL300" s="86"/>
      <c r="AM300" s="86"/>
      <c r="AN300" s="1157"/>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9"/>
      <c r="C301" s="1180"/>
      <c r="D301" s="2301"/>
      <c r="E301" s="81">
        <f t="shared" si="203"/>
        <v>0</v>
      </c>
      <c r="F301" s="82"/>
      <c r="G301" s="83">
        <f t="shared" si="178"/>
        <v>0</v>
      </c>
      <c r="H301" s="84">
        <f t="shared" si="179"/>
        <v>0</v>
      </c>
      <c r="I301" s="1180"/>
      <c r="J301" s="85"/>
      <c r="K301" s="118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1"/>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9"/>
      <c r="C302" s="1180"/>
      <c r="D302" s="2301"/>
      <c r="E302" s="81">
        <f t="shared" si="203"/>
        <v>0</v>
      </c>
      <c r="F302" s="82"/>
      <c r="G302" s="83">
        <f t="shared" si="178"/>
        <v>0</v>
      </c>
      <c r="H302" s="84">
        <f t="shared" si="179"/>
        <v>0</v>
      </c>
      <c r="I302" s="1180"/>
      <c r="J302" s="85"/>
      <c r="K302" s="118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1"/>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9"/>
      <c r="C303" s="1180"/>
      <c r="D303" s="2301"/>
      <c r="E303" s="81">
        <f t="shared" si="203"/>
        <v>0</v>
      </c>
      <c r="F303" s="82"/>
      <c r="G303" s="83">
        <f t="shared" si="178"/>
        <v>0</v>
      </c>
      <c r="H303" s="84">
        <f t="shared" si="179"/>
        <v>0</v>
      </c>
      <c r="I303" s="1180"/>
      <c r="J303" s="85"/>
      <c r="K303" s="118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1"/>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9"/>
      <c r="C304" s="1180"/>
      <c r="D304" s="2301"/>
      <c r="E304" s="81">
        <f t="shared" si="203"/>
        <v>0</v>
      </c>
      <c r="F304" s="82"/>
      <c r="G304" s="83">
        <f t="shared" si="178"/>
        <v>0</v>
      </c>
      <c r="H304" s="84">
        <f t="shared" si="179"/>
        <v>0</v>
      </c>
      <c r="I304" s="1180"/>
      <c r="J304" s="85"/>
      <c r="K304" s="118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0"/>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9"/>
      <c r="C305" s="1180"/>
      <c r="D305" s="2301"/>
      <c r="E305" s="81">
        <f t="shared" si="203"/>
        <v>0</v>
      </c>
      <c r="F305" s="82"/>
      <c r="G305" s="83">
        <f t="shared" si="178"/>
        <v>0</v>
      </c>
      <c r="H305" s="84">
        <f t="shared" si="179"/>
        <v>0</v>
      </c>
      <c r="I305" s="1180"/>
      <c r="J305" s="85"/>
      <c r="K305" s="118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0"/>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9"/>
      <c r="C306" s="1180"/>
      <c r="D306" s="2301"/>
      <c r="E306" s="81">
        <f t="shared" si="203"/>
        <v>0</v>
      </c>
      <c r="F306" s="82"/>
      <c r="G306" s="83">
        <f t="shared" si="178"/>
        <v>0</v>
      </c>
      <c r="H306" s="84">
        <f t="shared" si="179"/>
        <v>0</v>
      </c>
      <c r="I306" s="1180"/>
      <c r="J306" s="85"/>
      <c r="K306" s="118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0"/>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9"/>
      <c r="C307" s="1180"/>
      <c r="D307" s="2301"/>
      <c r="E307" s="81">
        <f t="shared" si="203"/>
        <v>0</v>
      </c>
      <c r="F307" s="82"/>
      <c r="G307" s="83">
        <f t="shared" si="178"/>
        <v>0</v>
      </c>
      <c r="H307" s="84">
        <f t="shared" si="179"/>
        <v>0</v>
      </c>
      <c r="I307" s="1180"/>
      <c r="J307" s="85"/>
      <c r="K307" s="118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0"/>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9"/>
      <c r="C308" s="1180"/>
      <c r="D308" s="2301"/>
      <c r="E308" s="81">
        <f t="shared" si="203"/>
        <v>0</v>
      </c>
      <c r="F308" s="82"/>
      <c r="G308" s="83">
        <f t="shared" si="178"/>
        <v>0</v>
      </c>
      <c r="H308" s="84">
        <f t="shared" si="179"/>
        <v>0</v>
      </c>
      <c r="I308" s="1180"/>
      <c r="J308" s="85"/>
      <c r="K308" s="118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0"/>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9"/>
      <c r="C309" s="1180"/>
      <c r="D309" s="2301"/>
      <c r="E309" s="81">
        <f t="shared" si="203"/>
        <v>0</v>
      </c>
      <c r="F309" s="82"/>
      <c r="G309" s="83">
        <f t="shared" si="178"/>
        <v>0</v>
      </c>
      <c r="H309" s="84">
        <f t="shared" si="179"/>
        <v>0</v>
      </c>
      <c r="I309" s="1180"/>
      <c r="J309" s="85"/>
      <c r="K309" s="118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0"/>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9"/>
      <c r="C310" s="1180"/>
      <c r="D310" s="2301"/>
      <c r="E310" s="81">
        <f t="shared" si="203"/>
        <v>0</v>
      </c>
      <c r="F310" s="82"/>
      <c r="G310" s="83">
        <f t="shared" si="178"/>
        <v>0</v>
      </c>
      <c r="H310" s="84">
        <f t="shared" si="179"/>
        <v>0</v>
      </c>
      <c r="I310" s="1180"/>
      <c r="J310" s="85"/>
      <c r="K310" s="118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0"/>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9"/>
      <c r="C311" s="1180"/>
      <c r="D311" s="2301"/>
      <c r="E311" s="81">
        <f t="shared" si="203"/>
        <v>0</v>
      </c>
      <c r="F311" s="82"/>
      <c r="G311" s="83">
        <f t="shared" si="178"/>
        <v>0</v>
      </c>
      <c r="H311" s="84">
        <f t="shared" si="179"/>
        <v>0</v>
      </c>
      <c r="I311" s="1180"/>
      <c r="J311" s="85"/>
      <c r="K311" s="118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0"/>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9"/>
      <c r="C312" s="1180"/>
      <c r="D312" s="2301"/>
      <c r="E312" s="81">
        <f t="shared" si="203"/>
        <v>0</v>
      </c>
      <c r="F312" s="82"/>
      <c r="G312" s="83">
        <f t="shared" si="178"/>
        <v>0</v>
      </c>
      <c r="H312" s="84">
        <f t="shared" si="179"/>
        <v>0</v>
      </c>
      <c r="I312" s="1180"/>
      <c r="J312" s="85"/>
      <c r="K312" s="118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0"/>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9"/>
      <c r="C313" s="1180"/>
      <c r="D313" s="2301"/>
      <c r="E313" s="81">
        <f t="shared" si="203"/>
        <v>0</v>
      </c>
      <c r="F313" s="82"/>
      <c r="G313" s="83">
        <f t="shared" si="178"/>
        <v>0</v>
      </c>
      <c r="H313" s="84">
        <f t="shared" si="179"/>
        <v>0</v>
      </c>
      <c r="I313" s="1180"/>
      <c r="J313" s="85"/>
      <c r="K313" s="118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0"/>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9"/>
      <c r="C314" s="1180"/>
      <c r="D314" s="2301"/>
      <c r="E314" s="81">
        <f t="shared" si="203"/>
        <v>0</v>
      </c>
      <c r="F314" s="82"/>
      <c r="G314" s="83">
        <f t="shared" si="178"/>
        <v>0</v>
      </c>
      <c r="H314" s="84">
        <f t="shared" si="179"/>
        <v>0</v>
      </c>
      <c r="I314" s="1180"/>
      <c r="J314" s="85"/>
      <c r="K314" s="118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0"/>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9"/>
      <c r="C315" s="1180"/>
      <c r="D315" s="2301"/>
      <c r="E315" s="81">
        <f t="shared" si="203"/>
        <v>0</v>
      </c>
      <c r="F315" s="82"/>
      <c r="G315" s="83">
        <f t="shared" si="178"/>
        <v>0</v>
      </c>
      <c r="H315" s="84">
        <f t="shared" si="179"/>
        <v>0</v>
      </c>
      <c r="I315" s="1180"/>
      <c r="J315" s="85"/>
      <c r="K315" s="118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0"/>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9"/>
      <c r="C316" s="1180"/>
      <c r="D316" s="2301"/>
      <c r="E316" s="81">
        <f t="shared" si="203"/>
        <v>0</v>
      </c>
      <c r="F316" s="82"/>
      <c r="G316" s="83">
        <f t="shared" si="178"/>
        <v>0</v>
      </c>
      <c r="H316" s="84">
        <f t="shared" si="179"/>
        <v>0</v>
      </c>
      <c r="I316" s="1180"/>
      <c r="J316" s="85"/>
      <c r="K316" s="118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0"/>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9"/>
      <c r="C317" s="1180"/>
      <c r="D317" s="2301"/>
      <c r="E317" s="81">
        <f t="shared" si="203"/>
        <v>0</v>
      </c>
      <c r="F317" s="82"/>
      <c r="G317" s="83">
        <f t="shared" si="178"/>
        <v>0</v>
      </c>
      <c r="H317" s="84">
        <f t="shared" si="179"/>
        <v>0</v>
      </c>
      <c r="I317" s="1180"/>
      <c r="J317" s="85"/>
      <c r="K317" s="118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0"/>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9"/>
      <c r="C318" s="1180"/>
      <c r="D318" s="2301"/>
      <c r="E318" s="81">
        <f t="shared" si="203"/>
        <v>0</v>
      </c>
      <c r="F318" s="82"/>
      <c r="G318" s="83">
        <f t="shared" si="178"/>
        <v>0</v>
      </c>
      <c r="H318" s="84">
        <f t="shared" si="179"/>
        <v>0</v>
      </c>
      <c r="I318" s="1180"/>
      <c r="J318" s="85"/>
      <c r="K318" s="118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0"/>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9"/>
      <c r="C319" s="1180"/>
      <c r="D319" s="2301"/>
      <c r="E319" s="81">
        <f t="shared" si="203"/>
        <v>0</v>
      </c>
      <c r="F319" s="82"/>
      <c r="G319" s="83">
        <f t="shared" si="178"/>
        <v>0</v>
      </c>
      <c r="H319" s="84">
        <f t="shared" si="179"/>
        <v>0</v>
      </c>
      <c r="I319" s="1180"/>
      <c r="J319" s="85"/>
      <c r="K319" s="118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0"/>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9"/>
      <c r="C320" s="1180"/>
      <c r="D320" s="2301"/>
      <c r="E320" s="81">
        <f t="shared" si="203"/>
        <v>0</v>
      </c>
      <c r="F320" s="82"/>
      <c r="G320" s="83">
        <f t="shared" si="178"/>
        <v>0</v>
      </c>
      <c r="H320" s="84">
        <f t="shared" si="179"/>
        <v>0</v>
      </c>
      <c r="I320" s="1180"/>
      <c r="J320" s="85"/>
      <c r="K320" s="118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0"/>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9"/>
      <c r="C321" s="1180"/>
      <c r="D321" s="2301"/>
      <c r="E321" s="81">
        <f t="shared" si="203"/>
        <v>0</v>
      </c>
      <c r="F321" s="82"/>
      <c r="G321" s="83">
        <f t="shared" si="178"/>
        <v>0</v>
      </c>
      <c r="H321" s="84">
        <f t="shared" si="179"/>
        <v>0</v>
      </c>
      <c r="I321" s="1180"/>
      <c r="J321" s="85"/>
      <c r="K321" s="118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0"/>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9"/>
      <c r="C322" s="1180"/>
      <c r="D322" s="2301"/>
      <c r="E322" s="81">
        <f t="shared" si="203"/>
        <v>0</v>
      </c>
      <c r="F322" s="82"/>
      <c r="G322" s="83">
        <f t="shared" si="178"/>
        <v>0</v>
      </c>
      <c r="H322" s="84">
        <f t="shared" si="179"/>
        <v>0</v>
      </c>
      <c r="I322" s="1180"/>
      <c r="J322" s="85"/>
      <c r="K322" s="118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0"/>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9"/>
      <c r="C323" s="1180"/>
      <c r="D323" s="2301"/>
      <c r="E323" s="81">
        <f t="shared" si="203"/>
        <v>0</v>
      </c>
      <c r="F323" s="82"/>
      <c r="G323" s="83">
        <f t="shared" si="178"/>
        <v>0</v>
      </c>
      <c r="H323" s="84">
        <f t="shared" si="179"/>
        <v>0</v>
      </c>
      <c r="I323" s="1180"/>
      <c r="J323" s="85"/>
      <c r="K323" s="118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0"/>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9"/>
      <c r="C324" s="1180"/>
      <c r="D324" s="2301"/>
      <c r="E324" s="81">
        <f t="shared" si="203"/>
        <v>0</v>
      </c>
      <c r="F324" s="82"/>
      <c r="G324" s="83">
        <f t="shared" si="178"/>
        <v>0</v>
      </c>
      <c r="H324" s="84">
        <f t="shared" si="179"/>
        <v>0</v>
      </c>
      <c r="I324" s="1180"/>
      <c r="J324" s="85"/>
      <c r="K324" s="118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0"/>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9"/>
      <c r="C325" s="1180"/>
      <c r="D325" s="2301"/>
      <c r="E325" s="81">
        <f t="shared" si="203"/>
        <v>0</v>
      </c>
      <c r="F325" s="82"/>
      <c r="G325" s="83">
        <f t="shared" si="178"/>
        <v>0</v>
      </c>
      <c r="H325" s="84">
        <f t="shared" si="179"/>
        <v>0</v>
      </c>
      <c r="I325" s="1180"/>
      <c r="J325" s="85"/>
      <c r="K325" s="118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0"/>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9"/>
      <c r="C326" s="1180"/>
      <c r="D326" s="2301"/>
      <c r="E326" s="81">
        <f t="shared" si="203"/>
        <v>0</v>
      </c>
      <c r="F326" s="82"/>
      <c r="G326" s="83">
        <f t="shared" ref="G326:G357" si="207">H326+AC326+AT326</f>
        <v>0</v>
      </c>
      <c r="H326" s="84">
        <f t="shared" ref="H326:H357" si="208">SUMIF(I$12:AB$12,"总值",I326:AB326)</f>
        <v>0</v>
      </c>
      <c r="I326" s="1180"/>
      <c r="J326" s="85"/>
      <c r="K326" s="118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0"/>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9"/>
      <c r="C327" s="1180"/>
      <c r="D327" s="2301"/>
      <c r="E327" s="81">
        <f t="shared" si="203"/>
        <v>0</v>
      </c>
      <c r="F327" s="82"/>
      <c r="G327" s="83">
        <f t="shared" si="207"/>
        <v>0</v>
      </c>
      <c r="H327" s="84">
        <f t="shared" si="208"/>
        <v>0</v>
      </c>
      <c r="I327" s="1180"/>
      <c r="J327" s="85"/>
      <c r="K327" s="118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0"/>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9"/>
      <c r="C328" s="1180"/>
      <c r="D328" s="2301"/>
      <c r="E328" s="81">
        <f t="shared" si="203"/>
        <v>0</v>
      </c>
      <c r="F328" s="82"/>
      <c r="G328" s="83">
        <f t="shared" si="207"/>
        <v>0</v>
      </c>
      <c r="H328" s="84">
        <f t="shared" si="208"/>
        <v>0</v>
      </c>
      <c r="I328" s="1180"/>
      <c r="J328" s="85"/>
      <c r="K328" s="118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0"/>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9"/>
      <c r="C329" s="1180"/>
      <c r="D329" s="2301"/>
      <c r="E329" s="81">
        <f t="shared" ref="E329:E360" si="232">IF($C$3="是",ROUND($A$3*G329/$B$3,2),ROUND($A$3*(G329-AT329)/$B$3,2))</f>
        <v>0</v>
      </c>
      <c r="F329" s="82"/>
      <c r="G329" s="83">
        <f t="shared" si="207"/>
        <v>0</v>
      </c>
      <c r="H329" s="84">
        <f t="shared" si="208"/>
        <v>0</v>
      </c>
      <c r="I329" s="1180"/>
      <c r="J329" s="85"/>
      <c r="K329" s="118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0"/>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9"/>
      <c r="C330" s="1180"/>
      <c r="D330" s="2301"/>
      <c r="E330" s="81">
        <f t="shared" si="232"/>
        <v>0</v>
      </c>
      <c r="F330" s="82"/>
      <c r="G330" s="83">
        <f t="shared" si="207"/>
        <v>0</v>
      </c>
      <c r="H330" s="84">
        <f t="shared" si="208"/>
        <v>0</v>
      </c>
      <c r="I330" s="1180"/>
      <c r="J330" s="85"/>
      <c r="K330" s="118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0"/>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9"/>
      <c r="C331" s="1180"/>
      <c r="D331" s="2301"/>
      <c r="E331" s="81">
        <f t="shared" si="232"/>
        <v>0</v>
      </c>
      <c r="F331" s="82"/>
      <c r="G331" s="83">
        <f t="shared" si="207"/>
        <v>0</v>
      </c>
      <c r="H331" s="84">
        <f t="shared" si="208"/>
        <v>0</v>
      </c>
      <c r="I331" s="1180"/>
      <c r="J331" s="85"/>
      <c r="K331" s="1180"/>
      <c r="L331" s="85"/>
      <c r="M331" s="1180"/>
      <c r="N331" s="85"/>
      <c r="O331" s="85"/>
      <c r="P331" s="85"/>
      <c r="Q331" s="85"/>
      <c r="R331" s="85"/>
      <c r="S331" s="85"/>
      <c r="T331" s="85"/>
      <c r="U331" s="85"/>
      <c r="V331" s="85"/>
      <c r="W331" s="85"/>
      <c r="X331" s="85"/>
      <c r="Y331" s="85"/>
      <c r="Z331" s="85"/>
      <c r="AA331" s="85"/>
      <c r="AB331" s="85"/>
      <c r="AC331" s="81">
        <f t="shared" si="209"/>
        <v>0</v>
      </c>
      <c r="AD331" s="86"/>
      <c r="AE331" s="86"/>
      <c r="AF331" s="1180"/>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1"/>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1"/>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1"/>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1"/>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1"/>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1"/>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1"/>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1"/>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1"/>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1"/>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1"/>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1"/>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1"/>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1"/>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1"/>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1"/>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1"/>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1"/>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1"/>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1"/>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1"/>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1"/>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1"/>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1"/>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1"/>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1"/>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1"/>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1"/>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1"/>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1"/>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1"/>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1"/>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1"/>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1"/>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1"/>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1"/>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1"/>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1"/>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1"/>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1"/>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1"/>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1"/>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1"/>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1"/>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1"/>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1"/>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1"/>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1"/>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1"/>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1"/>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1"/>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1"/>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1"/>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1"/>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1"/>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1"/>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1"/>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9"/>
      <c r="C389" s="1180"/>
      <c r="D389" s="2301"/>
      <c r="E389" s="81">
        <f t="shared" ref="E389:E480" si="265">IF($C$3="是",ROUND($A$3*G389/$B$3,2),ROUND($A$3*(G389-AT389)/$B$3,2))</f>
        <v>0</v>
      </c>
      <c r="F389" s="82"/>
      <c r="G389" s="83">
        <f t="shared" ref="G389:G477" si="266">H389+AC389+AT389</f>
        <v>0</v>
      </c>
      <c r="H389" s="84">
        <f t="shared" ref="H389:H477" si="267">SUMIF(I$12:AB$12,"总值",I389:AB389)</f>
        <v>0</v>
      </c>
      <c r="I389" s="1180"/>
      <c r="J389" s="85"/>
      <c r="K389" s="118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1"/>
      <c r="AG389" s="86"/>
      <c r="AH389" s="86"/>
      <c r="AI389" s="86"/>
      <c r="AJ389" s="86"/>
      <c r="AK389" s="86"/>
      <c r="AL389" s="86"/>
      <c r="AM389" s="86"/>
      <c r="AN389" s="1157"/>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9"/>
      <c r="C390" s="1180"/>
      <c r="D390" s="2301"/>
      <c r="E390" s="81">
        <f t="shared" si="265"/>
        <v>0</v>
      </c>
      <c r="F390" s="82"/>
      <c r="G390" s="83">
        <f t="shared" si="266"/>
        <v>0</v>
      </c>
      <c r="H390" s="84">
        <f t="shared" si="267"/>
        <v>0</v>
      </c>
      <c r="I390" s="1180"/>
      <c r="J390" s="85"/>
      <c r="K390" s="1180"/>
      <c r="L390" s="85"/>
      <c r="M390" s="1157"/>
      <c r="N390" s="85"/>
      <c r="O390" s="85"/>
      <c r="P390" s="85"/>
      <c r="Q390" s="85"/>
      <c r="R390" s="85"/>
      <c r="S390" s="85"/>
      <c r="T390" s="85"/>
      <c r="U390" s="85"/>
      <c r="V390" s="85"/>
      <c r="W390" s="85"/>
      <c r="X390" s="85"/>
      <c r="Y390" s="85"/>
      <c r="Z390" s="85"/>
      <c r="AA390" s="85"/>
      <c r="AB390" s="85"/>
      <c r="AC390" s="81">
        <f t="shared" si="268"/>
        <v>0</v>
      </c>
      <c r="AD390" s="1157"/>
      <c r="AE390" s="86"/>
      <c r="AF390" s="1181"/>
      <c r="AG390" s="86"/>
      <c r="AH390" s="86"/>
      <c r="AI390" s="86"/>
      <c r="AJ390" s="86"/>
      <c r="AK390" s="86"/>
      <c r="AL390" s="1157"/>
      <c r="AM390" s="86"/>
      <c r="AN390" s="1157"/>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9"/>
      <c r="C391" s="1180"/>
      <c r="D391" s="2301"/>
      <c r="E391" s="81">
        <f t="shared" si="265"/>
        <v>0</v>
      </c>
      <c r="F391" s="82"/>
      <c r="G391" s="83">
        <f t="shared" si="266"/>
        <v>0</v>
      </c>
      <c r="H391" s="84">
        <f t="shared" si="267"/>
        <v>0</v>
      </c>
      <c r="I391" s="1180"/>
      <c r="J391" s="85"/>
      <c r="K391" s="1180"/>
      <c r="L391" s="85"/>
      <c r="M391" s="1157"/>
      <c r="N391" s="85"/>
      <c r="O391" s="85"/>
      <c r="P391" s="85"/>
      <c r="Q391" s="85"/>
      <c r="R391" s="85"/>
      <c r="S391" s="85"/>
      <c r="T391" s="85"/>
      <c r="U391" s="85"/>
      <c r="V391" s="85"/>
      <c r="W391" s="85"/>
      <c r="X391" s="85"/>
      <c r="Y391" s="85"/>
      <c r="Z391" s="85"/>
      <c r="AA391" s="85"/>
      <c r="AB391" s="85"/>
      <c r="AC391" s="81">
        <f t="shared" si="268"/>
        <v>0</v>
      </c>
      <c r="AD391" s="86"/>
      <c r="AE391" s="86"/>
      <c r="AF391" s="1181"/>
      <c r="AG391" s="86"/>
      <c r="AH391" s="86"/>
      <c r="AI391" s="86"/>
      <c r="AJ391" s="86"/>
      <c r="AK391" s="86"/>
      <c r="AL391" s="1157"/>
      <c r="AM391" s="86"/>
      <c r="AN391" s="1157"/>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9"/>
      <c r="C392" s="1180"/>
      <c r="D392" s="2301"/>
      <c r="E392" s="81">
        <f t="shared" si="265"/>
        <v>0</v>
      </c>
      <c r="F392" s="82"/>
      <c r="G392" s="83">
        <f t="shared" si="266"/>
        <v>0</v>
      </c>
      <c r="H392" s="84">
        <f t="shared" si="267"/>
        <v>0</v>
      </c>
      <c r="I392" s="1180"/>
      <c r="J392" s="85"/>
      <c r="K392" s="1180"/>
      <c r="L392" s="85"/>
      <c r="M392" s="85"/>
      <c r="N392" s="85"/>
      <c r="O392" s="1157"/>
      <c r="P392" s="85"/>
      <c r="Q392" s="85"/>
      <c r="R392" s="85"/>
      <c r="S392" s="85"/>
      <c r="T392" s="85"/>
      <c r="U392" s="85"/>
      <c r="V392" s="85"/>
      <c r="W392" s="85"/>
      <c r="X392" s="85"/>
      <c r="Y392" s="85"/>
      <c r="Z392" s="85"/>
      <c r="AA392" s="85"/>
      <c r="AB392" s="85"/>
      <c r="AC392" s="81">
        <f t="shared" si="268"/>
        <v>0</v>
      </c>
      <c r="AD392" s="86"/>
      <c r="AE392" s="86"/>
      <c r="AF392" s="1181"/>
      <c r="AG392" s="86"/>
      <c r="AH392" s="86"/>
      <c r="AI392" s="86"/>
      <c r="AJ392" s="86"/>
      <c r="AK392" s="86"/>
      <c r="AL392" s="86"/>
      <c r="AM392" s="86"/>
      <c r="AN392" s="1157"/>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9"/>
      <c r="C393" s="1180"/>
      <c r="D393" s="2301"/>
      <c r="E393" s="81">
        <f t="shared" si="265"/>
        <v>0</v>
      </c>
      <c r="F393" s="82"/>
      <c r="G393" s="83">
        <f t="shared" si="266"/>
        <v>0</v>
      </c>
      <c r="H393" s="84">
        <f t="shared" si="267"/>
        <v>0</v>
      </c>
      <c r="I393" s="1180"/>
      <c r="J393" s="85"/>
      <c r="K393" s="118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1"/>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9"/>
      <c r="C394" s="1180"/>
      <c r="D394" s="2301"/>
      <c r="E394" s="81">
        <f t="shared" si="265"/>
        <v>0</v>
      </c>
      <c r="F394" s="82"/>
      <c r="G394" s="83">
        <f t="shared" si="266"/>
        <v>0</v>
      </c>
      <c r="H394" s="84">
        <f t="shared" si="267"/>
        <v>0</v>
      </c>
      <c r="I394" s="1180"/>
      <c r="J394" s="85"/>
      <c r="K394" s="118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1"/>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9"/>
      <c r="C395" s="1180"/>
      <c r="D395" s="2301"/>
      <c r="E395" s="81">
        <f t="shared" si="265"/>
        <v>0</v>
      </c>
      <c r="F395" s="82"/>
      <c r="G395" s="83">
        <f t="shared" si="266"/>
        <v>0</v>
      </c>
      <c r="H395" s="84">
        <f t="shared" si="267"/>
        <v>0</v>
      </c>
      <c r="I395" s="1180"/>
      <c r="J395" s="85"/>
      <c r="K395" s="118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1"/>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9"/>
      <c r="C396" s="1180"/>
      <c r="D396" s="2301"/>
      <c r="E396" s="81">
        <f t="shared" si="265"/>
        <v>0</v>
      </c>
      <c r="F396" s="82"/>
      <c r="G396" s="83">
        <f t="shared" si="266"/>
        <v>0</v>
      </c>
      <c r="H396" s="84">
        <f t="shared" si="267"/>
        <v>0</v>
      </c>
      <c r="I396" s="1180"/>
      <c r="J396" s="85"/>
      <c r="K396" s="118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0"/>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9"/>
      <c r="C397" s="1180"/>
      <c r="D397" s="2301"/>
      <c r="E397" s="81">
        <f t="shared" si="265"/>
        <v>0</v>
      </c>
      <c r="F397" s="82"/>
      <c r="G397" s="83">
        <f t="shared" si="266"/>
        <v>0</v>
      </c>
      <c r="H397" s="84">
        <f t="shared" si="267"/>
        <v>0</v>
      </c>
      <c r="I397" s="1180"/>
      <c r="J397" s="85"/>
      <c r="K397" s="118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0"/>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9"/>
      <c r="C398" s="1180"/>
      <c r="D398" s="2301"/>
      <c r="E398" s="81">
        <f t="shared" si="265"/>
        <v>0</v>
      </c>
      <c r="F398" s="82"/>
      <c r="G398" s="83">
        <f t="shared" si="266"/>
        <v>0</v>
      </c>
      <c r="H398" s="84">
        <f t="shared" si="267"/>
        <v>0</v>
      </c>
      <c r="I398" s="1180"/>
      <c r="J398" s="85"/>
      <c r="K398" s="118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0"/>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9"/>
      <c r="C399" s="1180"/>
      <c r="D399" s="2301"/>
      <c r="E399" s="81">
        <f t="shared" si="265"/>
        <v>0</v>
      </c>
      <c r="F399" s="82"/>
      <c r="G399" s="83">
        <f t="shared" si="266"/>
        <v>0</v>
      </c>
      <c r="H399" s="84">
        <f t="shared" si="267"/>
        <v>0</v>
      </c>
      <c r="I399" s="1180"/>
      <c r="J399" s="85"/>
      <c r="K399" s="118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0"/>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9"/>
      <c r="C400" s="1180"/>
      <c r="D400" s="2301"/>
      <c r="E400" s="81">
        <f t="shared" si="265"/>
        <v>0</v>
      </c>
      <c r="F400" s="82"/>
      <c r="G400" s="83">
        <f t="shared" si="266"/>
        <v>0</v>
      </c>
      <c r="H400" s="84">
        <f t="shared" si="267"/>
        <v>0</v>
      </c>
      <c r="I400" s="1180"/>
      <c r="J400" s="85"/>
      <c r="K400" s="118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0"/>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9"/>
      <c r="C401" s="1180"/>
      <c r="D401" s="2301"/>
      <c r="E401" s="81">
        <f t="shared" si="265"/>
        <v>0</v>
      </c>
      <c r="F401" s="82"/>
      <c r="G401" s="83">
        <f t="shared" si="266"/>
        <v>0</v>
      </c>
      <c r="H401" s="84">
        <f t="shared" si="267"/>
        <v>0</v>
      </c>
      <c r="I401" s="1180"/>
      <c r="J401" s="85"/>
      <c r="K401" s="118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0"/>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9"/>
      <c r="C402" s="1180"/>
      <c r="D402" s="2301"/>
      <c r="E402" s="81">
        <f t="shared" si="265"/>
        <v>0</v>
      </c>
      <c r="F402" s="82"/>
      <c r="G402" s="83">
        <f t="shared" si="266"/>
        <v>0</v>
      </c>
      <c r="H402" s="84">
        <f t="shared" si="267"/>
        <v>0</v>
      </c>
      <c r="I402" s="1180"/>
      <c r="J402" s="85"/>
      <c r="K402" s="118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0"/>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9"/>
      <c r="C403" s="1180"/>
      <c r="D403" s="2301"/>
      <c r="E403" s="81">
        <f t="shared" si="265"/>
        <v>0</v>
      </c>
      <c r="F403" s="82"/>
      <c r="G403" s="83">
        <f t="shared" si="266"/>
        <v>0</v>
      </c>
      <c r="H403" s="84">
        <f t="shared" si="267"/>
        <v>0</v>
      </c>
      <c r="I403" s="1180"/>
      <c r="J403" s="85"/>
      <c r="K403" s="118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0"/>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9"/>
      <c r="C404" s="1180"/>
      <c r="D404" s="2301"/>
      <c r="E404" s="81">
        <f t="shared" si="265"/>
        <v>0</v>
      </c>
      <c r="F404" s="82"/>
      <c r="G404" s="83">
        <f t="shared" si="266"/>
        <v>0</v>
      </c>
      <c r="H404" s="84">
        <f t="shared" si="267"/>
        <v>0</v>
      </c>
      <c r="I404" s="1180"/>
      <c r="J404" s="85"/>
      <c r="K404" s="118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0"/>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9"/>
      <c r="C405" s="1180"/>
      <c r="D405" s="2301"/>
      <c r="E405" s="81">
        <f t="shared" si="265"/>
        <v>0</v>
      </c>
      <c r="F405" s="82"/>
      <c r="G405" s="83">
        <f t="shared" si="266"/>
        <v>0</v>
      </c>
      <c r="H405" s="84">
        <f t="shared" si="267"/>
        <v>0</v>
      </c>
      <c r="I405" s="1180"/>
      <c r="J405" s="85"/>
      <c r="K405" s="118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0"/>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9"/>
      <c r="C406" s="1180"/>
      <c r="D406" s="2301"/>
      <c r="E406" s="81">
        <f t="shared" si="265"/>
        <v>0</v>
      </c>
      <c r="F406" s="82"/>
      <c r="G406" s="83">
        <f t="shared" si="266"/>
        <v>0</v>
      </c>
      <c r="H406" s="84">
        <f t="shared" si="267"/>
        <v>0</v>
      </c>
      <c r="I406" s="1180"/>
      <c r="J406" s="85"/>
      <c r="K406" s="118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0"/>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9"/>
      <c r="C407" s="1180"/>
      <c r="D407" s="2301"/>
      <c r="E407" s="81">
        <f t="shared" si="265"/>
        <v>0</v>
      </c>
      <c r="F407" s="82"/>
      <c r="G407" s="83">
        <f t="shared" si="266"/>
        <v>0</v>
      </c>
      <c r="H407" s="84">
        <f t="shared" si="267"/>
        <v>0</v>
      </c>
      <c r="I407" s="1180"/>
      <c r="J407" s="85"/>
      <c r="K407" s="118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0"/>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9"/>
      <c r="C408" s="1180"/>
      <c r="D408" s="2301"/>
      <c r="E408" s="81">
        <f t="shared" si="265"/>
        <v>0</v>
      </c>
      <c r="F408" s="82"/>
      <c r="G408" s="83">
        <f t="shared" si="266"/>
        <v>0</v>
      </c>
      <c r="H408" s="84">
        <f t="shared" si="267"/>
        <v>0</v>
      </c>
      <c r="I408" s="1180"/>
      <c r="J408" s="85"/>
      <c r="K408" s="118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0"/>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9"/>
      <c r="C409" s="1180"/>
      <c r="D409" s="2301"/>
      <c r="E409" s="81">
        <f t="shared" si="265"/>
        <v>0</v>
      </c>
      <c r="F409" s="82"/>
      <c r="G409" s="83">
        <f t="shared" si="266"/>
        <v>0</v>
      </c>
      <c r="H409" s="84">
        <f t="shared" si="267"/>
        <v>0</v>
      </c>
      <c r="I409" s="1180"/>
      <c r="J409" s="85"/>
      <c r="K409" s="118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0"/>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9"/>
      <c r="C410" s="1180"/>
      <c r="D410" s="2301"/>
      <c r="E410" s="81">
        <f t="shared" si="265"/>
        <v>0</v>
      </c>
      <c r="F410" s="82"/>
      <c r="G410" s="83">
        <f t="shared" si="266"/>
        <v>0</v>
      </c>
      <c r="H410" s="84">
        <f t="shared" si="267"/>
        <v>0</v>
      </c>
      <c r="I410" s="1180"/>
      <c r="J410" s="85"/>
      <c r="K410" s="118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0"/>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9"/>
      <c r="C411" s="1180"/>
      <c r="D411" s="2301"/>
      <c r="E411" s="81">
        <f t="shared" si="265"/>
        <v>0</v>
      </c>
      <c r="F411" s="82"/>
      <c r="G411" s="83">
        <f t="shared" si="266"/>
        <v>0</v>
      </c>
      <c r="H411" s="84">
        <f t="shared" si="267"/>
        <v>0</v>
      </c>
      <c r="I411" s="1180"/>
      <c r="J411" s="85"/>
      <c r="K411" s="118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0"/>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9"/>
      <c r="C412" s="1180"/>
      <c r="D412" s="2301"/>
      <c r="E412" s="81">
        <f t="shared" si="265"/>
        <v>0</v>
      </c>
      <c r="F412" s="82"/>
      <c r="G412" s="83">
        <f t="shared" si="266"/>
        <v>0</v>
      </c>
      <c r="H412" s="84">
        <f t="shared" si="267"/>
        <v>0</v>
      </c>
      <c r="I412" s="1180"/>
      <c r="J412" s="85"/>
      <c r="K412" s="118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0"/>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9"/>
      <c r="C413" s="1180"/>
      <c r="D413" s="2301"/>
      <c r="E413" s="81">
        <f t="shared" si="265"/>
        <v>0</v>
      </c>
      <c r="F413" s="82"/>
      <c r="G413" s="83">
        <f t="shared" si="266"/>
        <v>0</v>
      </c>
      <c r="H413" s="84">
        <f t="shared" si="267"/>
        <v>0</v>
      </c>
      <c r="I413" s="1180"/>
      <c r="J413" s="85"/>
      <c r="K413" s="118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0"/>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9"/>
      <c r="C414" s="1180"/>
      <c r="D414" s="2301"/>
      <c r="E414" s="81">
        <f t="shared" si="265"/>
        <v>0</v>
      </c>
      <c r="F414" s="82"/>
      <c r="G414" s="83">
        <f t="shared" si="266"/>
        <v>0</v>
      </c>
      <c r="H414" s="84">
        <f t="shared" si="267"/>
        <v>0</v>
      </c>
      <c r="I414" s="1180"/>
      <c r="J414" s="85"/>
      <c r="K414" s="118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0"/>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9"/>
      <c r="C415" s="1180"/>
      <c r="D415" s="2301"/>
      <c r="E415" s="81">
        <f t="shared" si="265"/>
        <v>0</v>
      </c>
      <c r="F415" s="82"/>
      <c r="G415" s="83">
        <f t="shared" si="266"/>
        <v>0</v>
      </c>
      <c r="H415" s="84">
        <f t="shared" si="267"/>
        <v>0</v>
      </c>
      <c r="I415" s="1180"/>
      <c r="J415" s="85"/>
      <c r="K415" s="118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0"/>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9"/>
      <c r="C416" s="1180"/>
      <c r="D416" s="2301"/>
      <c r="E416" s="81">
        <f t="shared" si="265"/>
        <v>0</v>
      </c>
      <c r="F416" s="82"/>
      <c r="G416" s="83">
        <f t="shared" si="266"/>
        <v>0</v>
      </c>
      <c r="H416" s="84">
        <f t="shared" si="267"/>
        <v>0</v>
      </c>
      <c r="I416" s="1180"/>
      <c r="J416" s="85"/>
      <c r="K416" s="118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0"/>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9"/>
      <c r="C417" s="1180"/>
      <c r="D417" s="2301"/>
      <c r="E417" s="81">
        <f t="shared" si="265"/>
        <v>0</v>
      </c>
      <c r="F417" s="82"/>
      <c r="G417" s="83">
        <f t="shared" si="266"/>
        <v>0</v>
      </c>
      <c r="H417" s="84">
        <f t="shared" si="267"/>
        <v>0</v>
      </c>
      <c r="I417" s="1180"/>
      <c r="J417" s="85"/>
      <c r="K417" s="118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0"/>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9"/>
      <c r="C418" s="1180"/>
      <c r="D418" s="2301"/>
      <c r="E418" s="81">
        <f t="shared" si="265"/>
        <v>0</v>
      </c>
      <c r="F418" s="82"/>
      <c r="G418" s="83">
        <f t="shared" si="266"/>
        <v>0</v>
      </c>
      <c r="H418" s="84">
        <f t="shared" si="267"/>
        <v>0</v>
      </c>
      <c r="I418" s="1180"/>
      <c r="J418" s="85"/>
      <c r="K418" s="118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0"/>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9"/>
      <c r="C419" s="1180"/>
      <c r="D419" s="2301"/>
      <c r="E419" s="81">
        <f t="shared" si="265"/>
        <v>0</v>
      </c>
      <c r="F419" s="82"/>
      <c r="G419" s="83">
        <f t="shared" si="266"/>
        <v>0</v>
      </c>
      <c r="H419" s="84">
        <f t="shared" si="267"/>
        <v>0</v>
      </c>
      <c r="I419" s="1180"/>
      <c r="J419" s="85"/>
      <c r="K419" s="118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0"/>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9"/>
      <c r="C420" s="1180"/>
      <c r="D420" s="2301"/>
      <c r="E420" s="81">
        <f t="shared" si="265"/>
        <v>0</v>
      </c>
      <c r="F420" s="82"/>
      <c r="G420" s="83">
        <f t="shared" si="266"/>
        <v>0</v>
      </c>
      <c r="H420" s="84">
        <f t="shared" si="267"/>
        <v>0</v>
      </c>
      <c r="I420" s="1180"/>
      <c r="J420" s="85"/>
      <c r="K420" s="118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0"/>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9"/>
      <c r="C421" s="1180"/>
      <c r="D421" s="2301"/>
      <c r="E421" s="81">
        <f t="shared" si="265"/>
        <v>0</v>
      </c>
      <c r="F421" s="82"/>
      <c r="G421" s="83">
        <f t="shared" si="266"/>
        <v>0</v>
      </c>
      <c r="H421" s="84">
        <f t="shared" si="267"/>
        <v>0</v>
      </c>
      <c r="I421" s="1180"/>
      <c r="J421" s="85"/>
      <c r="K421" s="118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0"/>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9"/>
      <c r="C422" s="1180"/>
      <c r="D422" s="2301"/>
      <c r="E422" s="81">
        <f t="shared" si="265"/>
        <v>0</v>
      </c>
      <c r="F422" s="82"/>
      <c r="G422" s="83">
        <f t="shared" si="266"/>
        <v>0</v>
      </c>
      <c r="H422" s="84">
        <f t="shared" si="267"/>
        <v>0</v>
      </c>
      <c r="I422" s="1180"/>
      <c r="J422" s="85"/>
      <c r="K422" s="118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0"/>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9"/>
      <c r="C423" s="1180"/>
      <c r="D423" s="2301"/>
      <c r="E423" s="81">
        <f t="shared" si="265"/>
        <v>0</v>
      </c>
      <c r="F423" s="82"/>
      <c r="G423" s="83">
        <f t="shared" si="266"/>
        <v>0</v>
      </c>
      <c r="H423" s="84">
        <f t="shared" si="267"/>
        <v>0</v>
      </c>
      <c r="I423" s="1180"/>
      <c r="J423" s="85"/>
      <c r="K423" s="1180"/>
      <c r="L423" s="85"/>
      <c r="M423" s="1180"/>
      <c r="N423" s="85"/>
      <c r="O423" s="85"/>
      <c r="P423" s="85"/>
      <c r="Q423" s="85"/>
      <c r="R423" s="85"/>
      <c r="S423" s="85"/>
      <c r="T423" s="85"/>
      <c r="U423" s="85"/>
      <c r="V423" s="85"/>
      <c r="W423" s="85"/>
      <c r="X423" s="85"/>
      <c r="Y423" s="85"/>
      <c r="Z423" s="85"/>
      <c r="AA423" s="85"/>
      <c r="AB423" s="85"/>
      <c r="AC423" s="81">
        <f t="shared" si="268"/>
        <v>0</v>
      </c>
      <c r="AD423" s="86"/>
      <c r="AE423" s="86"/>
      <c r="AF423" s="1180"/>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1"/>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1"/>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1"/>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1"/>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1"/>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1"/>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1"/>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1"/>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1"/>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1"/>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1"/>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1"/>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1"/>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1"/>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1"/>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1"/>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1"/>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1"/>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1"/>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1"/>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1"/>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1"/>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1"/>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1"/>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1"/>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1"/>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1"/>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1"/>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1"/>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1"/>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1"/>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1"/>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1"/>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1"/>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1"/>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1"/>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1"/>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1"/>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1"/>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1"/>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1"/>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1"/>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1"/>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1"/>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1"/>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1"/>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1"/>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1"/>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1"/>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1"/>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1"/>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1"/>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1"/>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1"/>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1"/>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1"/>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1"/>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9"/>
      <c r="C481" s="1180"/>
      <c r="D481" s="2301"/>
      <c r="E481" s="81">
        <f t="shared" ref="E481:E504" si="319">IF($C$3="是",ROUND($A$3*G481/$B$3,2),ROUND($A$3*(G481-AT481)/$B$3,2))</f>
        <v>0</v>
      </c>
      <c r="F481" s="82"/>
      <c r="G481" s="83">
        <f t="shared" si="294"/>
        <v>0</v>
      </c>
      <c r="H481" s="84">
        <f t="shared" si="295"/>
        <v>0</v>
      </c>
      <c r="I481" s="1180"/>
      <c r="J481" s="85"/>
      <c r="K481" s="118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1"/>
      <c r="AG481" s="86"/>
      <c r="AH481" s="86"/>
      <c r="AI481" s="86"/>
      <c r="AJ481" s="86"/>
      <c r="AK481" s="86"/>
      <c r="AL481" s="86"/>
      <c r="AM481" s="86"/>
      <c r="AN481" s="1157"/>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9"/>
      <c r="C482" s="1180"/>
      <c r="D482" s="2301"/>
      <c r="E482" s="81">
        <f t="shared" si="319"/>
        <v>0</v>
      </c>
      <c r="F482" s="82"/>
      <c r="G482" s="83">
        <f t="shared" si="294"/>
        <v>0</v>
      </c>
      <c r="H482" s="84">
        <f t="shared" si="295"/>
        <v>0</v>
      </c>
      <c r="I482" s="1180"/>
      <c r="J482" s="85"/>
      <c r="K482" s="1180"/>
      <c r="L482" s="85"/>
      <c r="M482" s="1157"/>
      <c r="N482" s="85"/>
      <c r="O482" s="85"/>
      <c r="P482" s="85"/>
      <c r="Q482" s="85"/>
      <c r="R482" s="85"/>
      <c r="S482" s="85"/>
      <c r="T482" s="85"/>
      <c r="U482" s="85"/>
      <c r="V482" s="85"/>
      <c r="W482" s="85"/>
      <c r="X482" s="85"/>
      <c r="Y482" s="85"/>
      <c r="Z482" s="85"/>
      <c r="AA482" s="85"/>
      <c r="AB482" s="85"/>
      <c r="AC482" s="81">
        <f t="shared" si="296"/>
        <v>0</v>
      </c>
      <c r="AD482" s="1157"/>
      <c r="AE482" s="86"/>
      <c r="AF482" s="1181"/>
      <c r="AG482" s="86"/>
      <c r="AH482" s="86"/>
      <c r="AI482" s="86"/>
      <c r="AJ482" s="86"/>
      <c r="AK482" s="86"/>
      <c r="AL482" s="1157"/>
      <c r="AM482" s="86"/>
      <c r="AN482" s="1157"/>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9"/>
      <c r="C483" s="1180"/>
      <c r="D483" s="2301"/>
      <c r="E483" s="81">
        <f t="shared" si="319"/>
        <v>0</v>
      </c>
      <c r="F483" s="82"/>
      <c r="G483" s="83">
        <f t="shared" si="294"/>
        <v>0</v>
      </c>
      <c r="H483" s="84">
        <f t="shared" si="295"/>
        <v>0</v>
      </c>
      <c r="I483" s="1180"/>
      <c r="J483" s="85"/>
      <c r="K483" s="1180"/>
      <c r="L483" s="85"/>
      <c r="M483" s="1157"/>
      <c r="N483" s="85"/>
      <c r="O483" s="85"/>
      <c r="P483" s="85"/>
      <c r="Q483" s="85"/>
      <c r="R483" s="85"/>
      <c r="S483" s="85"/>
      <c r="T483" s="85"/>
      <c r="U483" s="85"/>
      <c r="V483" s="85"/>
      <c r="W483" s="85"/>
      <c r="X483" s="85"/>
      <c r="Y483" s="85"/>
      <c r="Z483" s="85"/>
      <c r="AA483" s="85"/>
      <c r="AB483" s="85"/>
      <c r="AC483" s="81">
        <f t="shared" si="296"/>
        <v>0</v>
      </c>
      <c r="AD483" s="86"/>
      <c r="AE483" s="86"/>
      <c r="AF483" s="1181"/>
      <c r="AG483" s="86"/>
      <c r="AH483" s="86"/>
      <c r="AI483" s="86"/>
      <c r="AJ483" s="86"/>
      <c r="AK483" s="86"/>
      <c r="AL483" s="1157"/>
      <c r="AM483" s="86"/>
      <c r="AN483" s="1157"/>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9"/>
      <c r="C484" s="1180"/>
      <c r="D484" s="2301"/>
      <c r="E484" s="81">
        <f t="shared" si="319"/>
        <v>0</v>
      </c>
      <c r="F484" s="82"/>
      <c r="G484" s="83">
        <f t="shared" si="294"/>
        <v>0</v>
      </c>
      <c r="H484" s="84">
        <f t="shared" si="295"/>
        <v>0</v>
      </c>
      <c r="I484" s="1180"/>
      <c r="J484" s="85"/>
      <c r="K484" s="1180"/>
      <c r="L484" s="85"/>
      <c r="M484" s="85"/>
      <c r="N484" s="85"/>
      <c r="O484" s="1157"/>
      <c r="P484" s="85"/>
      <c r="Q484" s="85"/>
      <c r="R484" s="85"/>
      <c r="S484" s="85"/>
      <c r="T484" s="85"/>
      <c r="U484" s="85"/>
      <c r="V484" s="85"/>
      <c r="W484" s="85"/>
      <c r="X484" s="85"/>
      <c r="Y484" s="85"/>
      <c r="Z484" s="85"/>
      <c r="AA484" s="85"/>
      <c r="AB484" s="85"/>
      <c r="AC484" s="81">
        <f t="shared" si="296"/>
        <v>0</v>
      </c>
      <c r="AD484" s="86"/>
      <c r="AE484" s="86"/>
      <c r="AF484" s="1181"/>
      <c r="AG484" s="86"/>
      <c r="AH484" s="86"/>
      <c r="AI484" s="86"/>
      <c r="AJ484" s="86"/>
      <c r="AK484" s="86"/>
      <c r="AL484" s="86"/>
      <c r="AM484" s="86"/>
      <c r="AN484" s="1157"/>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9"/>
      <c r="C485" s="1180"/>
      <c r="D485" s="2301"/>
      <c r="E485" s="81">
        <f t="shared" si="319"/>
        <v>0</v>
      </c>
      <c r="F485" s="82"/>
      <c r="G485" s="83">
        <f t="shared" si="294"/>
        <v>0</v>
      </c>
      <c r="H485" s="84">
        <f t="shared" si="295"/>
        <v>0</v>
      </c>
      <c r="I485" s="1180"/>
      <c r="J485" s="85"/>
      <c r="K485" s="118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1"/>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9"/>
      <c r="C486" s="1180"/>
      <c r="D486" s="2301"/>
      <c r="E486" s="81">
        <f t="shared" si="319"/>
        <v>0</v>
      </c>
      <c r="F486" s="82"/>
      <c r="G486" s="83">
        <f t="shared" si="294"/>
        <v>0</v>
      </c>
      <c r="H486" s="84">
        <f t="shared" si="295"/>
        <v>0</v>
      </c>
      <c r="I486" s="1180"/>
      <c r="J486" s="85"/>
      <c r="K486" s="118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1"/>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9"/>
      <c r="C487" s="1180"/>
      <c r="D487" s="2301"/>
      <c r="E487" s="81">
        <f t="shared" si="319"/>
        <v>0</v>
      </c>
      <c r="F487" s="82"/>
      <c r="G487" s="83">
        <f t="shared" si="294"/>
        <v>0</v>
      </c>
      <c r="H487" s="84">
        <f t="shared" si="295"/>
        <v>0</v>
      </c>
      <c r="I487" s="1180"/>
      <c r="J487" s="85"/>
      <c r="K487" s="118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1"/>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9"/>
      <c r="C488" s="1180"/>
      <c r="D488" s="2301"/>
      <c r="E488" s="81">
        <f t="shared" si="319"/>
        <v>0</v>
      </c>
      <c r="F488" s="82"/>
      <c r="G488" s="83">
        <f t="shared" si="294"/>
        <v>0</v>
      </c>
      <c r="H488" s="84">
        <f t="shared" si="295"/>
        <v>0</v>
      </c>
      <c r="I488" s="1180"/>
      <c r="J488" s="85"/>
      <c r="K488" s="118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0"/>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9"/>
      <c r="C489" s="1180"/>
      <c r="D489" s="2301"/>
      <c r="E489" s="81">
        <f t="shared" si="319"/>
        <v>0</v>
      </c>
      <c r="F489" s="82"/>
      <c r="G489" s="83">
        <f t="shared" si="294"/>
        <v>0</v>
      </c>
      <c r="H489" s="84">
        <f t="shared" si="295"/>
        <v>0</v>
      </c>
      <c r="I489" s="1180"/>
      <c r="J489" s="85"/>
      <c r="K489" s="118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0"/>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9"/>
      <c r="C490" s="1180"/>
      <c r="D490" s="2301"/>
      <c r="E490" s="81">
        <f t="shared" si="319"/>
        <v>0</v>
      </c>
      <c r="F490" s="82"/>
      <c r="G490" s="83">
        <f t="shared" si="294"/>
        <v>0</v>
      </c>
      <c r="H490" s="84">
        <f t="shared" si="295"/>
        <v>0</v>
      </c>
      <c r="I490" s="1180"/>
      <c r="J490" s="85"/>
      <c r="K490" s="118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0"/>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9"/>
      <c r="C491" s="1180"/>
      <c r="D491" s="2301"/>
      <c r="E491" s="81">
        <f t="shared" si="319"/>
        <v>0</v>
      </c>
      <c r="F491" s="82"/>
      <c r="G491" s="83">
        <f t="shared" si="294"/>
        <v>0</v>
      </c>
      <c r="H491" s="84">
        <f t="shared" si="295"/>
        <v>0</v>
      </c>
      <c r="I491" s="1180"/>
      <c r="J491" s="85"/>
      <c r="K491" s="118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0"/>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9"/>
      <c r="C492" s="1180"/>
      <c r="D492" s="2301"/>
      <c r="E492" s="81">
        <f t="shared" si="319"/>
        <v>0</v>
      </c>
      <c r="F492" s="82"/>
      <c r="G492" s="83">
        <f t="shared" si="294"/>
        <v>0</v>
      </c>
      <c r="H492" s="84">
        <f t="shared" si="295"/>
        <v>0</v>
      </c>
      <c r="I492" s="1180"/>
      <c r="J492" s="85"/>
      <c r="K492" s="118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0"/>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9"/>
      <c r="C493" s="1180"/>
      <c r="D493" s="2301"/>
      <c r="E493" s="81">
        <f t="shared" si="319"/>
        <v>0</v>
      </c>
      <c r="F493" s="82"/>
      <c r="G493" s="83">
        <f t="shared" si="294"/>
        <v>0</v>
      </c>
      <c r="H493" s="84">
        <f t="shared" si="295"/>
        <v>0</v>
      </c>
      <c r="I493" s="1180"/>
      <c r="J493" s="85"/>
      <c r="K493" s="118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0"/>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9"/>
      <c r="C494" s="1180"/>
      <c r="D494" s="2301"/>
      <c r="E494" s="81">
        <f t="shared" si="319"/>
        <v>0</v>
      </c>
      <c r="F494" s="82"/>
      <c r="G494" s="83">
        <f t="shared" si="294"/>
        <v>0</v>
      </c>
      <c r="H494" s="84">
        <f t="shared" si="295"/>
        <v>0</v>
      </c>
      <c r="I494" s="1180"/>
      <c r="J494" s="85"/>
      <c r="K494" s="118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0"/>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9"/>
      <c r="C495" s="1180"/>
      <c r="D495" s="2301"/>
      <c r="E495" s="81">
        <f t="shared" si="319"/>
        <v>0</v>
      </c>
      <c r="F495" s="82"/>
      <c r="G495" s="83">
        <f t="shared" si="294"/>
        <v>0</v>
      </c>
      <c r="H495" s="84">
        <f t="shared" si="295"/>
        <v>0</v>
      </c>
      <c r="I495" s="1180"/>
      <c r="J495" s="85"/>
      <c r="K495" s="118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0"/>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9"/>
      <c r="C496" s="1180"/>
      <c r="D496" s="2301"/>
      <c r="E496" s="81">
        <f t="shared" si="319"/>
        <v>0</v>
      </c>
      <c r="F496" s="82"/>
      <c r="G496" s="83">
        <f t="shared" si="294"/>
        <v>0</v>
      </c>
      <c r="H496" s="84">
        <f t="shared" si="295"/>
        <v>0</v>
      </c>
      <c r="I496" s="1180"/>
      <c r="J496" s="85"/>
      <c r="K496" s="118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0"/>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9"/>
      <c r="C497" s="1180"/>
      <c r="D497" s="2301"/>
      <c r="E497" s="81">
        <f t="shared" si="319"/>
        <v>0</v>
      </c>
      <c r="F497" s="82"/>
      <c r="G497" s="83">
        <f t="shared" si="294"/>
        <v>0</v>
      </c>
      <c r="H497" s="84">
        <f t="shared" si="295"/>
        <v>0</v>
      </c>
      <c r="I497" s="1180"/>
      <c r="J497" s="85"/>
      <c r="K497" s="118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0"/>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9"/>
      <c r="C498" s="1180"/>
      <c r="D498" s="2301"/>
      <c r="E498" s="81">
        <f t="shared" si="319"/>
        <v>0</v>
      </c>
      <c r="F498" s="82"/>
      <c r="G498" s="83">
        <f t="shared" si="294"/>
        <v>0</v>
      </c>
      <c r="H498" s="84">
        <f t="shared" si="295"/>
        <v>0</v>
      </c>
      <c r="I498" s="1180"/>
      <c r="J498" s="85"/>
      <c r="K498" s="118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0"/>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9"/>
      <c r="C499" s="1180"/>
      <c r="D499" s="2301"/>
      <c r="E499" s="81">
        <f t="shared" si="319"/>
        <v>0</v>
      </c>
      <c r="F499" s="82"/>
      <c r="G499" s="83">
        <f t="shared" si="294"/>
        <v>0</v>
      </c>
      <c r="H499" s="84">
        <f t="shared" si="295"/>
        <v>0</v>
      </c>
      <c r="I499" s="1180"/>
      <c r="J499" s="85"/>
      <c r="K499" s="118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0"/>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9"/>
      <c r="C500" s="1180"/>
      <c r="D500" s="2301"/>
      <c r="E500" s="81">
        <f t="shared" si="319"/>
        <v>0</v>
      </c>
      <c r="F500" s="82"/>
      <c r="G500" s="83">
        <f t="shared" si="294"/>
        <v>0</v>
      </c>
      <c r="H500" s="84">
        <f t="shared" si="295"/>
        <v>0</v>
      </c>
      <c r="I500" s="1180"/>
      <c r="J500" s="85"/>
      <c r="K500" s="118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0"/>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9"/>
      <c r="C501" s="1180"/>
      <c r="D501" s="2301"/>
      <c r="E501" s="81">
        <f t="shared" si="319"/>
        <v>0</v>
      </c>
      <c r="F501" s="82"/>
      <c r="G501" s="83">
        <f t="shared" si="294"/>
        <v>0</v>
      </c>
      <c r="H501" s="84">
        <f t="shared" si="295"/>
        <v>0</v>
      </c>
      <c r="I501" s="1180"/>
      <c r="J501" s="85"/>
      <c r="K501" s="118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0"/>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9"/>
      <c r="C502" s="1180"/>
      <c r="D502" s="2301"/>
      <c r="E502" s="81">
        <f t="shared" si="319"/>
        <v>0</v>
      </c>
      <c r="F502" s="82"/>
      <c r="G502" s="83">
        <f t="shared" si="294"/>
        <v>0</v>
      </c>
      <c r="H502" s="84">
        <f t="shared" si="295"/>
        <v>0</v>
      </c>
      <c r="I502" s="1180"/>
      <c r="J502" s="85"/>
      <c r="K502" s="118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0"/>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9"/>
      <c r="C503" s="1180"/>
      <c r="D503" s="2301"/>
      <c r="E503" s="81">
        <f t="shared" si="319"/>
        <v>0</v>
      </c>
      <c r="F503" s="82"/>
      <c r="G503" s="83">
        <f t="shared" si="294"/>
        <v>0</v>
      </c>
      <c r="H503" s="84">
        <f t="shared" si="295"/>
        <v>0</v>
      </c>
      <c r="I503" s="1180"/>
      <c r="J503" s="85"/>
      <c r="K503" s="118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0"/>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9"/>
      <c r="C504" s="1180"/>
      <c r="D504" s="2301"/>
      <c r="E504" s="81">
        <f t="shared" si="319"/>
        <v>0</v>
      </c>
      <c r="F504" s="82"/>
      <c r="G504" s="83">
        <f t="shared" si="294"/>
        <v>0</v>
      </c>
      <c r="H504" s="84">
        <f t="shared" si="295"/>
        <v>0</v>
      </c>
      <c r="I504" s="1180"/>
      <c r="J504" s="85"/>
      <c r="K504" s="118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0"/>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9"/>
      <c r="C505" s="1180"/>
      <c r="D505" s="2301"/>
      <c r="E505" s="81">
        <f t="shared" ref="E505:E536" si="323">IF($C$3="是",ROUND($A$3*G505/$B$3,2),ROUND($A$3*(G505-AT505)/$B$3,2))</f>
        <v>0</v>
      </c>
      <c r="F505" s="82"/>
      <c r="G505" s="83">
        <f t="shared" si="294"/>
        <v>0</v>
      </c>
      <c r="H505" s="84">
        <f t="shared" si="295"/>
        <v>0</v>
      </c>
      <c r="I505" s="1180"/>
      <c r="J505" s="85"/>
      <c r="K505" s="118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0"/>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9"/>
      <c r="C506" s="1180"/>
      <c r="D506" s="2301"/>
      <c r="E506" s="81">
        <f t="shared" si="323"/>
        <v>0</v>
      </c>
      <c r="F506" s="82"/>
      <c r="G506" s="83">
        <f t="shared" si="294"/>
        <v>0</v>
      </c>
      <c r="H506" s="84">
        <f t="shared" si="295"/>
        <v>0</v>
      </c>
      <c r="I506" s="1180"/>
      <c r="J506" s="85"/>
      <c r="K506" s="118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0"/>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9"/>
      <c r="C507" s="1180"/>
      <c r="D507" s="2301"/>
      <c r="E507" s="81">
        <f t="shared" si="323"/>
        <v>0</v>
      </c>
      <c r="F507" s="82"/>
      <c r="G507" s="83">
        <f t="shared" si="294"/>
        <v>0</v>
      </c>
      <c r="H507" s="84">
        <f t="shared" si="295"/>
        <v>0</v>
      </c>
      <c r="I507" s="1180"/>
      <c r="J507" s="85"/>
      <c r="K507" s="118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0"/>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9"/>
      <c r="C508" s="1180"/>
      <c r="D508" s="2301"/>
      <c r="E508" s="81">
        <f t="shared" si="323"/>
        <v>0</v>
      </c>
      <c r="F508" s="82"/>
      <c r="G508" s="83">
        <f t="shared" si="294"/>
        <v>0</v>
      </c>
      <c r="H508" s="84">
        <f t="shared" si="295"/>
        <v>0</v>
      </c>
      <c r="I508" s="1180"/>
      <c r="J508" s="85"/>
      <c r="K508" s="118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0"/>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9"/>
      <c r="C509" s="1180"/>
      <c r="D509" s="2301"/>
      <c r="E509" s="81">
        <f t="shared" si="323"/>
        <v>0</v>
      </c>
      <c r="F509" s="82"/>
      <c r="G509" s="83">
        <f t="shared" si="294"/>
        <v>0</v>
      </c>
      <c r="H509" s="84">
        <f t="shared" si="295"/>
        <v>0</v>
      </c>
      <c r="I509" s="1180"/>
      <c r="J509" s="85"/>
      <c r="K509" s="118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0"/>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9"/>
      <c r="C510" s="1180"/>
      <c r="D510" s="2301"/>
      <c r="E510" s="81">
        <f t="shared" si="323"/>
        <v>0</v>
      </c>
      <c r="F510" s="82"/>
      <c r="G510" s="83">
        <f t="shared" ref="G510:G537" si="327">H510+AC510+AT510</f>
        <v>0</v>
      </c>
      <c r="H510" s="84">
        <f t="shared" ref="H510:H537" si="328">SUMIF(I$12:AB$12,"总值",I510:AB510)</f>
        <v>0</v>
      </c>
      <c r="I510" s="1180"/>
      <c r="J510" s="85"/>
      <c r="K510" s="118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0"/>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9"/>
      <c r="C511" s="1180"/>
      <c r="D511" s="2301"/>
      <c r="E511" s="81">
        <f t="shared" si="323"/>
        <v>0</v>
      </c>
      <c r="F511" s="82"/>
      <c r="G511" s="83">
        <f t="shared" si="327"/>
        <v>0</v>
      </c>
      <c r="H511" s="84">
        <f t="shared" si="328"/>
        <v>0</v>
      </c>
      <c r="I511" s="1180"/>
      <c r="J511" s="85"/>
      <c r="K511" s="118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0"/>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9"/>
      <c r="C512" s="1180"/>
      <c r="D512" s="2301"/>
      <c r="E512" s="81">
        <f t="shared" si="323"/>
        <v>0</v>
      </c>
      <c r="F512" s="82"/>
      <c r="G512" s="83">
        <f t="shared" si="327"/>
        <v>0</v>
      </c>
      <c r="H512" s="84">
        <f t="shared" si="328"/>
        <v>0</v>
      </c>
      <c r="I512" s="1180"/>
      <c r="J512" s="85"/>
      <c r="K512" s="118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0"/>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9"/>
      <c r="C513" s="1180"/>
      <c r="D513" s="2301"/>
      <c r="E513" s="81">
        <f t="shared" si="323"/>
        <v>0</v>
      </c>
      <c r="F513" s="82"/>
      <c r="G513" s="83">
        <f t="shared" si="327"/>
        <v>0</v>
      </c>
      <c r="H513" s="84">
        <f t="shared" si="328"/>
        <v>0</v>
      </c>
      <c r="I513" s="1180"/>
      <c r="J513" s="85"/>
      <c r="K513" s="118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0"/>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9"/>
      <c r="C514" s="1180"/>
      <c r="D514" s="2301"/>
      <c r="E514" s="81">
        <f t="shared" si="323"/>
        <v>0</v>
      </c>
      <c r="F514" s="82"/>
      <c r="G514" s="83">
        <f t="shared" si="327"/>
        <v>0</v>
      </c>
      <c r="H514" s="84">
        <f t="shared" si="328"/>
        <v>0</v>
      </c>
      <c r="I514" s="1180"/>
      <c r="J514" s="85"/>
      <c r="K514" s="118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0"/>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9"/>
      <c r="C515" s="1180"/>
      <c r="D515" s="2301"/>
      <c r="E515" s="81">
        <f t="shared" si="323"/>
        <v>0</v>
      </c>
      <c r="F515" s="82"/>
      <c r="G515" s="83">
        <f t="shared" si="327"/>
        <v>0</v>
      </c>
      <c r="H515" s="84">
        <f t="shared" si="328"/>
        <v>0</v>
      </c>
      <c r="I515" s="1180"/>
      <c r="J515" s="85"/>
      <c r="K515" s="1180"/>
      <c r="L515" s="85"/>
      <c r="M515" s="1180"/>
      <c r="N515" s="85"/>
      <c r="O515" s="85"/>
      <c r="P515" s="85"/>
      <c r="Q515" s="85"/>
      <c r="R515" s="85"/>
      <c r="S515" s="85"/>
      <c r="T515" s="85"/>
      <c r="U515" s="85"/>
      <c r="V515" s="85"/>
      <c r="W515" s="85"/>
      <c r="X515" s="85"/>
      <c r="Y515" s="85"/>
      <c r="Z515" s="85"/>
      <c r="AA515" s="85"/>
      <c r="AB515" s="85"/>
      <c r="AC515" s="81">
        <f t="shared" si="329"/>
        <v>0</v>
      </c>
      <c r="AD515" s="86"/>
      <c r="AE515" s="86"/>
      <c r="AF515" s="1180"/>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1"/>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1"/>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1"/>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1"/>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1"/>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1"/>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1"/>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1"/>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1"/>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1"/>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1"/>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1"/>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1"/>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1"/>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1"/>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1"/>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1"/>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1"/>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1"/>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1"/>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1"/>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1"/>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1"/>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1"/>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1"/>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1"/>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1"/>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1"/>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1"/>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1"/>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1"/>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1"/>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1"/>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1"/>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1"/>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1"/>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1"/>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1"/>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1"/>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1"/>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1"/>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1"/>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1"/>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1"/>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1"/>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1"/>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1"/>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1"/>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1"/>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1"/>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1"/>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1"/>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1"/>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1"/>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1"/>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1"/>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1"/>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8"/>
  <sheetViews>
    <sheetView view="pageBreakPreview" zoomScale="90" zoomScaleNormal="70" zoomScaleSheetLayoutView="90" workbookViewId="0">
      <selection activeCell="K34" sqref="K34"/>
    </sheetView>
  </sheetViews>
  <sheetFormatPr defaultColWidth="9.25" defaultRowHeight="14.25"/>
  <cols>
    <col min="1" max="1" width="8.25" style="1634" customWidth="1"/>
    <col min="2" max="2" width="10.25" style="1634" customWidth="1"/>
    <col min="3" max="3" width="18.5" style="1634" customWidth="1"/>
    <col min="4" max="4" width="11.125" style="1634" customWidth="1"/>
    <col min="5" max="5" width="13.375" style="1634" customWidth="1"/>
    <col min="6" max="8" width="11.5" style="1634" customWidth="1"/>
    <col min="9" max="9" width="10.375" style="1634" customWidth="1"/>
    <col min="10" max="10" width="3.125" style="1634" customWidth="1"/>
    <col min="11" max="16" width="11.625" style="1634" customWidth="1"/>
    <col min="17" max="17" width="3.375" style="1634" customWidth="1"/>
    <col min="18" max="16384" width="9.25" style="1634"/>
  </cols>
  <sheetData>
    <row r="1" spans="1:16" ht="18.75">
      <c r="A1" s="95" t="s">
        <v>168</v>
      </c>
      <c r="B1" s="1633"/>
      <c r="C1" s="1633"/>
      <c r="D1" s="1633"/>
      <c r="E1" s="1633"/>
      <c r="F1" s="1633"/>
      <c r="G1" s="1633"/>
      <c r="H1" s="1633"/>
      <c r="I1" s="1633"/>
      <c r="J1" s="1633"/>
      <c r="K1" s="1633"/>
      <c r="L1" s="1633"/>
      <c r="M1" s="1633"/>
      <c r="N1" s="1633"/>
      <c r="O1" s="1633"/>
      <c r="P1" s="1633"/>
    </row>
    <row r="2" spans="1:16" ht="15">
      <c r="A2" s="3489" t="s">
        <v>169</v>
      </c>
      <c r="B2" s="3489"/>
      <c r="C2" s="3489"/>
      <c r="D2" s="1631" t="s">
        <v>170</v>
      </c>
      <c r="E2" s="97" t="s">
        <v>171</v>
      </c>
      <c r="F2" s="2610"/>
      <c r="G2" s="1041"/>
      <c r="H2" s="1042"/>
      <c r="I2" s="1043" t="s">
        <v>795</v>
      </c>
      <c r="J2" s="2610"/>
      <c r="K2" s="2610"/>
      <c r="L2" s="2610"/>
      <c r="M2" s="2610"/>
      <c r="N2" s="2610"/>
      <c r="O2" s="2610"/>
      <c r="P2" s="2610"/>
    </row>
    <row r="3" spans="1:16" ht="15.75" thickBot="1">
      <c r="A3" s="3490" t="s">
        <v>172</v>
      </c>
      <c r="B3" s="3490"/>
      <c r="C3" s="3490"/>
      <c r="D3" s="98">
        <f>'数据-基础表'!AY6</f>
        <v>86493.04</v>
      </c>
      <c r="E3" s="98">
        <f>'数据-基础表'!AZ5</f>
        <v>302725.5</v>
      </c>
      <c r="F3" s="2610"/>
      <c r="G3" s="106" t="s">
        <v>796</v>
      </c>
      <c r="H3" s="102" t="s">
        <v>797</v>
      </c>
      <c r="I3" s="996">
        <f>ROUND('数据-基础表'!B3/'数据-基础表'!A3,2)</f>
        <v>3.5</v>
      </c>
      <c r="J3" s="2610"/>
      <c r="K3" s="2610"/>
      <c r="L3" s="2610"/>
      <c r="M3" s="2610"/>
      <c r="N3" s="2610"/>
      <c r="O3" s="2610"/>
      <c r="P3" s="2610"/>
    </row>
    <row r="4" spans="1:16" ht="15">
      <c r="A4" s="3491"/>
      <c r="B4" s="3492"/>
      <c r="C4" s="3493"/>
      <c r="D4" s="99" t="s">
        <v>170</v>
      </c>
      <c r="E4" s="100" t="s">
        <v>171</v>
      </c>
      <c r="F4" s="2610"/>
      <c r="G4" s="119"/>
      <c r="H4" s="102" t="s">
        <v>798</v>
      </c>
      <c r="I4" s="996">
        <f>ROUND(SUMIF('数据-基础表'!I9:AS9,"地上",'数据-基础表'!I5:AS5)/'数据-基础表'!A3,2)</f>
        <v>3.5</v>
      </c>
      <c r="J4" s="2610"/>
      <c r="K4" s="2610"/>
      <c r="L4" s="2610"/>
      <c r="M4" s="2610"/>
      <c r="N4" s="2610"/>
      <c r="O4" s="2610"/>
      <c r="P4" s="2610"/>
    </row>
    <row r="5" spans="1:16">
      <c r="A5" s="101" t="s">
        <v>173</v>
      </c>
      <c r="B5" s="3494" t="s">
        <v>196</v>
      </c>
      <c r="C5" s="3494"/>
      <c r="D5" s="102">
        <f>ROUND($D$3*E5/$E$3,2)</f>
        <v>0</v>
      </c>
      <c r="E5" s="103">
        <f>SUMIF('数据-基础表'!$11:$11,"住宅",'数据-基础表'!$5:$5)</f>
        <v>0</v>
      </c>
      <c r="F5" s="2610"/>
      <c r="G5" s="106" t="s">
        <v>799</v>
      </c>
      <c r="H5" s="102" t="s">
        <v>797</v>
      </c>
      <c r="I5" s="996">
        <f>ROUND(E31/D31,2)</f>
        <v>3.5</v>
      </c>
      <c r="J5" s="2610"/>
      <c r="K5" s="2610"/>
      <c r="L5" s="2610"/>
      <c r="M5" s="2610"/>
      <c r="N5" s="2610"/>
      <c r="O5" s="2610"/>
      <c r="P5" s="2610"/>
    </row>
    <row r="6" spans="1:16" ht="15" thickBot="1">
      <c r="A6" s="104"/>
      <c r="B6" s="3494" t="s">
        <v>174</v>
      </c>
      <c r="C6" s="3494"/>
      <c r="D6" s="102">
        <f>ROUND($D$3*E6/$E$3,2)</f>
        <v>86493.04</v>
      </c>
      <c r="E6" s="103">
        <f>E3-E5</f>
        <v>302725.5</v>
      </c>
      <c r="F6" s="2610"/>
      <c r="G6" s="119"/>
      <c r="H6" s="102" t="s">
        <v>798</v>
      </c>
      <c r="I6" s="996">
        <f>ROUND(F31/D31,2)</f>
        <v>3.5</v>
      </c>
      <c r="J6" s="2610"/>
      <c r="K6" s="2610"/>
      <c r="L6" s="2610"/>
      <c r="M6" s="2610"/>
      <c r="N6" s="2610"/>
      <c r="O6" s="2610"/>
      <c r="P6" s="2610"/>
    </row>
    <row r="7" spans="1:16" ht="15">
      <c r="A7" s="3486"/>
      <c r="B7" s="3487"/>
      <c r="C7" s="3488"/>
      <c r="D7" s="99" t="s">
        <v>170</v>
      </c>
      <c r="E7" s="105" t="s">
        <v>197</v>
      </c>
      <c r="F7" s="2610"/>
      <c r="G7" s="1001" t="s">
        <v>1180</v>
      </c>
      <c r="H7" s="1002"/>
      <c r="I7" s="127"/>
      <c r="J7" s="2610"/>
      <c r="K7" s="2610"/>
      <c r="L7" s="2610"/>
      <c r="M7" s="2610"/>
      <c r="N7" s="2610"/>
      <c r="O7" s="2610"/>
      <c r="P7" s="2610"/>
    </row>
    <row r="8" spans="1:16">
      <c r="A8" s="101" t="s">
        <v>175</v>
      </c>
      <c r="B8" s="106" t="s">
        <v>176</v>
      </c>
      <c r="C8" s="102" t="s">
        <v>177</v>
      </c>
      <c r="D8" s="102">
        <f t="shared" ref="D8:D15" si="0">ROUND($D$3*E8/$E$3,2)</f>
        <v>86493.04</v>
      </c>
      <c r="E8" s="107">
        <f>SUMIF('数据-基础表'!BB10:BK10,"地上",'数据-基础表'!BB5:BK5)</f>
        <v>302725.5</v>
      </c>
      <c r="F8" s="2610"/>
      <c r="G8" s="2610"/>
      <c r="H8" s="2610"/>
      <c r="I8" s="2610"/>
      <c r="J8" s="2610"/>
      <c r="K8" s="2610"/>
      <c r="L8" s="2610"/>
      <c r="M8" s="2610"/>
      <c r="N8" s="2610"/>
      <c r="O8" s="2610"/>
      <c r="P8" s="2610"/>
    </row>
    <row r="9" spans="1:16">
      <c r="A9" s="108"/>
      <c r="B9" s="109"/>
      <c r="C9" s="102" t="s">
        <v>178</v>
      </c>
      <c r="D9" s="102">
        <f t="shared" si="0"/>
        <v>0</v>
      </c>
      <c r="E9" s="110">
        <v>0</v>
      </c>
      <c r="F9" s="2610"/>
      <c r="G9" s="2610"/>
      <c r="H9" s="2610"/>
      <c r="I9" s="2610"/>
      <c r="J9" s="2610"/>
      <c r="K9" s="2610"/>
      <c r="L9" s="2610"/>
      <c r="M9" s="2610"/>
      <c r="N9" s="2610"/>
      <c r="O9" s="2610"/>
      <c r="P9" s="2610"/>
    </row>
    <row r="10" spans="1:16">
      <c r="A10" s="108"/>
      <c r="B10" s="109"/>
      <c r="C10" s="102" t="s">
        <v>179</v>
      </c>
      <c r="D10" s="102">
        <f t="shared" si="0"/>
        <v>0</v>
      </c>
      <c r="E10" s="107">
        <f>SUMPRODUCT(('数据-基础表'!BB10:BK10="地下")*('数据-基础表'!BB11:BK11="商业")*('数据-基础表'!BB5:BK5))</f>
        <v>0</v>
      </c>
      <c r="F10" s="2610"/>
      <c r="G10" s="2610"/>
      <c r="H10" s="2610"/>
      <c r="I10" s="2610"/>
      <c r="J10" s="2610"/>
      <c r="K10" s="2610"/>
      <c r="L10" s="2610"/>
      <c r="M10" s="2610"/>
      <c r="N10" s="2610"/>
      <c r="O10" s="2610"/>
      <c r="P10" s="2610"/>
    </row>
    <row r="11" spans="1:16">
      <c r="A11" s="108"/>
      <c r="B11" s="109"/>
      <c r="C11" s="1918" t="s">
        <v>1684</v>
      </c>
      <c r="D11" s="102">
        <f t="shared" si="0"/>
        <v>0</v>
      </c>
      <c r="E11" s="107">
        <f>SUMPRODUCT(('数据-基础表'!BB10:BK10="地下")*('数据-基础表'!BB11:BK11="办公")*('数据-基础表'!BB5:BK5))+'数据-基础表'!AJ5</f>
        <v>0</v>
      </c>
      <c r="F11" s="2610"/>
      <c r="G11" s="2610"/>
      <c r="H11" s="2610"/>
      <c r="I11" s="2610"/>
      <c r="J11" s="2610"/>
      <c r="K11" s="2610"/>
      <c r="L11" s="2610"/>
      <c r="M11" s="2610"/>
      <c r="N11" s="2610"/>
      <c r="O11" s="2610"/>
      <c r="P11" s="2610"/>
    </row>
    <row r="12" spans="1:16">
      <c r="A12" s="108"/>
      <c r="B12" s="109"/>
      <c r="C12" s="102" t="s">
        <v>180</v>
      </c>
      <c r="D12" s="102">
        <f t="shared" si="0"/>
        <v>0</v>
      </c>
      <c r="E12" s="107">
        <f>SUMPRODUCT(('数据-基础表'!BB10:BK10="地下")*('数据-基础表'!BB11:BK11="仓储")*('数据-基础表'!BB5:BK5))</f>
        <v>0</v>
      </c>
      <c r="F12" s="2610"/>
      <c r="G12" s="2610"/>
      <c r="H12" s="2610"/>
      <c r="I12" s="2610"/>
      <c r="J12" s="2610"/>
      <c r="K12" s="2610"/>
      <c r="L12" s="2610"/>
      <c r="M12" s="2610"/>
      <c r="N12" s="2610"/>
      <c r="O12" s="2610"/>
      <c r="P12" s="2610"/>
    </row>
    <row r="13" spans="1:16">
      <c r="A13" s="108"/>
      <c r="B13" s="109"/>
      <c r="C13" s="1918" t="s">
        <v>1691</v>
      </c>
      <c r="D13" s="102">
        <f t="shared" si="0"/>
        <v>0</v>
      </c>
      <c r="E13" s="107">
        <f>SUMPRODUCT(('数据-基础表'!BB10:BK10="地下")*('数据-基础表'!BB11:BK11="车库")*('数据-基础表'!BB5:BK5))</f>
        <v>0</v>
      </c>
      <c r="F13" s="2610"/>
      <c r="G13" s="2610"/>
      <c r="H13" s="2610"/>
      <c r="I13" s="2610"/>
      <c r="J13" s="2610"/>
      <c r="K13" s="2610"/>
      <c r="L13" s="2610"/>
      <c r="M13" s="2610"/>
      <c r="N13" s="2610"/>
      <c r="O13" s="2610"/>
      <c r="P13" s="2610"/>
    </row>
    <row r="14" spans="1:16">
      <c r="A14" s="108"/>
      <c r="B14" s="109"/>
      <c r="C14" s="102" t="s">
        <v>198</v>
      </c>
      <c r="D14" s="102">
        <f t="shared" si="0"/>
        <v>0</v>
      </c>
      <c r="E14" s="107">
        <f>SUMPRODUCT(('数据-基础表'!BB10:BK10="地下")*('数据-基础表'!BB11:BK11="车库—商业")*('数据-基础表'!BB5:BK5))</f>
        <v>0</v>
      </c>
      <c r="F14" s="2610"/>
      <c r="G14" s="2610"/>
      <c r="H14" s="2610"/>
      <c r="I14" s="2610"/>
      <c r="J14" s="2610"/>
      <c r="K14" s="2610"/>
      <c r="L14" s="2610"/>
      <c r="M14" s="2610"/>
      <c r="N14" s="2610"/>
      <c r="O14" s="2610"/>
      <c r="P14" s="2610"/>
    </row>
    <row r="15" spans="1:16" ht="15" thickBot="1">
      <c r="A15" s="108"/>
      <c r="B15" s="109"/>
      <c r="C15" s="102" t="s">
        <v>199</v>
      </c>
      <c r="D15" s="102">
        <f t="shared" si="0"/>
        <v>0</v>
      </c>
      <c r="E15" s="107">
        <f>SUMPRODUCT(('数据-基础表'!BB10:BK10="地下")*('数据-基础表'!BB11:BK11="车库—办公")*('数据-基础表'!BB5:BK5))</f>
        <v>0</v>
      </c>
      <c r="F15" s="2610"/>
      <c r="G15" s="2610"/>
      <c r="H15" s="2610"/>
      <c r="I15" s="2610"/>
      <c r="J15" s="2610"/>
      <c r="K15" s="2610"/>
      <c r="L15" s="2610"/>
      <c r="M15" s="2610"/>
      <c r="N15" s="2610"/>
      <c r="O15" s="2610"/>
      <c r="P15" s="2610"/>
    </row>
    <row r="16" spans="1:16" ht="15.75" thickBot="1">
      <c r="A16" s="104"/>
      <c r="B16" s="109"/>
      <c r="C16" s="106" t="s">
        <v>181</v>
      </c>
      <c r="D16" s="106">
        <f>SUM(D8:D15)</f>
        <v>86493.04</v>
      </c>
      <c r="E16" s="111">
        <f>SUM(E8:E15)</f>
        <v>302725.5</v>
      </c>
      <c r="F16" s="2610"/>
      <c r="G16" s="2610"/>
      <c r="H16" s="882" t="s">
        <v>185</v>
      </c>
      <c r="I16" s="883"/>
      <c r="J16" s="1633"/>
      <c r="K16" s="3480" t="s">
        <v>1849</v>
      </c>
      <c r="L16" s="3481"/>
      <c r="M16" s="3481"/>
      <c r="N16" s="3481"/>
      <c r="O16" s="3481"/>
      <c r="P16" s="3482"/>
    </row>
    <row r="17" spans="1:19" ht="15">
      <c r="A17" s="112" t="s">
        <v>182</v>
      </c>
      <c r="B17" s="113" t="s">
        <v>183</v>
      </c>
      <c r="C17" s="1886" t="s">
        <v>1670</v>
      </c>
      <c r="D17" s="99" t="s">
        <v>170</v>
      </c>
      <c r="E17" s="115" t="s">
        <v>171</v>
      </c>
      <c r="F17" s="116"/>
      <c r="G17" s="1158"/>
      <c r="H17" s="884" t="s">
        <v>184</v>
      </c>
      <c r="I17" s="885" t="s">
        <v>1669</v>
      </c>
      <c r="J17" s="1633"/>
      <c r="K17" s="3483" t="s">
        <v>1850</v>
      </c>
      <c r="L17" s="3484"/>
      <c r="M17" s="3485"/>
      <c r="N17" s="3483" t="s">
        <v>1851</v>
      </c>
      <c r="O17" s="3484"/>
      <c r="P17" s="3485"/>
      <c r="R17" s="1887" t="s">
        <v>1668</v>
      </c>
      <c r="S17" s="125"/>
    </row>
    <row r="18" spans="1:19" ht="15">
      <c r="A18" s="108"/>
      <c r="B18" s="119"/>
      <c r="C18" s="96"/>
      <c r="D18" s="1631"/>
      <c r="E18" s="120" t="s">
        <v>186</v>
      </c>
      <c r="F18" s="121" t="s">
        <v>187</v>
      </c>
      <c r="G18" s="1159" t="s">
        <v>188</v>
      </c>
      <c r="H18" s="886" t="s">
        <v>189</v>
      </c>
      <c r="I18" s="887" t="s">
        <v>190</v>
      </c>
      <c r="J18" s="1633"/>
      <c r="K18" s="2063" t="s">
        <v>1852</v>
      </c>
      <c r="L18" s="2064" t="s">
        <v>1853</v>
      </c>
      <c r="M18" s="2065" t="s">
        <v>1854</v>
      </c>
      <c r="N18" s="2063" t="s">
        <v>1852</v>
      </c>
      <c r="O18" s="2064" t="s">
        <v>1853</v>
      </c>
      <c r="P18" s="2065" t="s">
        <v>1854</v>
      </c>
      <c r="R18" s="1888" t="s">
        <v>1666</v>
      </c>
      <c r="S18" s="1888" t="s">
        <v>1667</v>
      </c>
    </row>
    <row r="19" spans="1:19">
      <c r="A19" s="123"/>
      <c r="B19" s="106" t="s">
        <v>191</v>
      </c>
      <c r="C19" s="2310" t="s">
        <v>3259</v>
      </c>
      <c r="D19" s="102">
        <f t="shared" ref="D19:D26" si="1">ROUND($D$3*E19/$E$3,2)</f>
        <v>86493.04</v>
      </c>
      <c r="E19" s="124">
        <f t="shared" ref="E19:E26" si="2">SUM(F19:G19)</f>
        <v>302725.5</v>
      </c>
      <c r="F19" s="2611">
        <f>'数据-基础表'!I13</f>
        <v>302725.5</v>
      </c>
      <c r="G19" s="2612"/>
      <c r="H19" s="888">
        <f>ROUND($D$3*I19/$E$3,2)</f>
        <v>0</v>
      </c>
      <c r="I19" s="107">
        <f>IF($I$17="自定义",P19,M19)</f>
        <v>0</v>
      </c>
      <c r="J19" s="1633"/>
      <c r="K19" s="888">
        <f t="shared" ref="K19:K26" si="3">ROUND(E$28*E19/E$27,2)</f>
        <v>0</v>
      </c>
      <c r="L19" s="102">
        <f t="shared" ref="L19:L26" si="4">ROUND(IF(COUNTIF(C19,"*住宅*")&gt;0,E$29*E19/E$32,0),2)</f>
        <v>0</v>
      </c>
      <c r="M19" s="107">
        <f>K19+L19</f>
        <v>0</v>
      </c>
      <c r="N19" s="2066"/>
      <c r="O19" s="2067"/>
      <c r="P19" s="2068">
        <f>N19+O19</f>
        <v>0</v>
      </c>
      <c r="R19" s="102">
        <f t="shared" ref="R19:S26" si="5">D19+H19</f>
        <v>86493.04</v>
      </c>
      <c r="S19" s="124">
        <f t="shared" si="5"/>
        <v>302725.5</v>
      </c>
    </row>
    <row r="20" spans="1:19">
      <c r="A20" s="123"/>
      <c r="B20" s="106" t="s">
        <v>192</v>
      </c>
      <c r="C20" s="2310"/>
      <c r="D20" s="102">
        <f t="shared" si="1"/>
        <v>0</v>
      </c>
      <c r="E20" s="124">
        <f t="shared" si="2"/>
        <v>0</v>
      </c>
      <c r="F20" s="2611"/>
      <c r="G20" s="2612"/>
      <c r="H20" s="888">
        <f t="shared" ref="H20:H26" si="6">ROUND($D$3*I20/$E$3,2)</f>
        <v>0</v>
      </c>
      <c r="I20" s="107">
        <f t="shared" ref="I20:I26" si="7">IF($I$17="自定义",P20,M20)</f>
        <v>0</v>
      </c>
      <c r="J20" s="1633"/>
      <c r="K20" s="888">
        <f t="shared" si="3"/>
        <v>0</v>
      </c>
      <c r="L20" s="102">
        <f t="shared" si="4"/>
        <v>0</v>
      </c>
      <c r="M20" s="107">
        <f t="shared" ref="M20:M26" si="8">K20+L20</f>
        <v>0</v>
      </c>
      <c r="N20" s="2066"/>
      <c r="O20" s="2067"/>
      <c r="P20" s="2068">
        <f t="shared" ref="P20:P26" si="9">N20+O20</f>
        <v>0</v>
      </c>
      <c r="R20" s="102">
        <f t="shared" si="5"/>
        <v>0</v>
      </c>
      <c r="S20" s="124">
        <f t="shared" si="5"/>
        <v>0</v>
      </c>
    </row>
    <row r="21" spans="1:19">
      <c r="A21" s="123"/>
      <c r="B21" s="106" t="s">
        <v>192</v>
      </c>
      <c r="C21" s="2310"/>
      <c r="D21" s="102">
        <f t="shared" si="1"/>
        <v>0</v>
      </c>
      <c r="E21" s="124">
        <f t="shared" si="2"/>
        <v>0</v>
      </c>
      <c r="F21" s="2611"/>
      <c r="G21" s="2612"/>
      <c r="H21" s="888">
        <f t="shared" si="6"/>
        <v>0</v>
      </c>
      <c r="I21" s="107">
        <f t="shared" si="7"/>
        <v>0</v>
      </c>
      <c r="J21" s="1633"/>
      <c r="K21" s="888">
        <f t="shared" si="3"/>
        <v>0</v>
      </c>
      <c r="L21" s="102">
        <f t="shared" si="4"/>
        <v>0</v>
      </c>
      <c r="M21" s="107">
        <f t="shared" si="8"/>
        <v>0</v>
      </c>
      <c r="N21" s="2066"/>
      <c r="O21" s="2067"/>
      <c r="P21" s="2068">
        <f t="shared" si="9"/>
        <v>0</v>
      </c>
      <c r="R21" s="102">
        <f t="shared" si="5"/>
        <v>0</v>
      </c>
      <c r="S21" s="124">
        <f t="shared" si="5"/>
        <v>0</v>
      </c>
    </row>
    <row r="22" spans="1:19">
      <c r="A22" s="123"/>
      <c r="B22" s="106" t="s">
        <v>192</v>
      </c>
      <c r="C22" s="3084"/>
      <c r="D22" s="102">
        <f t="shared" si="1"/>
        <v>0</v>
      </c>
      <c r="E22" s="124">
        <f t="shared" si="2"/>
        <v>0</v>
      </c>
      <c r="F22" s="2613"/>
      <c r="G22" s="2614"/>
      <c r="H22" s="888">
        <f t="shared" si="6"/>
        <v>0</v>
      </c>
      <c r="I22" s="107">
        <f t="shared" si="7"/>
        <v>0</v>
      </c>
      <c r="J22" s="1633"/>
      <c r="K22" s="888">
        <f t="shared" si="3"/>
        <v>0</v>
      </c>
      <c r="L22" s="102">
        <f t="shared" si="4"/>
        <v>0</v>
      </c>
      <c r="M22" s="107">
        <f t="shared" si="8"/>
        <v>0</v>
      </c>
      <c r="N22" s="2066"/>
      <c r="O22" s="2067"/>
      <c r="P22" s="2068">
        <f t="shared" si="9"/>
        <v>0</v>
      </c>
      <c r="R22" s="102">
        <f t="shared" si="5"/>
        <v>0</v>
      </c>
      <c r="S22" s="124">
        <f t="shared" si="5"/>
        <v>0</v>
      </c>
    </row>
    <row r="23" spans="1:19">
      <c r="A23" s="123"/>
      <c r="B23" s="106" t="s">
        <v>192</v>
      </c>
      <c r="C23" s="3084"/>
      <c r="D23" s="102">
        <f>ROUND($D$3*E23/$E$3,2)</f>
        <v>0</v>
      </c>
      <c r="E23" s="124">
        <f>SUM(F23:G23)</f>
        <v>0</v>
      </c>
      <c r="F23" s="2613"/>
      <c r="G23" s="2614"/>
      <c r="H23" s="888">
        <f>ROUND($D$3*I23/$E$3,2)</f>
        <v>0</v>
      </c>
      <c r="I23" s="107">
        <f t="shared" si="7"/>
        <v>0</v>
      </c>
      <c r="J23" s="1633"/>
      <c r="K23" s="888">
        <f t="shared" si="3"/>
        <v>0</v>
      </c>
      <c r="L23" s="102">
        <f t="shared" si="4"/>
        <v>0</v>
      </c>
      <c r="M23" s="107">
        <f t="shared" si="8"/>
        <v>0</v>
      </c>
      <c r="N23" s="2066"/>
      <c r="O23" s="2067"/>
      <c r="P23" s="2068">
        <f t="shared" si="9"/>
        <v>0</v>
      </c>
      <c r="R23" s="102">
        <f t="shared" si="5"/>
        <v>0</v>
      </c>
      <c r="S23" s="124">
        <f t="shared" si="5"/>
        <v>0</v>
      </c>
    </row>
    <row r="24" spans="1:19">
      <c r="A24" s="123"/>
      <c r="B24" s="106" t="s">
        <v>192</v>
      </c>
      <c r="C24" s="3084"/>
      <c r="D24" s="102">
        <f>ROUND($D$3*E24/$E$3,2)</f>
        <v>0</v>
      </c>
      <c r="E24" s="124">
        <f>SUM(F24:G24)</f>
        <v>0</v>
      </c>
      <c r="F24" s="2613"/>
      <c r="G24" s="2614"/>
      <c r="H24" s="888">
        <f>ROUND($D$3*I24/$E$3,2)</f>
        <v>0</v>
      </c>
      <c r="I24" s="107">
        <f t="shared" si="7"/>
        <v>0</v>
      </c>
      <c r="J24" s="1633"/>
      <c r="K24" s="888">
        <f t="shared" si="3"/>
        <v>0</v>
      </c>
      <c r="L24" s="102">
        <f t="shared" si="4"/>
        <v>0</v>
      </c>
      <c r="M24" s="107">
        <f t="shared" si="8"/>
        <v>0</v>
      </c>
      <c r="N24" s="2066"/>
      <c r="O24" s="2067"/>
      <c r="P24" s="2068">
        <f t="shared" si="9"/>
        <v>0</v>
      </c>
      <c r="R24" s="102">
        <f t="shared" si="5"/>
        <v>0</v>
      </c>
      <c r="S24" s="124">
        <f t="shared" si="5"/>
        <v>0</v>
      </c>
    </row>
    <row r="25" spans="1:19">
      <c r="A25" s="123"/>
      <c r="B25" s="106" t="s">
        <v>192</v>
      </c>
      <c r="C25" s="3084"/>
      <c r="D25" s="102">
        <f t="shared" si="1"/>
        <v>0</v>
      </c>
      <c r="E25" s="124">
        <f t="shared" si="2"/>
        <v>0</v>
      </c>
      <c r="F25" s="2613"/>
      <c r="G25" s="2614"/>
      <c r="H25" s="101">
        <f t="shared" si="6"/>
        <v>0</v>
      </c>
      <c r="I25" s="107">
        <f t="shared" si="7"/>
        <v>0</v>
      </c>
      <c r="J25" s="1633"/>
      <c r="K25" s="888">
        <f t="shared" si="3"/>
        <v>0</v>
      </c>
      <c r="L25" s="102">
        <f t="shared" si="4"/>
        <v>0</v>
      </c>
      <c r="M25" s="107">
        <f t="shared" si="8"/>
        <v>0</v>
      </c>
      <c r="N25" s="2066"/>
      <c r="O25" s="2067"/>
      <c r="P25" s="2068">
        <f t="shared" si="9"/>
        <v>0</v>
      </c>
      <c r="R25" s="102">
        <f t="shared" si="5"/>
        <v>0</v>
      </c>
      <c r="S25" s="124">
        <f t="shared" si="5"/>
        <v>0</v>
      </c>
    </row>
    <row r="26" spans="1:19">
      <c r="A26" s="123"/>
      <c r="B26" s="106" t="s">
        <v>192</v>
      </c>
      <c r="C26" s="128"/>
      <c r="D26" s="102">
        <f t="shared" si="1"/>
        <v>0</v>
      </c>
      <c r="E26" s="124">
        <f t="shared" si="2"/>
        <v>0</v>
      </c>
      <c r="F26" s="2613"/>
      <c r="G26" s="2614"/>
      <c r="H26" s="101">
        <f t="shared" si="6"/>
        <v>0</v>
      </c>
      <c r="I26" s="107">
        <f t="shared" si="7"/>
        <v>0</v>
      </c>
      <c r="J26" s="1633"/>
      <c r="K26" s="101">
        <f t="shared" si="3"/>
        <v>0</v>
      </c>
      <c r="L26" s="106">
        <f t="shared" si="4"/>
        <v>0</v>
      </c>
      <c r="M26" s="111">
        <f t="shared" si="8"/>
        <v>0</v>
      </c>
      <c r="N26" s="2069"/>
      <c r="O26" s="2070"/>
      <c r="P26" s="2071">
        <f t="shared" si="9"/>
        <v>0</v>
      </c>
      <c r="R26" s="102">
        <f t="shared" si="5"/>
        <v>0</v>
      </c>
      <c r="S26" s="124">
        <f t="shared" si="5"/>
        <v>0</v>
      </c>
    </row>
    <row r="27" spans="1:19" ht="15.75" thickBot="1">
      <c r="A27" s="123"/>
      <c r="B27" s="102"/>
      <c r="C27" s="118" t="s">
        <v>181</v>
      </c>
      <c r="D27" s="124">
        <f>SUM(D19:D26)</f>
        <v>86493.04</v>
      </c>
      <c r="E27" s="129">
        <f>IF(SUM(E19:E26)='数据-基础表'!BA5,SUM(E19:E26),IF(F27="地上面积有误","面积有误","地下面积有误"))</f>
        <v>302725.5</v>
      </c>
      <c r="F27" s="124">
        <f>IF(SUM(F19:F26)=E8,SUM(F19:F26),"地上面积有误")</f>
        <v>302725.5</v>
      </c>
      <c r="G27" s="103">
        <f>SUM(G19:G26)</f>
        <v>0</v>
      </c>
      <c r="H27" s="889">
        <f>SUM(H19:H26)</f>
        <v>0</v>
      </c>
      <c r="I27" s="890">
        <f>SUM(I19:I26)</f>
        <v>0</v>
      </c>
      <c r="J27" s="1633"/>
      <c r="K27" s="2072">
        <f t="shared" ref="K27:P27" si="10">SUM(K19:K26)</f>
        <v>0</v>
      </c>
      <c r="L27" s="2073">
        <f t="shared" si="10"/>
        <v>0</v>
      </c>
      <c r="M27" s="2074">
        <f t="shared" si="10"/>
        <v>0</v>
      </c>
      <c r="N27" s="2072">
        <f t="shared" si="10"/>
        <v>0</v>
      </c>
      <c r="O27" s="2073">
        <f t="shared" si="10"/>
        <v>0</v>
      </c>
      <c r="P27" s="194">
        <f t="shared" si="10"/>
        <v>0</v>
      </c>
      <c r="R27" s="1892">
        <f>IF(SUM(R19:R26)=$D$3,SUM(R19:R26),SUM(R19:R26)&amp;"误差"&amp;ROUND(SUM(R19:R26)-$D$3,2))</f>
        <v>86493.04</v>
      </c>
      <c r="S27" s="102">
        <f>IF(SUM(S19:S26)=$E$3,SUM(S19:S26),SUM(S19:S26)&amp;"误差"&amp;ROUND(SUM(S19:S26)-E3,2))</f>
        <v>302725.5</v>
      </c>
    </row>
    <row r="28" spans="1:19">
      <c r="A28" s="123"/>
      <c r="B28" s="106" t="s">
        <v>193</v>
      </c>
      <c r="C28" s="125" t="s">
        <v>194</v>
      </c>
      <c r="D28" s="102">
        <f>ROUND($D$3*E28/$E$3,2)</f>
        <v>0</v>
      </c>
      <c r="E28" s="124">
        <f>SUM(F28:G28)</f>
        <v>0</v>
      </c>
      <c r="F28" s="125">
        <f>'数据-基础表'!BQ5+'数据-基础表'!BS5</f>
        <v>0</v>
      </c>
      <c r="G28" s="130">
        <f>'数据-基础表'!BR5+'数据-基础表'!BT5</f>
        <v>0</v>
      </c>
      <c r="H28" s="2610"/>
      <c r="I28" s="2610"/>
      <c r="J28" s="2610"/>
      <c r="K28" s="2610"/>
      <c r="L28" s="2610"/>
      <c r="M28" s="2610"/>
      <c r="N28" s="2610"/>
      <c r="O28" s="2610"/>
      <c r="P28" s="2610"/>
    </row>
    <row r="29" spans="1:19">
      <c r="A29" s="123"/>
      <c r="B29" s="106" t="s">
        <v>193</v>
      </c>
      <c r="C29" s="1900" t="s">
        <v>1677</v>
      </c>
      <c r="D29" s="102">
        <f>ROUND($D$3*E29/$E$3,2)</f>
        <v>0</v>
      </c>
      <c r="E29" s="124">
        <f>SUM(F29:G29)</f>
        <v>0</v>
      </c>
      <c r="F29" s="125">
        <f>'数据-基础表'!BM5+'数据-基础表'!BO5</f>
        <v>0</v>
      </c>
      <c r="G29" s="111">
        <f>'数据-基础表'!BN5+'数据-基础表'!BP5</f>
        <v>0</v>
      </c>
      <c r="H29" s="2610"/>
      <c r="I29" s="2610"/>
      <c r="J29" s="2610"/>
      <c r="K29" s="2610"/>
      <c r="L29" s="2610"/>
      <c r="M29" s="2610"/>
      <c r="N29" s="2610"/>
      <c r="O29" s="2610"/>
      <c r="P29" s="2610"/>
    </row>
    <row r="30" spans="1:19">
      <c r="A30" s="123"/>
      <c r="B30" s="102"/>
      <c r="C30" s="131" t="s">
        <v>181</v>
      </c>
      <c r="D30" s="124">
        <f>SUM(D28:D29)</f>
        <v>0</v>
      </c>
      <c r="E30" s="124">
        <f>SUM(E28:E29)</f>
        <v>0</v>
      </c>
      <c r="F30" s="124">
        <f>SUM(F28:F29)</f>
        <v>0</v>
      </c>
      <c r="G30" s="103">
        <f>SUM(G28:G29)</f>
        <v>0</v>
      </c>
      <c r="H30" s="2610"/>
      <c r="I30" s="2610"/>
      <c r="J30" s="2610"/>
      <c r="K30" s="2610"/>
      <c r="L30" s="2610"/>
      <c r="M30" s="2610"/>
      <c r="N30" s="2610"/>
      <c r="O30" s="2610"/>
      <c r="P30" s="2610"/>
    </row>
    <row r="31" spans="1:19" ht="32.25" customHeight="1" thickBot="1">
      <c r="A31" s="1160"/>
      <c r="B31" s="1161" t="s">
        <v>195</v>
      </c>
      <c r="C31" s="1917" t="s">
        <v>1679</v>
      </c>
      <c r="D31" s="1162">
        <f>D27+D30</f>
        <v>86493.04</v>
      </c>
      <c r="E31" s="1162">
        <f>E27+E30</f>
        <v>302725.5</v>
      </c>
      <c r="F31" s="1163">
        <f>F27+F30</f>
        <v>302725.5</v>
      </c>
      <c r="G31" s="1164">
        <f>G27+G30</f>
        <v>0</v>
      </c>
      <c r="H31" s="2610"/>
      <c r="I31" s="2610"/>
      <c r="J31" s="2610"/>
      <c r="K31" s="2610"/>
      <c r="L31" s="2610"/>
      <c r="M31" s="2610"/>
      <c r="N31" s="2610"/>
      <c r="O31" s="2610"/>
      <c r="P31" s="2610"/>
    </row>
    <row r="32" spans="1:19">
      <c r="A32" s="1633"/>
      <c r="B32" s="1929" t="s">
        <v>1678</v>
      </c>
      <c r="C32" s="2087"/>
      <c r="D32" s="119"/>
      <c r="E32" s="119">
        <f>SUMIF(C19:C26,"*住宅*",E19:E26)</f>
        <v>0</v>
      </c>
      <c r="F32" s="119"/>
      <c r="G32" s="119"/>
      <c r="H32" s="2610"/>
      <c r="I32" s="2610"/>
      <c r="J32" s="2610"/>
      <c r="K32" s="2610"/>
      <c r="L32" s="2610"/>
      <c r="M32" s="2610"/>
      <c r="N32" s="2610"/>
      <c r="O32" s="2610"/>
      <c r="P32" s="2610"/>
    </row>
    <row r="33" spans="4:6">
      <c r="D33" s="1635"/>
    </row>
    <row r="35" spans="4:6">
      <c r="F35" s="3403">
        <f>F19*0.25</f>
        <v>75681.375</v>
      </c>
    </row>
    <row r="38" spans="4:6">
      <c r="F38" s="1634">
        <f>(F35+F27)*2200/F19</f>
        <v>2750</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Normal="100" workbookViewId="0">
      <pane xSplit="3" ySplit="5" topLeftCell="G6" activePane="bottomRight" state="frozen"/>
      <selection pane="topRight" activeCell="D1" sqref="D1"/>
      <selection pane="bottomLeft" activeCell="A4" sqref="A4"/>
      <selection pane="bottomRight" activeCell="K24" sqref="K24"/>
    </sheetView>
  </sheetViews>
  <sheetFormatPr defaultColWidth="13.75" defaultRowHeight="12.75"/>
  <cols>
    <col min="1" max="1" width="20.875" style="1055" customWidth="1"/>
    <col min="2" max="3" width="12" style="1044" customWidth="1"/>
    <col min="4" max="4" width="9.125" style="1056" customWidth="1"/>
    <col min="5" max="5" width="15" style="1044" bestFit="1" customWidth="1"/>
    <col min="6" max="10" width="8.875" style="1044" customWidth="1"/>
    <col min="11" max="12" width="12.375" style="1057" customWidth="1"/>
    <col min="13" max="13" width="8.625" style="1044" customWidth="1"/>
    <col min="14" max="14" width="9.75" style="1044" customWidth="1"/>
    <col min="15" max="16" width="9.625" style="1044" customWidth="1"/>
    <col min="17" max="17" width="10.875" style="1044" customWidth="1"/>
    <col min="18" max="19" width="12.5" style="1044" customWidth="1"/>
    <col min="20" max="20" width="12.125" style="1044" customWidth="1"/>
    <col min="21" max="21" width="7.5" style="1044" customWidth="1"/>
    <col min="22" max="22" width="6.375" style="1044" customWidth="1"/>
    <col min="23" max="24" width="6.75" style="1044" customWidth="1"/>
    <col min="25" max="25" width="8.125" style="1044" customWidth="1"/>
    <col min="26" max="30" width="6.75" style="1044" customWidth="1"/>
    <col min="31" max="31" width="6.5" style="1044" customWidth="1"/>
    <col min="32" max="33" width="7.25" style="1044" customWidth="1"/>
    <col min="34" max="34" width="10.5" style="1044" bestFit="1" customWidth="1"/>
    <col min="35" max="39" width="8" style="1044" customWidth="1"/>
    <col min="40" max="41" width="13.75" style="237"/>
    <col min="42" max="42" width="13.75" style="237" customWidth="1"/>
    <col min="43" max="83" width="13.75" style="237"/>
    <col min="84" max="16384" width="13.75" style="1044"/>
  </cols>
  <sheetData>
    <row r="1" spans="1:83" ht="19.5" thickBot="1">
      <c r="A1" s="132" t="s">
        <v>200</v>
      </c>
      <c r="B1" s="287"/>
      <c r="C1" s="1636"/>
      <c r="D1" s="1637"/>
      <c r="E1" s="1636"/>
      <c r="F1" s="1636"/>
      <c r="G1" s="1636"/>
      <c r="H1" s="1636"/>
      <c r="I1" s="1636"/>
      <c r="J1" s="1636"/>
      <c r="K1" s="1638"/>
      <c r="L1" s="1638"/>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2616"/>
      <c r="AO1" s="2616"/>
      <c r="AP1" s="2616"/>
      <c r="AQ1" s="2616"/>
      <c r="AR1" s="2616"/>
      <c r="AS1" s="2616"/>
      <c r="AT1" s="2616"/>
      <c r="AU1" s="2616"/>
      <c r="AV1" s="2616"/>
      <c r="AW1" s="2616"/>
      <c r="AX1" s="2616"/>
      <c r="AY1" s="2616"/>
      <c r="AZ1" s="2616"/>
    </row>
    <row r="2" spans="1:83" s="1046" customFormat="1" ht="15.75" thickBot="1">
      <c r="A2" s="133" t="s">
        <v>201</v>
      </c>
      <c r="B2" s="1925">
        <f>项目基本情况!D3</f>
        <v>45057</v>
      </c>
      <c r="C2" s="1633"/>
      <c r="D2" s="1639"/>
      <c r="E2" s="1633"/>
      <c r="F2" s="1633"/>
      <c r="G2" s="1633"/>
      <c r="H2" s="1633"/>
      <c r="I2" s="1633"/>
      <c r="J2" s="1633"/>
      <c r="K2" s="1640"/>
      <c r="L2" s="1640"/>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2610"/>
      <c r="AO2" s="2610"/>
      <c r="AP2" s="2610"/>
      <c r="AQ2" s="2610"/>
      <c r="AR2" s="2610"/>
      <c r="AS2" s="2610"/>
      <c r="AT2" s="2610"/>
      <c r="AU2" s="2610"/>
      <c r="AV2" s="2610"/>
      <c r="AW2" s="2610"/>
      <c r="AX2" s="2610"/>
      <c r="AY2" s="2610"/>
      <c r="AZ2" s="2610"/>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row>
    <row r="3" spans="1:83" s="1046" customFormat="1" ht="15" thickBot="1">
      <c r="A3" s="1047"/>
      <c r="B3" s="96"/>
      <c r="C3" s="1633"/>
      <c r="D3" s="1639"/>
      <c r="E3" s="1633"/>
      <c r="F3" s="1633"/>
      <c r="G3" s="1633"/>
      <c r="H3" s="1633"/>
      <c r="I3" s="1633"/>
      <c r="J3" s="1633"/>
      <c r="K3" s="1640"/>
      <c r="L3" s="1640"/>
      <c r="M3" s="1633"/>
      <c r="N3" s="1633"/>
      <c r="O3" s="1633"/>
      <c r="P3" s="1633"/>
      <c r="Q3" s="1633"/>
      <c r="R3" s="1633"/>
      <c r="S3" s="1633"/>
      <c r="T3" s="1633"/>
      <c r="U3" s="1633"/>
      <c r="V3" s="1633"/>
      <c r="W3" s="1633"/>
      <c r="X3" s="1633"/>
      <c r="Y3" s="1633"/>
      <c r="Z3" s="1633"/>
      <c r="AA3" s="1633"/>
      <c r="AB3" s="1633"/>
      <c r="AC3" s="1633"/>
      <c r="AD3" s="1633"/>
      <c r="AE3" s="1633"/>
      <c r="AF3" s="1633"/>
      <c r="AG3" s="1633"/>
      <c r="AH3" s="1633"/>
      <c r="AI3" s="1633"/>
      <c r="AJ3" s="1633"/>
      <c r="AK3" s="1633"/>
      <c r="AL3" s="1633"/>
      <c r="AM3" s="1633"/>
      <c r="AN3" s="2610"/>
      <c r="AO3" s="2610"/>
      <c r="AP3" s="2610"/>
      <c r="AQ3" s="2610"/>
      <c r="AR3" s="2610"/>
      <c r="AS3" s="2610"/>
      <c r="AT3" s="2610"/>
      <c r="AU3" s="2610"/>
      <c r="AV3" s="2610"/>
      <c r="AW3" s="2610"/>
      <c r="AX3" s="2610"/>
      <c r="AY3" s="2610"/>
      <c r="AZ3" s="2610"/>
      <c r="BA3" s="1634"/>
      <c r="BB3" s="1634"/>
      <c r="BC3" s="1634"/>
      <c r="BD3" s="1634"/>
      <c r="BE3" s="1634"/>
      <c r="BF3" s="1634"/>
      <c r="BG3" s="1634"/>
      <c r="BH3" s="1634"/>
      <c r="BI3" s="1634"/>
      <c r="BJ3" s="1634"/>
      <c r="BK3" s="1634"/>
      <c r="BL3" s="1634"/>
      <c r="BM3" s="1634"/>
      <c r="BN3" s="1634"/>
      <c r="BO3" s="1634"/>
      <c r="BP3" s="1634"/>
      <c r="BQ3" s="1634"/>
      <c r="BR3" s="1634"/>
      <c r="BS3" s="1634"/>
      <c r="BT3" s="1634"/>
      <c r="BU3" s="1634"/>
      <c r="BV3" s="1634"/>
      <c r="BW3" s="1634"/>
      <c r="BX3" s="1634"/>
      <c r="BY3" s="1634"/>
      <c r="BZ3" s="1634"/>
      <c r="CA3" s="1634"/>
      <c r="CB3" s="1634"/>
      <c r="CC3" s="1634"/>
      <c r="CD3" s="1634"/>
      <c r="CE3" s="1634"/>
    </row>
    <row r="4" spans="1:83" s="1046" customFormat="1" ht="15" thickBot="1">
      <c r="A4" s="134" t="s">
        <v>802</v>
      </c>
      <c r="B4" s="136"/>
      <c r="C4" s="137"/>
      <c r="D4" s="1048"/>
      <c r="E4" s="1049" t="s">
        <v>803</v>
      </c>
      <c r="F4" s="137"/>
      <c r="G4" s="137"/>
      <c r="H4" s="137"/>
      <c r="I4" s="137"/>
      <c r="J4" s="138"/>
      <c r="K4" s="1050"/>
      <c r="L4" s="1051"/>
      <c r="M4" s="137"/>
      <c r="N4" s="1049" t="s">
        <v>804</v>
      </c>
      <c r="O4" s="137"/>
      <c r="P4" s="137"/>
      <c r="Q4" s="137"/>
      <c r="R4" s="137"/>
      <c r="S4" s="138"/>
      <c r="T4" s="891"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10"/>
      <c r="AO4" s="2610"/>
      <c r="AP4" s="2610"/>
      <c r="AQ4" s="2610"/>
      <c r="AR4" s="2610"/>
      <c r="AS4" s="2610"/>
      <c r="AT4" s="2610"/>
      <c r="AU4" s="2610"/>
      <c r="AV4" s="2610"/>
      <c r="AW4" s="2610"/>
      <c r="AX4" s="2610"/>
      <c r="AY4" s="2610"/>
      <c r="AZ4" s="2610"/>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row>
    <row r="5" spans="1:83" s="1052" customFormat="1" ht="40.5">
      <c r="A5" s="1891"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8" t="s">
        <v>3247</v>
      </c>
      <c r="O5" s="147" t="s">
        <v>212</v>
      </c>
      <c r="P5" s="149" t="s">
        <v>213</v>
      </c>
      <c r="Q5" s="150" t="s">
        <v>214</v>
      </c>
      <c r="R5" s="151" t="s">
        <v>215</v>
      </c>
      <c r="S5" s="2075" t="s">
        <v>1855</v>
      </c>
      <c r="T5" s="152" t="s">
        <v>216</v>
      </c>
      <c r="U5" s="153" t="s">
        <v>217</v>
      </c>
      <c r="V5" s="143" t="s">
        <v>218</v>
      </c>
      <c r="W5" s="143" t="s">
        <v>219</v>
      </c>
      <c r="X5" s="1510"/>
      <c r="Y5" s="154" t="s">
        <v>220</v>
      </c>
      <c r="Z5" s="155" t="s">
        <v>221</v>
      </c>
      <c r="AA5" s="143" t="s">
        <v>218</v>
      </c>
      <c r="AB5" s="143" t="s">
        <v>219</v>
      </c>
      <c r="AC5" s="1511"/>
      <c r="AD5" s="156" t="s">
        <v>220</v>
      </c>
      <c r="AE5" s="1" t="s">
        <v>808</v>
      </c>
      <c r="AF5" s="143" t="s">
        <v>222</v>
      </c>
      <c r="AG5" s="154" t="s">
        <v>223</v>
      </c>
      <c r="AH5" s="1511" t="s">
        <v>1680</v>
      </c>
      <c r="AI5" s="155" t="s">
        <v>1649</v>
      </c>
      <c r="AJ5" s="155" t="s">
        <v>224</v>
      </c>
      <c r="AK5" s="143" t="s">
        <v>225</v>
      </c>
      <c r="AL5" s="143" t="s">
        <v>226</v>
      </c>
      <c r="AM5" s="156" t="s">
        <v>227</v>
      </c>
      <c r="AN5" s="1950" t="s">
        <v>1727</v>
      </c>
      <c r="AO5" s="2628"/>
      <c r="AP5" s="2615" t="s">
        <v>2259</v>
      </c>
      <c r="AQ5" s="2628"/>
      <c r="AR5" s="2628"/>
      <c r="AS5" s="2628"/>
      <c r="AT5" s="2628"/>
      <c r="AU5" s="2628"/>
      <c r="AV5" s="2628"/>
      <c r="AW5" s="2628"/>
      <c r="AX5" s="2628"/>
      <c r="AY5" s="2628"/>
      <c r="AZ5" s="2628"/>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row>
    <row r="6" spans="1:83" s="1046" customFormat="1" ht="14.25">
      <c r="A6" s="1889" t="str">
        <f>'数据-汇总表'!C19</f>
        <v>商业</v>
      </c>
      <c r="B6" s="1924" t="str">
        <f>IF(A6=0,"","经营性")</f>
        <v>经营性</v>
      </c>
      <c r="C6" s="157" t="s">
        <v>2736</v>
      </c>
      <c r="D6" s="1895">
        <f>SUMIF(项目基本情况!C$15:I$15,C6,项目基本情况!C$18:I$18)</f>
        <v>40</v>
      </c>
      <c r="E6" s="1896">
        <f>IF(B6="","",SUMIF(项目基本情况!C$15:I$15,C6,项目基本情况!C$17:I$17))</f>
        <v>56220</v>
      </c>
      <c r="F6" s="158">
        <f>SUMIF(项目基本情况!C$15:I$15,C6,项目基本情况!C$19:I$19)</f>
        <v>30.58</v>
      </c>
      <c r="G6" s="159">
        <f t="shared" ref="G6:G13" si="0">IF(ISERROR(ROUND(POWER(1+H6,D6-F6)*(POWER(1+H6,F6)-1)/(POWER(1+H6,D6)-1),3)),0,ROUND(POWER(1+H6,D6-F6)*(POWER(1+H6,F6)-1)/(POWER(1+H6,D6)-1),3))</f>
        <v>0.90300000000000002</v>
      </c>
      <c r="H6" s="2311">
        <v>0.05</v>
      </c>
      <c r="I6" s="2311">
        <v>5.5E-2</v>
      </c>
      <c r="J6" s="160">
        <v>0.08</v>
      </c>
      <c r="K6" s="163">
        <f>SUMIF('数据-汇总表'!C$19:C$33,'数据-取费表'!A6,'数据-汇总表'!E$19:E$33)</f>
        <v>302725.5</v>
      </c>
      <c r="L6" s="2312">
        <v>2650</v>
      </c>
      <c r="M6" s="161">
        <f t="shared" ref="M6:M14" si="1">ROUND(K6*L6/10000,0)</f>
        <v>80222</v>
      </c>
      <c r="N6" s="2313">
        <v>0</v>
      </c>
      <c r="O6" s="161">
        <f>IF($N$5="成新度","——",ROUND(M6*N6,0))</f>
        <v>0</v>
      </c>
      <c r="P6" s="162">
        <f>IF($N$5="成新度","——",M6-O6)</f>
        <v>80222</v>
      </c>
      <c r="Q6" s="2314">
        <v>0.2</v>
      </c>
      <c r="R6" s="163">
        <f>SUMIF('数据-汇总表'!C$19:C$33,A6,'数据-汇总表'!R$19:R$33)</f>
        <v>86493.04</v>
      </c>
      <c r="S6" s="122">
        <f>IF('数据-汇总表'!$I$17="按面积比例",SUMIF('数据-汇总表'!C$19:C$33,A6,'数据-汇总表'!K$19:K$33),SUMIF('数据-汇总表'!C$19:C$33,A6,'数据-汇总表'!N$19:N$33))</f>
        <v>0</v>
      </c>
      <c r="T6" s="1827" t="str">
        <f>IF($T$4="按面积比例",IF(ISERROR(ROUND($M$14*S6/S$16,0)),"0",ROUND($M$14*S6/S$16,0)),"需自行计算录入")</f>
        <v>0</v>
      </c>
      <c r="U6" s="164">
        <v>1.5</v>
      </c>
      <c r="V6" s="165">
        <v>2.5000000000000001E-2</v>
      </c>
      <c r="W6" s="165">
        <v>0.15</v>
      </c>
      <c r="X6" s="1908"/>
      <c r="Y6" s="166">
        <v>1</v>
      </c>
      <c r="Z6" s="167"/>
      <c r="AA6" s="160"/>
      <c r="AB6" s="160"/>
      <c r="AC6" s="1911"/>
      <c r="AD6" s="168"/>
      <c r="AE6" s="886">
        <f ca="1">IF(AN6="",0,SUMIF(INDIRECT("'"&amp;AN6&amp;"'"&amp;"!E:E"),$AE$5,INDIRECT("'"&amp;AN6&amp;"'"&amp;"!F:F")))</f>
        <v>27.58</v>
      </c>
      <c r="AF6" s="127"/>
      <c r="AG6" s="1053">
        <f>IF(AF6="",0,AE6-AF6)</f>
        <v>0</v>
      </c>
      <c r="AH6" s="3392">
        <f>K6</f>
        <v>302725.5</v>
      </c>
      <c r="AI6" s="171">
        <v>365</v>
      </c>
      <c r="AJ6" s="127"/>
      <c r="AK6" s="172">
        <v>0.01</v>
      </c>
      <c r="AL6" s="173">
        <v>1.5E-3</v>
      </c>
      <c r="AM6" s="1949">
        <v>0.01</v>
      </c>
      <c r="AN6" s="1124" t="s">
        <v>3261</v>
      </c>
      <c r="AO6" s="2610"/>
      <c r="AP6" s="96">
        <f>ROUND(1-1/(1+H6)^F6,3)</f>
        <v>0.77500000000000002</v>
      </c>
      <c r="AQ6" s="2610"/>
      <c r="AR6" s="2610"/>
      <c r="AS6" s="2610"/>
      <c r="AT6" s="2610"/>
      <c r="AU6" s="2610"/>
      <c r="AV6" s="2610"/>
      <c r="AW6" s="2610"/>
      <c r="AX6" s="2610"/>
      <c r="AY6" s="2610"/>
      <c r="AZ6" s="2610"/>
      <c r="BA6" s="1634"/>
      <c r="BB6" s="1634"/>
      <c r="BC6" s="1634"/>
      <c r="BD6" s="1634"/>
      <c r="BE6" s="1634"/>
      <c r="BF6" s="1634"/>
      <c r="BG6" s="1634"/>
      <c r="BH6" s="1634"/>
      <c r="BI6" s="1634"/>
      <c r="BJ6" s="1634"/>
      <c r="BK6" s="1634"/>
      <c r="BL6" s="1634"/>
      <c r="BM6" s="1634"/>
      <c r="BN6" s="1634"/>
      <c r="BO6" s="1634"/>
      <c r="BP6" s="1634"/>
      <c r="BQ6" s="1634"/>
      <c r="BR6" s="1634"/>
      <c r="BS6" s="1634"/>
      <c r="BT6" s="1634"/>
      <c r="BU6" s="1634"/>
      <c r="BV6" s="1634"/>
      <c r="BW6" s="1634"/>
      <c r="BX6" s="1634"/>
      <c r="BY6" s="1634"/>
      <c r="BZ6" s="1634"/>
      <c r="CA6" s="1634"/>
      <c r="CB6" s="1634"/>
      <c r="CC6" s="1634"/>
      <c r="CD6" s="1634"/>
      <c r="CE6" s="1634"/>
    </row>
    <row r="7" spans="1:83" s="1046" customFormat="1" ht="14.25">
      <c r="A7" s="1889">
        <f>'数据-汇总表'!C20</f>
        <v>0</v>
      </c>
      <c r="B7" s="1924" t="str">
        <f t="shared" ref="B7:B13" si="2">IF(A7=0,"","经营性")</f>
        <v/>
      </c>
      <c r="C7" s="157"/>
      <c r="D7" s="1895">
        <f>SUMIF(项目基本情况!C$15:I$15,C7,项目基本情况!C$18:I$18)</f>
        <v>0</v>
      </c>
      <c r="E7" s="1896" t="str">
        <f>IF(B7="","",SUMIF(项目基本情况!C$15:I$15,C7,项目基本情况!C$17:I$17))</f>
        <v/>
      </c>
      <c r="F7" s="158">
        <f>SUMIF(项目基本情况!C$15:I$15,C7,项目基本情况!C$19:I$19)</f>
        <v>0</v>
      </c>
      <c r="G7" s="159">
        <f t="shared" si="0"/>
        <v>0</v>
      </c>
      <c r="H7" s="2311"/>
      <c r="I7" s="2311"/>
      <c r="J7" s="160"/>
      <c r="K7" s="163">
        <f>SUMIF('数据-汇总表'!C$19:C$33,'数据-取费表'!A7,'数据-汇总表'!E$19:E$33)</f>
        <v>0</v>
      </c>
      <c r="L7" s="2312"/>
      <c r="M7" s="161">
        <f t="shared" si="1"/>
        <v>0</v>
      </c>
      <c r="N7" s="2313"/>
      <c r="O7" s="161">
        <f t="shared" ref="O7:O14" si="3">IF($N$5="成新度","——",ROUND(M7*N7,0))</f>
        <v>0</v>
      </c>
      <c r="P7" s="162">
        <f t="shared" ref="P7:P14" si="4">IF($N$5="成新度","——",M7-O7)</f>
        <v>0</v>
      </c>
      <c r="Q7" s="2314"/>
      <c r="R7" s="163">
        <f>SUMIF('数据-汇总表'!C$19:C$33,A7,'数据-汇总表'!R$19:R$33)</f>
        <v>0</v>
      </c>
      <c r="S7" s="122">
        <f>IF('数据-汇总表'!$I$17="按面积比例",SUMIF('数据-汇总表'!C$19:C$33,A7,'数据-汇总表'!K$19:K$33),SUMIF('数据-汇总表'!C$19:C$33,A7,'数据-汇总表'!N$19:N$33))</f>
        <v>0</v>
      </c>
      <c r="T7" s="1827" t="str">
        <f t="shared" ref="T7:T13" si="5">IF($T$4="按面积比例",IF(ISERROR(ROUND($M$14*S7/S$16,0)),"0",ROUND($M$14*S7/S$16,0)),"需自行计算录入")</f>
        <v>0</v>
      </c>
      <c r="U7" s="164"/>
      <c r="V7" s="165"/>
      <c r="W7" s="165"/>
      <c r="X7" s="1908"/>
      <c r="Y7" s="166"/>
      <c r="Z7" s="167"/>
      <c r="AA7" s="160"/>
      <c r="AB7" s="160"/>
      <c r="AC7" s="1911"/>
      <c r="AD7" s="168"/>
      <c r="AE7" s="886">
        <f t="shared" ref="AE7:AE13" ca="1" si="6">IF(AN7="",0,SUMIF(INDIRECT("'"&amp;AN7&amp;"'"&amp;"!E:E"),$AE$5,INDIRECT("'"&amp;AN7&amp;"'"&amp;"!F:F")))</f>
        <v>0</v>
      </c>
      <c r="AF7" s="127"/>
      <c r="AG7" s="1053">
        <f t="shared" ref="AG7:AG13" si="7">IF(AF7="",0,AE7-AF7)</f>
        <v>0</v>
      </c>
      <c r="AH7" s="127"/>
      <c r="AI7" s="171"/>
      <c r="AJ7" s="127"/>
      <c r="AK7" s="172"/>
      <c r="AL7" s="173"/>
      <c r="AM7" s="2322"/>
      <c r="AN7" s="1124"/>
      <c r="AO7" s="2610"/>
      <c r="AP7" s="96">
        <f t="shared" ref="AP7:AP13" si="8">ROUND(1-1/(1+H7)^F7,3)</f>
        <v>0</v>
      </c>
      <c r="AQ7" s="2610"/>
      <c r="AR7" s="2610"/>
      <c r="AS7" s="2610"/>
      <c r="AT7" s="2610"/>
      <c r="AU7" s="2610"/>
      <c r="AV7" s="2610"/>
      <c r="AW7" s="2610"/>
      <c r="AX7" s="2610"/>
      <c r="AY7" s="2610"/>
      <c r="AZ7" s="2610"/>
      <c r="BA7" s="1634"/>
      <c r="BB7" s="1634"/>
      <c r="BC7" s="1634"/>
      <c r="BD7" s="1634"/>
      <c r="BE7" s="1634"/>
      <c r="BF7" s="1634"/>
      <c r="BG7" s="1634"/>
      <c r="BH7" s="1634"/>
      <c r="BI7" s="1634"/>
      <c r="BJ7" s="1634"/>
      <c r="BK7" s="1634"/>
      <c r="BL7" s="1634"/>
      <c r="BM7" s="1634"/>
      <c r="BN7" s="1634"/>
      <c r="BO7" s="1634"/>
      <c r="BP7" s="1634"/>
      <c r="BQ7" s="1634"/>
      <c r="BR7" s="1634"/>
      <c r="BS7" s="1634"/>
      <c r="BT7" s="1634"/>
      <c r="BU7" s="1634"/>
      <c r="BV7" s="1634"/>
      <c r="BW7" s="1634"/>
      <c r="BX7" s="1634"/>
      <c r="BY7" s="1634"/>
      <c r="BZ7" s="1634"/>
      <c r="CA7" s="1634"/>
      <c r="CB7" s="1634"/>
      <c r="CC7" s="1634"/>
      <c r="CD7" s="1634"/>
      <c r="CE7" s="1634"/>
    </row>
    <row r="8" spans="1:83" s="1046" customFormat="1" ht="14.25">
      <c r="A8" s="1889">
        <f>'数据-汇总表'!C21</f>
        <v>0</v>
      </c>
      <c r="B8" s="1924" t="str">
        <f t="shared" si="2"/>
        <v/>
      </c>
      <c r="C8" s="157"/>
      <c r="D8" s="1895">
        <f>SUMIF(项目基本情况!C$15:I$15,C8,项目基本情况!C$18:I$18)</f>
        <v>0</v>
      </c>
      <c r="E8" s="1896" t="str">
        <f>IF(B8="","",SUMIF(项目基本情况!C$15:I$15,C8,项目基本情况!C$17:I$17))</f>
        <v/>
      </c>
      <c r="F8" s="158">
        <f>SUMIF(项目基本情况!C$15:I$15,C8,项目基本情况!C$19:I$19)</f>
        <v>0</v>
      </c>
      <c r="G8" s="159">
        <f t="shared" si="0"/>
        <v>0</v>
      </c>
      <c r="H8" s="2311"/>
      <c r="I8" s="2311"/>
      <c r="J8" s="160"/>
      <c r="K8" s="163">
        <f>SUMIF('数据-汇总表'!C$19:C$33,'数据-取费表'!A8,'数据-汇总表'!E$19:E$33)</f>
        <v>0</v>
      </c>
      <c r="L8" s="2312"/>
      <c r="M8" s="161">
        <f>ROUND(K8*L8/10000,0)</f>
        <v>0</v>
      </c>
      <c r="N8" s="2313"/>
      <c r="O8" s="161">
        <f t="shared" si="3"/>
        <v>0</v>
      </c>
      <c r="P8" s="162">
        <f t="shared" si="4"/>
        <v>0</v>
      </c>
      <c r="Q8" s="2314"/>
      <c r="R8" s="163">
        <f>SUMIF('数据-汇总表'!C$19:C$33,A8,'数据-汇总表'!R$19:R$33)</f>
        <v>0</v>
      </c>
      <c r="S8" s="122">
        <f>IF('数据-汇总表'!$I$17="按面积比例",SUMIF('数据-汇总表'!C$19:C$33,A8,'数据-汇总表'!K$19:K$33),SUMIF('数据-汇总表'!C$19:C$33,A8,'数据-汇总表'!N$19:N$33))</f>
        <v>0</v>
      </c>
      <c r="T8" s="1827" t="str">
        <f t="shared" si="5"/>
        <v>0</v>
      </c>
      <c r="U8" s="164"/>
      <c r="V8" s="165"/>
      <c r="W8" s="165"/>
      <c r="X8" s="1908"/>
      <c r="Y8" s="166"/>
      <c r="Z8" s="167"/>
      <c r="AA8" s="160"/>
      <c r="AB8" s="160"/>
      <c r="AC8" s="1911"/>
      <c r="AD8" s="168"/>
      <c r="AE8" s="886">
        <f t="shared" ca="1" si="6"/>
        <v>0</v>
      </c>
      <c r="AF8" s="127"/>
      <c r="AG8" s="1053">
        <f t="shared" si="7"/>
        <v>0</v>
      </c>
      <c r="AH8" s="127"/>
      <c r="AI8" s="171"/>
      <c r="AJ8" s="127"/>
      <c r="AK8" s="172"/>
      <c r="AL8" s="173"/>
      <c r="AM8" s="2322"/>
      <c r="AN8" s="1124"/>
      <c r="AO8" s="2610"/>
      <c r="AP8" s="96">
        <f t="shared" si="8"/>
        <v>0</v>
      </c>
      <c r="AQ8" s="2610"/>
      <c r="AR8" s="2610"/>
      <c r="AS8" s="2610"/>
      <c r="AT8" s="2610"/>
      <c r="AU8" s="2610"/>
      <c r="AV8" s="2610"/>
      <c r="AW8" s="2610"/>
      <c r="AX8" s="2610"/>
      <c r="AY8" s="2610"/>
      <c r="AZ8" s="2610"/>
      <c r="BA8" s="1634"/>
      <c r="BB8" s="1634"/>
      <c r="BC8" s="1634"/>
      <c r="BD8" s="1634"/>
      <c r="BE8" s="1634"/>
      <c r="BF8" s="1634"/>
      <c r="BG8" s="1634"/>
      <c r="BH8" s="1634"/>
      <c r="BI8" s="1634"/>
      <c r="BJ8" s="1634"/>
      <c r="BK8" s="1634"/>
      <c r="BL8" s="1634"/>
      <c r="BM8" s="1634"/>
      <c r="BN8" s="1634"/>
      <c r="BO8" s="1634"/>
      <c r="BP8" s="1634"/>
      <c r="BQ8" s="1634"/>
      <c r="BR8" s="1634"/>
      <c r="BS8" s="1634"/>
      <c r="BT8" s="1634"/>
      <c r="BU8" s="1634"/>
      <c r="BV8" s="1634"/>
      <c r="BW8" s="1634"/>
      <c r="BX8" s="1634"/>
      <c r="BY8" s="1634"/>
      <c r="BZ8" s="1634"/>
      <c r="CA8" s="1634"/>
      <c r="CB8" s="1634"/>
      <c r="CC8" s="1634"/>
      <c r="CD8" s="1634"/>
      <c r="CE8" s="1634"/>
    </row>
    <row r="9" spans="1:83" s="1046" customFormat="1" ht="14.25">
      <c r="A9" s="1889">
        <f>'数据-汇总表'!C22</f>
        <v>0</v>
      </c>
      <c r="B9" s="1924" t="str">
        <f t="shared" si="2"/>
        <v/>
      </c>
      <c r="C9" s="157"/>
      <c r="D9" s="1895">
        <f>SUMIF(项目基本情况!C$15:I$15,C9,项目基本情况!C$18:I$18)</f>
        <v>0</v>
      </c>
      <c r="E9" s="1896"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2"/>
      <c r="M9" s="161">
        <f t="shared" si="1"/>
        <v>0</v>
      </c>
      <c r="N9" s="2313"/>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7" t="str">
        <f t="shared" si="5"/>
        <v>0</v>
      </c>
      <c r="U9" s="164"/>
      <c r="V9" s="165"/>
      <c r="W9" s="165"/>
      <c r="X9" s="1908"/>
      <c r="Y9" s="166"/>
      <c r="Z9" s="167"/>
      <c r="AA9" s="160"/>
      <c r="AB9" s="160"/>
      <c r="AC9" s="1911"/>
      <c r="AD9" s="168"/>
      <c r="AE9" s="886">
        <f t="shared" ca="1" si="6"/>
        <v>0</v>
      </c>
      <c r="AF9" s="127"/>
      <c r="AG9" s="1053">
        <f t="shared" si="7"/>
        <v>0</v>
      </c>
      <c r="AH9" s="127"/>
      <c r="AI9" s="171"/>
      <c r="AJ9" s="127"/>
      <c r="AK9" s="172"/>
      <c r="AL9" s="173"/>
      <c r="AM9" s="2322"/>
      <c r="AN9" s="1124"/>
      <c r="AO9" s="2610"/>
      <c r="AP9" s="96">
        <f t="shared" si="8"/>
        <v>0</v>
      </c>
      <c r="AQ9" s="2610"/>
      <c r="AR9" s="2610"/>
      <c r="AS9" s="2610"/>
      <c r="AT9" s="2610"/>
      <c r="AU9" s="2610"/>
      <c r="AV9" s="2610"/>
      <c r="AW9" s="2610"/>
      <c r="AX9" s="2610"/>
      <c r="AY9" s="2610"/>
      <c r="AZ9" s="2610"/>
      <c r="BA9" s="1634"/>
      <c r="BB9" s="1634"/>
      <c r="BC9" s="1634"/>
      <c r="BD9" s="1634"/>
      <c r="BE9" s="1634"/>
      <c r="BF9" s="1634"/>
      <c r="BG9" s="1634"/>
      <c r="BH9" s="1634"/>
      <c r="BI9" s="1634"/>
      <c r="BJ9" s="1634"/>
      <c r="BK9" s="1634"/>
      <c r="BL9" s="1634"/>
      <c r="BM9" s="1634"/>
      <c r="BN9" s="1634"/>
      <c r="BO9" s="1634"/>
      <c r="BP9" s="1634"/>
      <c r="BQ9" s="1634"/>
      <c r="BR9" s="1634"/>
      <c r="BS9" s="1634"/>
      <c r="BT9" s="1634"/>
      <c r="BU9" s="1634"/>
      <c r="BV9" s="1634"/>
      <c r="BW9" s="1634"/>
      <c r="BX9" s="1634"/>
      <c r="BY9" s="1634"/>
      <c r="BZ9" s="1634"/>
      <c r="CA9" s="1634"/>
      <c r="CB9" s="1634"/>
      <c r="CC9" s="1634"/>
      <c r="CD9" s="1634"/>
      <c r="CE9" s="1634"/>
    </row>
    <row r="10" spans="1:83" s="1046" customFormat="1" ht="14.25">
      <c r="A10" s="1889">
        <f>'数据-汇总表'!C23</f>
        <v>0</v>
      </c>
      <c r="B10" s="1924" t="str">
        <f t="shared" si="2"/>
        <v/>
      </c>
      <c r="C10" s="157"/>
      <c r="D10" s="1895">
        <f>SUMIF(项目基本情况!C$15:I$15,C10,项目基本情况!C$18:I$18)</f>
        <v>0</v>
      </c>
      <c r="E10" s="1896"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2"/>
      <c r="M10" s="161">
        <f t="shared" si="1"/>
        <v>0</v>
      </c>
      <c r="N10" s="2313"/>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7" t="str">
        <f t="shared" si="5"/>
        <v>0</v>
      </c>
      <c r="U10" s="164"/>
      <c r="V10" s="165"/>
      <c r="W10" s="165"/>
      <c r="X10" s="1908"/>
      <c r="Y10" s="166"/>
      <c r="Z10" s="167"/>
      <c r="AA10" s="160"/>
      <c r="AB10" s="160"/>
      <c r="AC10" s="1911"/>
      <c r="AD10" s="168"/>
      <c r="AE10" s="886">
        <f t="shared" ca="1" si="6"/>
        <v>0</v>
      </c>
      <c r="AF10" s="127"/>
      <c r="AG10" s="1053">
        <f t="shared" si="7"/>
        <v>0</v>
      </c>
      <c r="AH10" s="127"/>
      <c r="AI10" s="171"/>
      <c r="AJ10" s="127"/>
      <c r="AK10" s="172"/>
      <c r="AL10" s="173"/>
      <c r="AM10" s="2322"/>
      <c r="AN10" s="1124"/>
      <c r="AO10" s="2610"/>
      <c r="AP10" s="96">
        <f t="shared" si="8"/>
        <v>0</v>
      </c>
      <c r="AQ10" s="2610"/>
      <c r="AR10" s="2610"/>
      <c r="AS10" s="2610"/>
      <c r="AT10" s="2610"/>
      <c r="AU10" s="2610"/>
      <c r="AV10" s="2610"/>
      <c r="AW10" s="2610"/>
      <c r="AX10" s="2610"/>
      <c r="AY10" s="2610"/>
      <c r="AZ10" s="2610"/>
      <c r="BA10" s="1634"/>
      <c r="BB10" s="1634"/>
      <c r="BC10" s="1634"/>
      <c r="BD10" s="1634"/>
      <c r="BE10" s="1634"/>
      <c r="BF10" s="1634"/>
      <c r="BG10" s="1634"/>
      <c r="BH10" s="1634"/>
      <c r="BI10" s="1634"/>
      <c r="BJ10" s="1634"/>
      <c r="BK10" s="1634"/>
      <c r="BL10" s="1634"/>
      <c r="BM10" s="1634"/>
      <c r="BN10" s="1634"/>
      <c r="BO10" s="1634"/>
      <c r="BP10" s="1634"/>
      <c r="BQ10" s="1634"/>
      <c r="BR10" s="1634"/>
      <c r="BS10" s="1634"/>
      <c r="BT10" s="1634"/>
      <c r="BU10" s="1634"/>
      <c r="BV10" s="1634"/>
      <c r="BW10" s="1634"/>
      <c r="BX10" s="1634"/>
      <c r="BY10" s="1634"/>
      <c r="BZ10" s="1634"/>
      <c r="CA10" s="1634"/>
      <c r="CB10" s="1634"/>
      <c r="CC10" s="1634"/>
      <c r="CD10" s="1634"/>
      <c r="CE10" s="1634"/>
    </row>
    <row r="11" spans="1:83" s="1046" customFormat="1" ht="14.25">
      <c r="A11" s="1889">
        <f>'数据-汇总表'!C24</f>
        <v>0</v>
      </c>
      <c r="B11" s="1924" t="str">
        <f t="shared" si="2"/>
        <v/>
      </c>
      <c r="C11" s="157"/>
      <c r="D11" s="1895">
        <f>SUMIF(项目基本情况!C$15:I$15,C11,项目基本情况!C$18:I$18)</f>
        <v>0</v>
      </c>
      <c r="E11" s="1896"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2"/>
      <c r="M11" s="161">
        <f t="shared" si="1"/>
        <v>0</v>
      </c>
      <c r="N11" s="2313"/>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7" t="str">
        <f t="shared" si="5"/>
        <v>0</v>
      </c>
      <c r="U11" s="169"/>
      <c r="V11" s="165"/>
      <c r="W11" s="160"/>
      <c r="X11" s="1911"/>
      <c r="Y11" s="166"/>
      <c r="Z11" s="178"/>
      <c r="AA11" s="160"/>
      <c r="AB11" s="160"/>
      <c r="AC11" s="1911"/>
      <c r="AD11" s="168"/>
      <c r="AE11" s="886">
        <f t="shared" ca="1" si="6"/>
        <v>0</v>
      </c>
      <c r="AF11" s="127"/>
      <c r="AG11" s="1053">
        <f t="shared" si="7"/>
        <v>0</v>
      </c>
      <c r="AH11" s="127"/>
      <c r="AI11" s="171"/>
      <c r="AJ11" s="127"/>
      <c r="AK11" s="172"/>
      <c r="AL11" s="173"/>
      <c r="AM11" s="2322"/>
      <c r="AN11" s="1124"/>
      <c r="AO11" s="2610"/>
      <c r="AP11" s="96">
        <f t="shared" si="8"/>
        <v>0</v>
      </c>
      <c r="AQ11" s="2610"/>
      <c r="AR11" s="2610"/>
      <c r="AS11" s="2610"/>
      <c r="AT11" s="2610"/>
      <c r="AU11" s="2610"/>
      <c r="AV11" s="2610"/>
      <c r="AW11" s="2610"/>
      <c r="AX11" s="2610"/>
      <c r="AY11" s="2610"/>
      <c r="AZ11" s="2610"/>
      <c r="BA11" s="1634"/>
      <c r="BB11" s="1634"/>
      <c r="BC11" s="1634"/>
      <c r="BD11" s="1634"/>
      <c r="BE11" s="1634"/>
      <c r="BF11" s="1634"/>
      <c r="BG11" s="1634"/>
      <c r="BH11" s="1634"/>
      <c r="BI11" s="1634"/>
      <c r="BJ11" s="1634"/>
      <c r="BK11" s="1634"/>
      <c r="BL11" s="1634"/>
      <c r="BM11" s="1634"/>
      <c r="BN11" s="1634"/>
      <c r="BO11" s="1634"/>
      <c r="BP11" s="1634"/>
      <c r="BQ11" s="1634"/>
      <c r="BR11" s="1634"/>
      <c r="BS11" s="1634"/>
      <c r="BT11" s="1634"/>
      <c r="BU11" s="1634"/>
      <c r="BV11" s="1634"/>
      <c r="BW11" s="1634"/>
      <c r="BX11" s="1634"/>
      <c r="BY11" s="1634"/>
      <c r="BZ11" s="1634"/>
      <c r="CA11" s="1634"/>
      <c r="CB11" s="1634"/>
      <c r="CC11" s="1634"/>
      <c r="CD11" s="1634"/>
      <c r="CE11" s="1634"/>
    </row>
    <row r="12" spans="1:83" s="1046" customFormat="1" ht="14.25">
      <c r="A12" s="1889">
        <f>'数据-汇总表'!C25</f>
        <v>0</v>
      </c>
      <c r="B12" s="1924" t="str">
        <f t="shared" si="2"/>
        <v/>
      </c>
      <c r="C12" s="157"/>
      <c r="D12" s="1895">
        <f>SUMIF(项目基本情况!C$15:I$15,C12,项目基本情况!C$18:I$18)</f>
        <v>0</v>
      </c>
      <c r="E12" s="1896"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2"/>
      <c r="M12" s="161">
        <f>ROUND(K12*L12/10000,0)</f>
        <v>0</v>
      </c>
      <c r="N12" s="2313"/>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7" t="str">
        <f t="shared" si="5"/>
        <v>0</v>
      </c>
      <c r="U12" s="169"/>
      <c r="V12" s="165"/>
      <c r="W12" s="160"/>
      <c r="X12" s="1911"/>
      <c r="Y12" s="166"/>
      <c r="Z12" s="178"/>
      <c r="AA12" s="160"/>
      <c r="AB12" s="160"/>
      <c r="AC12" s="1911"/>
      <c r="AD12" s="168"/>
      <c r="AE12" s="886">
        <f t="shared" ca="1" si="6"/>
        <v>0</v>
      </c>
      <c r="AF12" s="127"/>
      <c r="AG12" s="1053">
        <f t="shared" si="7"/>
        <v>0</v>
      </c>
      <c r="AH12" s="127"/>
      <c r="AI12" s="171"/>
      <c r="AJ12" s="127"/>
      <c r="AK12" s="172"/>
      <c r="AL12" s="173"/>
      <c r="AM12" s="2322"/>
      <c r="AN12" s="1124"/>
      <c r="AO12" s="2610"/>
      <c r="AP12" s="96">
        <f t="shared" si="8"/>
        <v>0</v>
      </c>
      <c r="AQ12" s="2610"/>
      <c r="AR12" s="2610"/>
      <c r="AS12" s="2610"/>
      <c r="AT12" s="2610"/>
      <c r="AU12" s="2610"/>
      <c r="AV12" s="2610"/>
      <c r="AW12" s="2610"/>
      <c r="AX12" s="2610"/>
      <c r="AY12" s="2610"/>
      <c r="AZ12" s="2610"/>
      <c r="BA12" s="1634"/>
      <c r="BB12" s="1634"/>
      <c r="BC12" s="1634"/>
      <c r="BD12" s="1634"/>
      <c r="BE12" s="1634"/>
      <c r="BF12" s="1634"/>
      <c r="BG12" s="1634"/>
      <c r="BH12" s="1634"/>
      <c r="BI12" s="1634"/>
      <c r="BJ12" s="1634"/>
      <c r="BK12" s="1634"/>
      <c r="BL12" s="1634"/>
      <c r="BM12" s="1634"/>
      <c r="BN12" s="1634"/>
      <c r="BO12" s="1634"/>
      <c r="BP12" s="1634"/>
      <c r="BQ12" s="1634"/>
      <c r="BR12" s="1634"/>
      <c r="BS12" s="1634"/>
      <c r="BT12" s="1634"/>
      <c r="BU12" s="1634"/>
      <c r="BV12" s="1634"/>
      <c r="BW12" s="1634"/>
      <c r="BX12" s="1634"/>
      <c r="BY12" s="1634"/>
      <c r="BZ12" s="1634"/>
      <c r="CA12" s="1634"/>
      <c r="CB12" s="1634"/>
      <c r="CC12" s="1634"/>
      <c r="CD12" s="1634"/>
      <c r="CE12" s="1634"/>
    </row>
    <row r="13" spans="1:83" s="1046" customFormat="1" ht="14.25">
      <c r="A13" s="1889">
        <f>'数据-汇总表'!C26</f>
        <v>0</v>
      </c>
      <c r="B13" s="1924" t="str">
        <f t="shared" si="2"/>
        <v/>
      </c>
      <c r="C13" s="157"/>
      <c r="D13" s="1895">
        <f>SUMIF(项目基本情况!C$15:I$15,C13,项目基本情况!C$18:I$18)</f>
        <v>0</v>
      </c>
      <c r="E13" s="1896"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7" t="str">
        <f t="shared" si="5"/>
        <v>0</v>
      </c>
      <c r="U13" s="164"/>
      <c r="V13" s="165"/>
      <c r="W13" s="165"/>
      <c r="X13" s="1908"/>
      <c r="Y13" s="166"/>
      <c r="Z13" s="167"/>
      <c r="AA13" s="160"/>
      <c r="AB13" s="160"/>
      <c r="AC13" s="1911"/>
      <c r="AD13" s="168"/>
      <c r="AE13" s="886">
        <f t="shared" ca="1" si="6"/>
        <v>0</v>
      </c>
      <c r="AF13" s="127"/>
      <c r="AG13" s="1053">
        <f t="shared" si="7"/>
        <v>0</v>
      </c>
      <c r="AH13" s="127"/>
      <c r="AI13" s="171"/>
      <c r="AJ13" s="127"/>
      <c r="AK13" s="172"/>
      <c r="AL13" s="173"/>
      <c r="AM13" s="1949"/>
      <c r="AN13" s="1124"/>
      <c r="AO13" s="2610"/>
      <c r="AP13" s="96">
        <f t="shared" si="8"/>
        <v>0</v>
      </c>
      <c r="AQ13" s="2610"/>
      <c r="AR13" s="2610"/>
      <c r="AS13" s="2610"/>
      <c r="AT13" s="2610"/>
      <c r="AU13" s="2610"/>
      <c r="AV13" s="2610"/>
      <c r="AW13" s="2610"/>
      <c r="AX13" s="2610"/>
      <c r="AY13" s="2610"/>
      <c r="AZ13" s="2610"/>
      <c r="BA13" s="1634"/>
      <c r="BB13" s="1634"/>
      <c r="BC13" s="1634"/>
      <c r="BD13" s="1634"/>
      <c r="BE13" s="1634"/>
      <c r="BF13" s="1634"/>
      <c r="BG13" s="1634"/>
      <c r="BH13" s="1634"/>
      <c r="BI13" s="1634"/>
      <c r="BJ13" s="1634"/>
      <c r="BK13" s="1634"/>
      <c r="BL13" s="1634"/>
      <c r="BM13" s="1634"/>
      <c r="BN13" s="1634"/>
      <c r="BO13" s="1634"/>
      <c r="BP13" s="1634"/>
      <c r="BQ13" s="1634"/>
      <c r="BR13" s="1634"/>
      <c r="BS13" s="1634"/>
      <c r="BT13" s="1634"/>
      <c r="BU13" s="1634"/>
      <c r="BV13" s="1634"/>
      <c r="BW13" s="1634"/>
      <c r="BX13" s="1634"/>
      <c r="BY13" s="1634"/>
      <c r="BZ13" s="1634"/>
      <c r="CA13" s="1634"/>
      <c r="CB13" s="1634"/>
      <c r="CC13" s="1634"/>
      <c r="CD13" s="1634"/>
      <c r="CE13" s="1634"/>
    </row>
    <row r="14" spans="1:83" s="1046" customFormat="1" ht="14.25">
      <c r="A14" s="1890" t="s">
        <v>1671</v>
      </c>
      <c r="B14" s="1893" t="s">
        <v>1213</v>
      </c>
      <c r="C14" s="1894" t="s">
        <v>1671</v>
      </c>
      <c r="D14" s="1895"/>
      <c r="E14" s="1896"/>
      <c r="F14" s="158"/>
      <c r="G14" s="159"/>
      <c r="H14" s="1897"/>
      <c r="I14" s="1897"/>
      <c r="J14" s="1897"/>
      <c r="K14" s="163">
        <f>SUMIF('数据-汇总表'!C$19:C$33,'数据-取费表'!A14,'数据-汇总表'!E$19:E$33)</f>
        <v>0</v>
      </c>
      <c r="L14" s="176"/>
      <c r="M14" s="161">
        <f t="shared" si="1"/>
        <v>0</v>
      </c>
      <c r="N14" s="177"/>
      <c r="O14" s="161">
        <f t="shared" si="3"/>
        <v>0</v>
      </c>
      <c r="P14" s="162">
        <f t="shared" si="4"/>
        <v>0</v>
      </c>
      <c r="Q14" s="1905"/>
      <c r="R14" s="163"/>
      <c r="S14" s="122"/>
      <c r="T14" s="1904"/>
      <c r="U14" s="888"/>
      <c r="V14" s="1907"/>
      <c r="W14" s="1907"/>
      <c r="X14" s="1908"/>
      <c r="Y14" s="1909"/>
      <c r="Z14" s="125"/>
      <c r="AA14" s="1910"/>
      <c r="AB14" s="1910"/>
      <c r="AC14" s="1911"/>
      <c r="AD14" s="1908"/>
      <c r="AE14" s="886"/>
      <c r="AF14" s="996"/>
      <c r="AG14" s="1053"/>
      <c r="AH14" s="996"/>
      <c r="AI14" s="996"/>
      <c r="AJ14" s="996"/>
      <c r="AK14" s="1912"/>
      <c r="AL14" s="1913"/>
      <c r="AM14" s="1914"/>
      <c r="AN14" s="2610"/>
      <c r="AO14" s="2610"/>
      <c r="AP14" s="2610"/>
      <c r="AQ14" s="2610"/>
      <c r="AR14" s="2610"/>
      <c r="AS14" s="2610"/>
      <c r="AT14" s="2610"/>
      <c r="AU14" s="2610"/>
      <c r="AV14" s="2610"/>
      <c r="AW14" s="2610"/>
      <c r="AX14" s="2610"/>
      <c r="AY14" s="2610"/>
      <c r="AZ14" s="2610"/>
      <c r="BA14" s="1634"/>
      <c r="BB14" s="1634"/>
      <c r="BC14" s="1634"/>
      <c r="BD14" s="1634"/>
      <c r="BE14" s="1634"/>
      <c r="BF14" s="1634"/>
      <c r="BG14" s="1634"/>
      <c r="BH14" s="1634"/>
      <c r="BI14" s="1634"/>
      <c r="BJ14" s="1634"/>
      <c r="BK14" s="1634"/>
      <c r="BL14" s="1634"/>
      <c r="BM14" s="1634"/>
      <c r="BN14" s="1634"/>
      <c r="BO14" s="1634"/>
      <c r="BP14" s="1634"/>
      <c r="BQ14" s="1634"/>
      <c r="BR14" s="1634"/>
      <c r="BS14" s="1634"/>
      <c r="BT14" s="1634"/>
      <c r="BU14" s="1634"/>
      <c r="BV14" s="1634"/>
      <c r="BW14" s="1634"/>
      <c r="BX14" s="1634"/>
      <c r="BY14" s="1634"/>
      <c r="BZ14" s="1634"/>
      <c r="CA14" s="1634"/>
      <c r="CB14" s="1634"/>
      <c r="CC14" s="1634"/>
      <c r="CD14" s="1634"/>
      <c r="CE14" s="1634"/>
    </row>
    <row r="15" spans="1:83" s="1046" customFormat="1" ht="27">
      <c r="A15" s="1899" t="s">
        <v>1673</v>
      </c>
      <c r="B15" s="1893" t="s">
        <v>1213</v>
      </c>
      <c r="C15" s="1894" t="s">
        <v>1672</v>
      </c>
      <c r="D15" s="1895"/>
      <c r="E15" s="1896"/>
      <c r="F15" s="158"/>
      <c r="G15" s="159"/>
      <c r="H15" s="1897"/>
      <c r="I15" s="1897"/>
      <c r="J15" s="1897"/>
      <c r="K15" s="163">
        <f>SUMIF('数据-汇总表'!C$19:C$33,'数据-取费表'!A15,'数据-汇总表'!E$19:E$33)</f>
        <v>0</v>
      </c>
      <c r="L15" s="1903"/>
      <c r="M15" s="161"/>
      <c r="N15" s="1906"/>
      <c r="O15" s="161"/>
      <c r="P15" s="162"/>
      <c r="Q15" s="1905"/>
      <c r="R15" s="163"/>
      <c r="S15" s="122"/>
      <c r="T15" s="1904"/>
      <c r="U15" s="888"/>
      <c r="V15" s="1907"/>
      <c r="W15" s="1907"/>
      <c r="X15" s="1908"/>
      <c r="Y15" s="1909"/>
      <c r="Z15" s="125"/>
      <c r="AA15" s="1910"/>
      <c r="AB15" s="1910"/>
      <c r="AC15" s="1911"/>
      <c r="AD15" s="1908"/>
      <c r="AE15" s="886"/>
      <c r="AF15" s="996"/>
      <c r="AG15" s="1053"/>
      <c r="AH15" s="996"/>
      <c r="AI15" s="996"/>
      <c r="AJ15" s="996"/>
      <c r="AK15" s="1912"/>
      <c r="AL15" s="1913"/>
      <c r="AM15" s="1914"/>
      <c r="AN15" s="2610"/>
      <c r="AO15" s="2610"/>
      <c r="AP15" s="2610"/>
      <c r="AQ15" s="2610"/>
      <c r="AR15" s="2610"/>
      <c r="AS15" s="2610"/>
      <c r="AT15" s="2610"/>
      <c r="AU15" s="2610"/>
      <c r="AV15" s="2610"/>
      <c r="AW15" s="2610"/>
      <c r="AX15" s="2610"/>
      <c r="AY15" s="2610"/>
      <c r="AZ15" s="2610"/>
      <c r="BA15" s="1634"/>
      <c r="BB15" s="1634"/>
      <c r="BC15" s="1634"/>
      <c r="BD15" s="1634"/>
      <c r="BE15" s="1634"/>
      <c r="BF15" s="1634"/>
      <c r="BG15" s="1634"/>
      <c r="BH15" s="1634"/>
      <c r="BI15" s="1634"/>
      <c r="BJ15" s="1634"/>
      <c r="BK15" s="1634"/>
      <c r="BL15" s="1634"/>
      <c r="BM15" s="1634"/>
      <c r="BN15" s="1634"/>
      <c r="BO15" s="1634"/>
      <c r="BP15" s="1634"/>
      <c r="BQ15" s="1634"/>
      <c r="BR15" s="1634"/>
      <c r="BS15" s="1634"/>
      <c r="BT15" s="1634"/>
      <c r="BU15" s="1634"/>
      <c r="BV15" s="1634"/>
      <c r="BW15" s="1634"/>
      <c r="BX15" s="1634"/>
      <c r="BY15" s="1634"/>
      <c r="BZ15" s="1634"/>
      <c r="CA15" s="1634"/>
      <c r="CB15" s="1634"/>
      <c r="CC15" s="1634"/>
      <c r="CD15" s="1634"/>
      <c r="CE15" s="1634"/>
    </row>
    <row r="16" spans="1:83" s="1046" customFormat="1" ht="15.75" thickBot="1">
      <c r="A16" s="179" t="s">
        <v>228</v>
      </c>
      <c r="B16" s="180"/>
      <c r="C16" s="181"/>
      <c r="D16" s="182"/>
      <c r="E16" s="180"/>
      <c r="F16" s="180"/>
      <c r="G16" s="183">
        <f>ROUND(SUMPRODUCT(G6:G13,K6:K13)/SUMPRODUCT((G6:G13&gt;0)*(K6:K13)),3)</f>
        <v>0.90300000000000002</v>
      </c>
      <c r="H16" s="184">
        <f>ROUND(SUMPRODUCT(H6:H13,K6:K13)/SUMPRODUCT((H6:H13&gt;0)*(K6:K13)),3)</f>
        <v>0.05</v>
      </c>
      <c r="I16" s="185"/>
      <c r="J16" s="185"/>
      <c r="K16" s="186">
        <f>SUM(K6:K15)</f>
        <v>302725.5</v>
      </c>
      <c r="L16" s="187">
        <f>ROUND(M16*10000/SUM(K6:K14),0)</f>
        <v>2650</v>
      </c>
      <c r="M16" s="187">
        <f>SUM(M6:M14)</f>
        <v>80222</v>
      </c>
      <c r="N16" s="188">
        <f>ROUND(SUMPRODUCT(M6:M14,N6:N14)/M16,3)</f>
        <v>0</v>
      </c>
      <c r="O16" s="187">
        <f>SUM(O6:O14)</f>
        <v>0</v>
      </c>
      <c r="P16" s="187">
        <f>SUM(P6:P14)</f>
        <v>80222</v>
      </c>
      <c r="Q16" s="189">
        <f>ROUND(SUMPRODUCT(Q6:Q13,K6:K13)/SUMPRODUCT((Q6:Q13&gt;0)*(K6:K13)),2)</f>
        <v>0.2</v>
      </c>
      <c r="R16" s="1898">
        <f>SUM(R6:R13)</f>
        <v>86493.04</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10"/>
      <c r="AO16" s="2610"/>
      <c r="AP16" s="96">
        <f>ROUND(SUMPRODUCT(AP6:AP13,K6:K13)/SUMPRODUCT((AP6:AP13&gt;0)*(K6:K13)),3)</f>
        <v>0.77500000000000002</v>
      </c>
      <c r="AQ16" s="2610"/>
      <c r="AR16" s="2610"/>
      <c r="AS16" s="2610"/>
      <c r="AT16" s="2610"/>
      <c r="AU16" s="2610"/>
      <c r="AV16" s="2610"/>
      <c r="AW16" s="2610"/>
      <c r="AX16" s="2610"/>
      <c r="AY16" s="2610"/>
      <c r="AZ16" s="2610"/>
      <c r="BA16" s="1634"/>
      <c r="BB16" s="1634"/>
      <c r="BC16" s="1634"/>
      <c r="BD16" s="1634"/>
      <c r="BE16" s="1634"/>
      <c r="BF16" s="1634"/>
      <c r="BG16" s="1634"/>
      <c r="BH16" s="1634"/>
      <c r="BI16" s="1634"/>
      <c r="BJ16" s="1634"/>
      <c r="BK16" s="1634"/>
      <c r="BL16" s="1634"/>
      <c r="BM16" s="1634"/>
      <c r="BN16" s="1634"/>
      <c r="BO16" s="1634"/>
      <c r="BP16" s="1634"/>
      <c r="BQ16" s="1634"/>
      <c r="BR16" s="1634"/>
      <c r="BS16" s="1634"/>
      <c r="BT16" s="1634"/>
      <c r="BU16" s="1634"/>
      <c r="BV16" s="1634"/>
      <c r="BW16" s="1634"/>
      <c r="BX16" s="1634"/>
      <c r="BY16" s="1634"/>
      <c r="BZ16" s="1634"/>
      <c r="CA16" s="1634"/>
      <c r="CB16" s="1634"/>
      <c r="CC16" s="1634"/>
      <c r="CD16" s="1634"/>
      <c r="CE16" s="1634"/>
    </row>
    <row r="17" spans="1:52" ht="13.5" thickBot="1">
      <c r="A17" s="1054"/>
      <c r="B17" s="2616"/>
      <c r="C17" s="2616"/>
      <c r="D17" s="2617"/>
      <c r="E17" s="2617"/>
      <c r="F17" s="2616"/>
      <c r="G17" s="2616"/>
      <c r="H17" s="2616"/>
      <c r="I17" s="2616"/>
      <c r="J17" s="2616"/>
      <c r="K17" s="2618"/>
      <c r="L17" s="2618"/>
      <c r="M17" s="2616"/>
      <c r="N17" s="2616"/>
      <c r="O17" s="2616"/>
      <c r="P17" s="2616"/>
      <c r="Q17" s="2616"/>
      <c r="R17" s="2616"/>
      <c r="S17" s="2616"/>
      <c r="T17" s="2616"/>
      <c r="U17" s="2616"/>
      <c r="V17" s="2616"/>
      <c r="W17" s="2616"/>
      <c r="X17" s="2616"/>
      <c r="Y17" s="2616"/>
      <c r="Z17" s="2616"/>
      <c r="AA17" s="2616"/>
      <c r="AB17" s="2616"/>
      <c r="AC17" s="2616"/>
      <c r="AD17" s="2616"/>
      <c r="AE17" s="2616"/>
      <c r="AF17" s="2616"/>
      <c r="AG17" s="2616"/>
      <c r="AH17" s="2616"/>
      <c r="AI17" s="2616"/>
      <c r="AJ17" s="2616"/>
      <c r="AK17" s="2616"/>
      <c r="AL17" s="2616"/>
      <c r="AM17" s="2616"/>
      <c r="AN17" s="2616"/>
      <c r="AO17" s="2616"/>
      <c r="AP17" s="2616"/>
      <c r="AQ17" s="2616"/>
      <c r="AR17" s="2616"/>
      <c r="AS17" s="2616"/>
      <c r="AT17" s="2616"/>
      <c r="AU17" s="2616"/>
      <c r="AV17" s="2616"/>
      <c r="AW17" s="2616"/>
      <c r="AX17" s="2616"/>
      <c r="AY17" s="2616"/>
      <c r="AZ17" s="2616"/>
    </row>
    <row r="18" spans="1:52" ht="15" thickBot="1">
      <c r="A18" s="134" t="s">
        <v>229</v>
      </c>
      <c r="B18" s="2610"/>
      <c r="C18" s="2610"/>
      <c r="D18" s="2619"/>
      <c r="E18" s="2610"/>
      <c r="F18" s="2610"/>
      <c r="G18" s="2610"/>
      <c r="H18" s="2610"/>
      <c r="I18" s="2610"/>
      <c r="J18" s="2610"/>
      <c r="K18" s="2618"/>
      <c r="L18" s="2618"/>
      <c r="M18" s="2616"/>
      <c r="N18" s="2616"/>
      <c r="O18" s="2616"/>
      <c r="P18" s="2616"/>
      <c r="Q18" s="2616"/>
      <c r="R18" s="2616"/>
      <c r="S18" s="2616"/>
      <c r="T18" s="2616"/>
      <c r="U18" s="2616"/>
      <c r="V18" s="2616"/>
      <c r="W18" s="2616"/>
      <c r="X18" s="2616"/>
      <c r="Y18" s="2616"/>
      <c r="Z18" s="2616"/>
      <c r="AA18" s="2616"/>
      <c r="AB18" s="2616"/>
      <c r="AC18" s="2616"/>
      <c r="AD18" s="2616"/>
      <c r="AE18" s="2616"/>
      <c r="AF18" s="2616"/>
      <c r="AG18" s="2616"/>
      <c r="AH18" s="2616"/>
      <c r="AI18" s="2616"/>
      <c r="AJ18" s="2616"/>
      <c r="AK18" s="2616"/>
      <c r="AL18" s="2616"/>
      <c r="AM18" s="2616"/>
      <c r="AN18" s="2616"/>
      <c r="AO18" s="2616"/>
      <c r="AP18" s="2616"/>
      <c r="AQ18" s="2616"/>
      <c r="AR18" s="2616"/>
      <c r="AS18" s="2616"/>
      <c r="AT18" s="2616"/>
      <c r="AU18" s="2616"/>
      <c r="AV18" s="2616"/>
      <c r="AW18" s="2616"/>
      <c r="AX18" s="2616"/>
      <c r="AY18" s="2616"/>
      <c r="AZ18" s="2616"/>
    </row>
    <row r="19" spans="1:52" ht="14.25">
      <c r="A19" s="198" t="s">
        <v>230</v>
      </c>
      <c r="B19" s="199">
        <v>0</v>
      </c>
      <c r="C19" s="2629" t="s">
        <v>2271</v>
      </c>
      <c r="D19" s="2619"/>
      <c r="E19" s="2610"/>
      <c r="F19" s="2610"/>
      <c r="G19" s="2610"/>
      <c r="H19" s="2610"/>
      <c r="I19" s="2610"/>
      <c r="J19" s="2610"/>
      <c r="K19" s="2618"/>
      <c r="L19" s="2618"/>
      <c r="M19" s="2616"/>
      <c r="N19" s="2616"/>
      <c r="O19" s="2616"/>
      <c r="P19" s="2616"/>
      <c r="Q19" s="2616"/>
      <c r="R19" s="2616"/>
      <c r="S19" s="2616"/>
      <c r="T19" s="2616"/>
      <c r="U19" s="2616"/>
      <c r="V19" s="2616"/>
      <c r="W19" s="2616"/>
      <c r="X19" s="2616"/>
      <c r="Y19" s="2616"/>
      <c r="Z19" s="2616"/>
      <c r="AA19" s="2616"/>
      <c r="AB19" s="2616"/>
      <c r="AC19" s="2616"/>
      <c r="AD19" s="2616"/>
      <c r="AE19" s="2616"/>
      <c r="AF19" s="2616"/>
      <c r="AG19" s="2616"/>
      <c r="AH19" s="2616"/>
      <c r="AI19" s="2616"/>
      <c r="AJ19" s="2616"/>
      <c r="AK19" s="2616"/>
      <c r="AL19" s="2616"/>
      <c r="AM19" s="2616"/>
      <c r="AN19" s="2616"/>
      <c r="AO19" s="2616"/>
      <c r="AP19" s="2616"/>
      <c r="AQ19" s="2616"/>
      <c r="AR19" s="2616"/>
      <c r="AS19" s="2616"/>
      <c r="AT19" s="2616"/>
      <c r="AU19" s="2616"/>
      <c r="AV19" s="2616"/>
      <c r="AW19" s="2616"/>
      <c r="AX19" s="2616"/>
      <c r="AY19" s="2616"/>
      <c r="AZ19" s="2616"/>
    </row>
    <row r="20" spans="1:52" ht="14.25">
      <c r="A20" s="200" t="s">
        <v>231</v>
      </c>
      <c r="B20" s="201">
        <v>3</v>
      </c>
      <c r="C20" s="2629" t="s">
        <v>1692</v>
      </c>
      <c r="D20" s="2619"/>
      <c r="E20" s="2610"/>
      <c r="F20" s="2610"/>
      <c r="G20" s="2610"/>
      <c r="H20" s="2610"/>
      <c r="I20" s="2610"/>
      <c r="J20" s="2610"/>
      <c r="K20" s="2618"/>
      <c r="L20" s="2618"/>
      <c r="M20" s="2616"/>
      <c r="N20" s="2616"/>
      <c r="O20" s="2616"/>
      <c r="P20" s="2616"/>
      <c r="Q20" s="2616"/>
      <c r="R20" s="2616"/>
      <c r="S20" s="2616"/>
      <c r="T20" s="2616"/>
      <c r="U20" s="2616"/>
      <c r="V20" s="2616"/>
      <c r="W20" s="2616"/>
      <c r="X20" s="2616"/>
      <c r="Y20" s="2616"/>
      <c r="Z20" s="2616"/>
      <c r="AA20" s="2616"/>
      <c r="AB20" s="2616"/>
      <c r="AC20" s="2616"/>
      <c r="AD20" s="2616"/>
      <c r="AE20" s="2616"/>
      <c r="AF20" s="2616"/>
      <c r="AG20" s="2616"/>
      <c r="AH20" s="2616"/>
      <c r="AI20" s="2616"/>
      <c r="AJ20" s="2616"/>
      <c r="AK20" s="2616"/>
      <c r="AL20" s="2616"/>
      <c r="AM20" s="2616"/>
      <c r="AN20" s="2616"/>
      <c r="AO20" s="2616"/>
      <c r="AP20" s="2616"/>
      <c r="AQ20" s="2616"/>
      <c r="AR20" s="2616"/>
      <c r="AS20" s="2616"/>
      <c r="AT20" s="2616"/>
      <c r="AU20" s="2616"/>
      <c r="AV20" s="2616"/>
      <c r="AW20" s="2616"/>
      <c r="AX20" s="2616"/>
      <c r="AY20" s="2616"/>
      <c r="AZ20" s="2616"/>
    </row>
    <row r="21" spans="1:52" ht="14.25">
      <c r="A21" s="202" t="s">
        <v>232</v>
      </c>
      <c r="B21" s="201">
        <v>0</v>
      </c>
      <c r="C21" s="2610"/>
      <c r="D21" s="2619"/>
      <c r="E21" s="2610"/>
      <c r="F21" s="2610"/>
      <c r="G21" s="2610"/>
      <c r="H21" s="2610"/>
      <c r="I21" s="2610"/>
      <c r="J21" s="2610"/>
      <c r="K21" s="2618"/>
      <c r="L21" s="2618"/>
      <c r="M21" s="2616"/>
      <c r="N21" s="2616"/>
      <c r="O21" s="2616"/>
      <c r="P21" s="2616"/>
      <c r="Q21" s="2616"/>
      <c r="R21" s="2616"/>
      <c r="S21" s="2616"/>
      <c r="T21" s="2616"/>
      <c r="U21" s="2616"/>
      <c r="V21" s="2616"/>
      <c r="W21" s="2616"/>
      <c r="X21" s="2616"/>
      <c r="Y21" s="2616"/>
      <c r="Z21" s="2616"/>
      <c r="AA21" s="2616"/>
      <c r="AB21" s="2616"/>
      <c r="AC21" s="2616"/>
      <c r="AD21" s="2616"/>
      <c r="AE21" s="2616"/>
      <c r="AF21" s="2616"/>
      <c r="AG21" s="2616"/>
      <c r="AH21" s="2616"/>
      <c r="AI21" s="2616"/>
      <c r="AJ21" s="2616"/>
      <c r="AK21" s="2616"/>
      <c r="AL21" s="2616"/>
      <c r="AM21" s="2616"/>
      <c r="AN21" s="2616"/>
      <c r="AO21" s="2616"/>
      <c r="AP21" s="2616"/>
      <c r="AQ21" s="2616"/>
      <c r="AR21" s="2616"/>
      <c r="AS21" s="2616"/>
      <c r="AT21" s="2616"/>
      <c r="AU21" s="2616"/>
      <c r="AV21" s="2616"/>
      <c r="AW21" s="2616"/>
      <c r="AX21" s="2616"/>
      <c r="AY21" s="2616"/>
      <c r="AZ21" s="2616"/>
    </row>
    <row r="22" spans="1:52" ht="14.25">
      <c r="A22" s="200" t="s">
        <v>233</v>
      </c>
      <c r="B22" s="203">
        <f>B19+B20</f>
        <v>3</v>
      </c>
      <c r="C22" s="2610"/>
      <c r="D22" s="2619"/>
      <c r="E22" s="2610"/>
      <c r="F22" s="2610"/>
      <c r="G22" s="2610"/>
      <c r="H22" s="2610"/>
      <c r="I22" s="2610"/>
      <c r="J22" s="2610"/>
      <c r="K22" s="2618"/>
      <c r="L22" s="2618"/>
      <c r="M22" s="2616"/>
      <c r="N22" s="2616"/>
      <c r="O22" s="2616"/>
      <c r="P22" s="2616"/>
      <c r="Q22" s="2616"/>
      <c r="R22" s="2616"/>
      <c r="S22" s="2616"/>
      <c r="T22" s="2616"/>
      <c r="U22" s="2616"/>
      <c r="V22" s="2616"/>
      <c r="W22" s="2616"/>
      <c r="X22" s="2616"/>
      <c r="Y22" s="2616"/>
      <c r="Z22" s="2616"/>
      <c r="AA22" s="2616"/>
      <c r="AB22" s="2616"/>
      <c r="AC22" s="2616"/>
      <c r="AD22" s="2616"/>
      <c r="AE22" s="2616"/>
      <c r="AF22" s="2616"/>
      <c r="AG22" s="2616"/>
      <c r="AH22" s="2616"/>
      <c r="AI22" s="2616"/>
      <c r="AJ22" s="2616"/>
      <c r="AK22" s="2616"/>
      <c r="AL22" s="2616"/>
      <c r="AM22" s="2616"/>
      <c r="AN22" s="2616"/>
      <c r="AO22" s="2616"/>
      <c r="AP22" s="2616"/>
      <c r="AQ22" s="2616"/>
      <c r="AR22" s="2616"/>
      <c r="AS22" s="2616"/>
      <c r="AT22" s="2616"/>
      <c r="AU22" s="2616"/>
      <c r="AV22" s="2616"/>
      <c r="AW22" s="2616"/>
      <c r="AX22" s="2616"/>
      <c r="AY22" s="2616"/>
      <c r="AZ22" s="2616"/>
    </row>
    <row r="23" spans="1:52" ht="14.25">
      <c r="A23" s="202" t="s">
        <v>234</v>
      </c>
      <c r="B23" s="203">
        <f>B19+B21</f>
        <v>0</v>
      </c>
      <c r="C23" s="2610"/>
      <c r="D23" s="2619"/>
      <c r="E23" s="2610"/>
      <c r="F23" s="2610"/>
      <c r="G23" s="2610"/>
      <c r="H23" s="2610"/>
      <c r="I23" s="2610"/>
      <c r="J23" s="2610"/>
      <c r="K23" s="2618"/>
      <c r="L23" s="2618"/>
      <c r="M23" s="2616"/>
      <c r="N23" s="2616"/>
      <c r="O23" s="2616"/>
      <c r="P23" s="2616"/>
      <c r="Q23" s="2616"/>
      <c r="R23" s="2616"/>
      <c r="S23" s="2616"/>
      <c r="T23" s="2616"/>
      <c r="U23" s="2616"/>
      <c r="V23" s="2616"/>
      <c r="W23" s="2616"/>
      <c r="X23" s="2616"/>
      <c r="Y23" s="2616"/>
      <c r="Z23" s="2616"/>
      <c r="AA23" s="2616"/>
      <c r="AB23" s="2616"/>
      <c r="AC23" s="2616"/>
      <c r="AD23" s="2616"/>
      <c r="AE23" s="2616"/>
      <c r="AF23" s="2616"/>
      <c r="AG23" s="2616"/>
      <c r="AH23" s="2616"/>
      <c r="AI23" s="2616"/>
      <c r="AJ23" s="2616"/>
      <c r="AK23" s="2616"/>
      <c r="AL23" s="2616"/>
      <c r="AM23" s="2616"/>
      <c r="AN23" s="2616"/>
      <c r="AO23" s="2616"/>
      <c r="AP23" s="2616"/>
      <c r="AQ23" s="2616"/>
      <c r="AR23" s="2616"/>
      <c r="AS23" s="2616"/>
      <c r="AT23" s="2616"/>
      <c r="AU23" s="2616"/>
      <c r="AV23" s="2616"/>
      <c r="AW23" s="2616"/>
      <c r="AX23" s="2616"/>
      <c r="AY23" s="2616"/>
      <c r="AZ23" s="2616"/>
    </row>
    <row r="24" spans="1:52" ht="15" thickBot="1">
      <c r="A24" s="204" t="s">
        <v>235</v>
      </c>
      <c r="B24" s="205">
        <f>B20-B21</f>
        <v>3</v>
      </c>
      <c r="C24" s="2610"/>
      <c r="D24" s="2619"/>
      <c r="E24" s="2610"/>
      <c r="F24" s="2610"/>
      <c r="G24" s="2610"/>
      <c r="H24" s="2610"/>
      <c r="I24" s="2610"/>
      <c r="J24" s="2610"/>
      <c r="K24" s="2618"/>
      <c r="L24" s="2618"/>
      <c r="M24" s="2616"/>
      <c r="N24" s="2616"/>
      <c r="O24" s="2616"/>
      <c r="P24" s="2616"/>
      <c r="Q24" s="2616"/>
      <c r="R24" s="2616"/>
      <c r="S24" s="2616"/>
      <c r="T24" s="2616"/>
      <c r="U24" s="2616"/>
      <c r="V24" s="2616"/>
      <c r="W24" s="2616"/>
      <c r="X24" s="2616"/>
      <c r="Y24" s="2616"/>
      <c r="Z24" s="2616"/>
      <c r="AA24" s="2616"/>
      <c r="AB24" s="2616"/>
      <c r="AC24" s="2616"/>
      <c r="AD24" s="2616"/>
      <c r="AE24" s="2616"/>
      <c r="AF24" s="2616"/>
      <c r="AG24" s="2616"/>
      <c r="AH24" s="2616"/>
      <c r="AI24" s="2616"/>
      <c r="AJ24" s="2616"/>
      <c r="AK24" s="2616"/>
      <c r="AL24" s="2616"/>
      <c r="AM24" s="2616"/>
      <c r="AN24" s="2616"/>
      <c r="AO24" s="2616"/>
      <c r="AP24" s="2616"/>
      <c r="AQ24" s="2616"/>
      <c r="AR24" s="2616"/>
      <c r="AS24" s="2616"/>
      <c r="AT24" s="2616"/>
      <c r="AU24" s="2616"/>
      <c r="AV24" s="2616"/>
      <c r="AW24" s="2616"/>
      <c r="AX24" s="2616"/>
      <c r="AY24" s="2616"/>
      <c r="AZ24" s="2616"/>
    </row>
    <row r="25" spans="1:52" ht="15" thickBot="1">
      <c r="A25" s="1047"/>
      <c r="B25" s="96"/>
      <c r="C25" s="2610"/>
      <c r="D25" s="2619"/>
      <c r="E25" s="2610"/>
      <c r="F25" s="2610"/>
      <c r="G25" s="2610"/>
      <c r="H25" s="2610"/>
      <c r="I25" s="2610"/>
      <c r="J25" s="2610"/>
      <c r="K25" s="2618"/>
      <c r="L25" s="2618"/>
      <c r="M25" s="2616"/>
      <c r="N25" s="2616"/>
      <c r="O25" s="2616"/>
      <c r="P25" s="2616"/>
      <c r="Q25" s="2616"/>
      <c r="R25" s="2616"/>
      <c r="S25" s="2616"/>
      <c r="T25" s="2616"/>
      <c r="U25" s="2616"/>
      <c r="V25" s="2616"/>
      <c r="W25" s="2616"/>
      <c r="X25" s="2616"/>
      <c r="Y25" s="2616"/>
      <c r="Z25" s="2616"/>
      <c r="AA25" s="2616"/>
      <c r="AB25" s="2616"/>
      <c r="AC25" s="2616"/>
      <c r="AD25" s="2616"/>
      <c r="AE25" s="2616"/>
      <c r="AF25" s="2616"/>
      <c r="AG25" s="2616"/>
      <c r="AH25" s="2616"/>
      <c r="AI25" s="2616"/>
      <c r="AJ25" s="2616"/>
      <c r="AK25" s="2616"/>
      <c r="AL25" s="2616"/>
      <c r="AM25" s="2616"/>
      <c r="AN25" s="2616"/>
      <c r="AO25" s="2616"/>
      <c r="AP25" s="2616"/>
      <c r="AQ25" s="2616"/>
      <c r="AR25" s="2616"/>
      <c r="AS25" s="2616"/>
      <c r="AT25" s="2616"/>
      <c r="AU25" s="2616"/>
      <c r="AV25" s="2616"/>
      <c r="AW25" s="2616"/>
      <c r="AX25" s="2616"/>
      <c r="AY25" s="2616"/>
      <c r="AZ25" s="2616"/>
    </row>
    <row r="26" spans="1:52" ht="15" thickBot="1">
      <c r="A26" s="133" t="s">
        <v>236</v>
      </c>
      <c r="B26" s="206" t="s">
        <v>237</v>
      </c>
      <c r="C26" s="2620" t="s">
        <v>238</v>
      </c>
      <c r="D26" s="2619"/>
      <c r="E26" s="2610"/>
      <c r="F26" s="2610"/>
      <c r="G26" s="2610"/>
      <c r="H26" s="2610"/>
      <c r="I26" s="2610"/>
      <c r="J26" s="2610"/>
      <c r="K26" s="2618"/>
      <c r="L26" s="2618"/>
      <c r="M26" s="2616"/>
      <c r="N26" s="2616"/>
      <c r="O26" s="2616"/>
      <c r="P26" s="2616"/>
      <c r="Q26" s="2616"/>
      <c r="R26" s="2616"/>
      <c r="S26" s="2616"/>
      <c r="T26" s="2616"/>
      <c r="U26" s="2616"/>
      <c r="V26" s="2616"/>
      <c r="W26" s="2616"/>
      <c r="X26" s="2616"/>
      <c r="Y26" s="2616"/>
      <c r="Z26" s="2616"/>
      <c r="AA26" s="2616"/>
      <c r="AB26" s="2616"/>
      <c r="AC26" s="2616"/>
      <c r="AD26" s="2616"/>
      <c r="AE26" s="2616"/>
      <c r="AF26" s="2616"/>
      <c r="AG26" s="2616"/>
      <c r="AH26" s="2616"/>
      <c r="AI26" s="2616"/>
      <c r="AJ26" s="2616"/>
      <c r="AK26" s="2616"/>
      <c r="AL26" s="2616"/>
      <c r="AM26" s="2616"/>
      <c r="AN26" s="2616"/>
      <c r="AO26" s="2616"/>
      <c r="AP26" s="2616"/>
      <c r="AQ26" s="2616"/>
      <c r="AR26" s="2616"/>
      <c r="AS26" s="2616"/>
      <c r="AT26" s="2616"/>
      <c r="AU26" s="2616"/>
      <c r="AV26" s="2616"/>
      <c r="AW26" s="2616"/>
      <c r="AX26" s="2616"/>
      <c r="AY26" s="2616"/>
      <c r="AZ26" s="2616"/>
    </row>
    <row r="27" spans="1:52" ht="27.75">
      <c r="A27" s="207" t="s">
        <v>1694</v>
      </c>
      <c r="B27" s="208"/>
      <c r="C27" s="2630" t="s">
        <v>2272</v>
      </c>
      <c r="D27" s="2622"/>
      <c r="E27" s="2623"/>
      <c r="F27" s="2623"/>
      <c r="G27" s="2610"/>
      <c r="H27" s="2610"/>
      <c r="I27" s="2610"/>
      <c r="J27" s="2610"/>
      <c r="K27" s="2618"/>
      <c r="L27" s="2618"/>
      <c r="M27" s="2616"/>
      <c r="N27" s="2616"/>
      <c r="O27" s="2616"/>
      <c r="P27" s="2616"/>
      <c r="Q27" s="2616"/>
      <c r="R27" s="2616"/>
      <c r="S27" s="2616"/>
      <c r="T27" s="2616"/>
      <c r="U27" s="2616"/>
      <c r="V27" s="2616"/>
      <c r="W27" s="2616"/>
      <c r="X27" s="2616"/>
      <c r="Y27" s="2616"/>
      <c r="Z27" s="2616"/>
      <c r="AA27" s="2616"/>
      <c r="AB27" s="2616"/>
      <c r="AC27" s="2616"/>
      <c r="AD27" s="2616"/>
      <c r="AE27" s="2616"/>
      <c r="AF27" s="2616"/>
      <c r="AG27" s="2616"/>
      <c r="AH27" s="2616"/>
      <c r="AI27" s="2616"/>
      <c r="AJ27" s="2616"/>
      <c r="AK27" s="2616"/>
      <c r="AL27" s="2616"/>
      <c r="AM27" s="2616"/>
      <c r="AN27" s="2616"/>
      <c r="AO27" s="2616"/>
      <c r="AP27" s="2616"/>
      <c r="AQ27" s="2616"/>
      <c r="AR27" s="2616"/>
      <c r="AS27" s="2616"/>
      <c r="AT27" s="2616"/>
      <c r="AU27" s="2616"/>
      <c r="AV27" s="2616"/>
      <c r="AW27" s="2616"/>
      <c r="AX27" s="2616"/>
      <c r="AY27" s="2616"/>
      <c r="AZ27" s="2616"/>
    </row>
    <row r="28" spans="1:52" ht="27.75">
      <c r="A28" s="209" t="s">
        <v>1695</v>
      </c>
      <c r="B28" s="210">
        <v>105</v>
      </c>
      <c r="C28" s="2624"/>
      <c r="D28" s="2622"/>
      <c r="E28" s="2623"/>
      <c r="F28" s="2623"/>
      <c r="G28" s="2610"/>
      <c r="H28" s="2610"/>
      <c r="I28" s="2610"/>
      <c r="J28" s="2610"/>
      <c r="K28" s="2618"/>
      <c r="L28" s="2618"/>
      <c r="M28" s="2616"/>
      <c r="N28" s="2616"/>
      <c r="O28" s="2616"/>
      <c r="P28" s="2616"/>
      <c r="Q28" s="2616"/>
      <c r="R28" s="2616"/>
      <c r="S28" s="2616"/>
      <c r="T28" s="2616"/>
      <c r="U28" s="2616"/>
      <c r="V28" s="2616"/>
      <c r="W28" s="2616"/>
      <c r="X28" s="2616"/>
      <c r="Y28" s="2616"/>
      <c r="Z28" s="2616"/>
      <c r="AA28" s="2616"/>
      <c r="AB28" s="2616"/>
      <c r="AC28" s="2616"/>
      <c r="AD28" s="2616"/>
      <c r="AE28" s="2616"/>
      <c r="AF28" s="2616"/>
      <c r="AG28" s="2616"/>
      <c r="AH28" s="2616"/>
      <c r="AI28" s="2616"/>
      <c r="AJ28" s="2616"/>
      <c r="AK28" s="2616"/>
      <c r="AL28" s="2616"/>
      <c r="AM28" s="2616"/>
      <c r="AN28" s="2616"/>
      <c r="AO28" s="2616"/>
      <c r="AP28" s="2616"/>
      <c r="AQ28" s="2616"/>
      <c r="AR28" s="2616"/>
      <c r="AS28" s="2616"/>
      <c r="AT28" s="2616"/>
      <c r="AU28" s="2616"/>
      <c r="AV28" s="2616"/>
      <c r="AW28" s="2616"/>
      <c r="AX28" s="2616"/>
      <c r="AY28" s="2616"/>
      <c r="AZ28" s="2616"/>
    </row>
    <row r="29" spans="1:52" ht="28.5" thickBot="1">
      <c r="A29" s="212" t="s">
        <v>1693</v>
      </c>
      <c r="B29" s="213"/>
      <c r="C29" s="2631" t="s">
        <v>1696</v>
      </c>
      <c r="D29" s="2622"/>
      <c r="E29" s="2623"/>
      <c r="F29" s="2623"/>
      <c r="G29" s="2610"/>
      <c r="H29" s="2610"/>
      <c r="I29" s="2610"/>
      <c r="J29" s="2610"/>
      <c r="K29" s="2618"/>
      <c r="L29" s="2618"/>
      <c r="M29" s="2616"/>
      <c r="N29" s="2616"/>
      <c r="O29" s="2616"/>
      <c r="P29" s="2616"/>
      <c r="Q29" s="2616"/>
      <c r="R29" s="2616"/>
      <c r="S29" s="2616"/>
      <c r="T29" s="2616"/>
      <c r="U29" s="2616"/>
      <c r="V29" s="2616"/>
      <c r="W29" s="2616"/>
      <c r="X29" s="2616"/>
      <c r="Y29" s="2616"/>
      <c r="Z29" s="2616"/>
      <c r="AA29" s="2616"/>
      <c r="AB29" s="2616"/>
      <c r="AC29" s="2616"/>
      <c r="AD29" s="2616"/>
      <c r="AE29" s="2616"/>
      <c r="AF29" s="2616"/>
      <c r="AG29" s="2616"/>
      <c r="AH29" s="2616"/>
      <c r="AI29" s="2616"/>
      <c r="AJ29" s="2616"/>
      <c r="AK29" s="2616"/>
      <c r="AL29" s="2616"/>
      <c r="AM29" s="2616"/>
      <c r="AN29" s="2616"/>
      <c r="AO29" s="2616"/>
      <c r="AP29" s="2616"/>
      <c r="AQ29" s="2616"/>
      <c r="AR29" s="2616"/>
      <c r="AS29" s="2616"/>
      <c r="AT29" s="2616"/>
      <c r="AU29" s="2616"/>
      <c r="AV29" s="2616"/>
      <c r="AW29" s="2616"/>
      <c r="AX29" s="2616"/>
      <c r="AY29" s="2616"/>
      <c r="AZ29" s="2616"/>
    </row>
    <row r="30" spans="1:52" ht="27">
      <c r="A30" s="216" t="s">
        <v>239</v>
      </c>
      <c r="B30" s="892">
        <v>150</v>
      </c>
      <c r="C30" s="2624"/>
      <c r="D30" s="2622"/>
      <c r="E30" s="2623"/>
      <c r="F30" s="2623"/>
      <c r="G30" s="2610"/>
      <c r="H30" s="2610"/>
      <c r="I30" s="2610"/>
      <c r="J30" s="2610"/>
      <c r="K30" s="2618"/>
      <c r="L30" s="2618"/>
      <c r="M30" s="2616"/>
      <c r="N30" s="2616"/>
      <c r="O30" s="2616"/>
      <c r="P30" s="2616"/>
      <c r="Q30" s="2616"/>
      <c r="R30" s="2616"/>
      <c r="S30" s="2616"/>
      <c r="T30" s="2616"/>
      <c r="U30" s="2616"/>
      <c r="V30" s="2616"/>
      <c r="W30" s="2616"/>
      <c r="X30" s="2616"/>
      <c r="Y30" s="2616"/>
      <c r="Z30" s="2616"/>
      <c r="AA30" s="2616"/>
      <c r="AB30" s="2616"/>
      <c r="AC30" s="2616"/>
      <c r="AD30" s="2616"/>
      <c r="AE30" s="2616"/>
      <c r="AF30" s="2616"/>
      <c r="AG30" s="2616"/>
      <c r="AH30" s="2616"/>
      <c r="AI30" s="2616"/>
      <c r="AJ30" s="2616"/>
      <c r="AK30" s="2616"/>
      <c r="AL30" s="2616"/>
      <c r="AM30" s="2616"/>
      <c r="AN30" s="2616"/>
      <c r="AO30" s="2616"/>
      <c r="AP30" s="2616"/>
      <c r="AQ30" s="2616"/>
      <c r="AR30" s="2616"/>
      <c r="AS30" s="2616"/>
      <c r="AT30" s="2616"/>
      <c r="AU30" s="2616"/>
      <c r="AV30" s="2616"/>
      <c r="AW30" s="2616"/>
      <c r="AX30" s="2616"/>
      <c r="AY30" s="2616"/>
      <c r="AZ30" s="2616"/>
    </row>
    <row r="31" spans="1:52" ht="27">
      <c r="A31" s="209" t="s">
        <v>240</v>
      </c>
      <c r="B31" s="211">
        <f>B30-B32</f>
        <v>70</v>
      </c>
      <c r="C31" s="2621"/>
      <c r="D31" s="2622"/>
      <c r="E31" s="2623"/>
      <c r="F31" s="2623"/>
      <c r="G31" s="2610"/>
      <c r="H31" s="2610"/>
      <c r="I31" s="2610"/>
      <c r="J31" s="2610"/>
      <c r="K31" s="2618"/>
      <c r="L31" s="2618"/>
      <c r="M31" s="2616"/>
      <c r="N31" s="2616"/>
      <c r="O31" s="2616"/>
      <c r="P31" s="2616"/>
      <c r="Q31" s="2616"/>
      <c r="R31" s="2616"/>
      <c r="S31" s="2616"/>
      <c r="T31" s="2616"/>
      <c r="U31" s="2616"/>
      <c r="V31" s="2616"/>
      <c r="W31" s="2616"/>
      <c r="X31" s="2616"/>
      <c r="Y31" s="2616"/>
      <c r="Z31" s="2616"/>
      <c r="AA31" s="2616"/>
      <c r="AB31" s="2616"/>
      <c r="AC31" s="2616"/>
      <c r="AD31" s="2616"/>
      <c r="AE31" s="2616"/>
      <c r="AF31" s="2616"/>
      <c r="AG31" s="2616"/>
      <c r="AH31" s="2616"/>
      <c r="AI31" s="2616"/>
      <c r="AJ31" s="2616"/>
      <c r="AK31" s="2616"/>
      <c r="AL31" s="2616"/>
      <c r="AM31" s="2616"/>
      <c r="AN31" s="2616"/>
      <c r="AO31" s="2616"/>
      <c r="AP31" s="2616"/>
      <c r="AQ31" s="2616"/>
      <c r="AR31" s="2616"/>
      <c r="AS31" s="2616"/>
      <c r="AT31" s="2616"/>
      <c r="AU31" s="2616"/>
      <c r="AV31" s="2616"/>
      <c r="AW31" s="2616"/>
      <c r="AX31" s="2616"/>
      <c r="AY31" s="2616"/>
      <c r="AZ31" s="2616"/>
    </row>
    <row r="32" spans="1:52" ht="27.75" thickBot="1">
      <c r="A32" s="218" t="s">
        <v>241</v>
      </c>
      <c r="B32" s="1168">
        <v>80</v>
      </c>
      <c r="C32" s="2624"/>
      <c r="D32" s="2619"/>
      <c r="E32" s="2610"/>
      <c r="F32" s="2610"/>
      <c r="G32" s="2610"/>
      <c r="H32" s="2610"/>
      <c r="I32" s="2610"/>
      <c r="J32" s="2610"/>
      <c r="K32" s="2618"/>
      <c r="L32" s="2618"/>
      <c r="M32" s="2616"/>
      <c r="N32" s="2616"/>
      <c r="O32" s="2616"/>
      <c r="P32" s="2616"/>
      <c r="Q32" s="2616"/>
      <c r="R32" s="2616"/>
      <c r="S32" s="2616"/>
      <c r="T32" s="2616"/>
      <c r="U32" s="2616"/>
      <c r="V32" s="2616"/>
      <c r="W32" s="2616"/>
      <c r="X32" s="2616"/>
      <c r="Y32" s="2616"/>
      <c r="Z32" s="2616"/>
      <c r="AA32" s="2616"/>
      <c r="AB32" s="2616"/>
      <c r="AC32" s="2616"/>
      <c r="AD32" s="2616"/>
      <c r="AE32" s="2616"/>
      <c r="AF32" s="2616"/>
      <c r="AG32" s="2616"/>
      <c r="AH32" s="2616"/>
      <c r="AI32" s="2616"/>
      <c r="AJ32" s="2616"/>
      <c r="AK32" s="2616"/>
      <c r="AL32" s="2616"/>
      <c r="AM32" s="2616"/>
      <c r="AN32" s="2616"/>
      <c r="AO32" s="2616"/>
      <c r="AP32" s="2616"/>
      <c r="AQ32" s="2616"/>
      <c r="AR32" s="2616"/>
      <c r="AS32" s="2616"/>
      <c r="AT32" s="2616"/>
      <c r="AU32" s="2616"/>
      <c r="AV32" s="2616"/>
      <c r="AW32" s="2616"/>
      <c r="AX32" s="2616"/>
      <c r="AY32" s="2616"/>
      <c r="AZ32" s="2616"/>
    </row>
    <row r="33" spans="1:52" ht="14.25">
      <c r="A33" s="207" t="s">
        <v>244</v>
      </c>
      <c r="B33" s="1169">
        <v>0.03</v>
      </c>
      <c r="C33" s="2632" t="s">
        <v>2260</v>
      </c>
      <c r="D33" s="2622"/>
      <c r="E33" s="2623"/>
      <c r="F33" s="2623"/>
      <c r="G33" s="2610"/>
      <c r="H33" s="2610"/>
      <c r="I33" s="2610"/>
      <c r="J33" s="2610"/>
      <c r="K33" s="2618"/>
      <c r="L33" s="2618"/>
      <c r="M33" s="2616"/>
      <c r="N33" s="2616"/>
      <c r="O33" s="2616"/>
      <c r="P33" s="2616"/>
      <c r="Q33" s="2616"/>
      <c r="R33" s="2616"/>
      <c r="S33" s="2616"/>
      <c r="T33" s="2616"/>
      <c r="U33" s="2616"/>
      <c r="V33" s="2616"/>
      <c r="W33" s="2616"/>
      <c r="X33" s="2616"/>
      <c r="Y33" s="2616"/>
      <c r="Z33" s="2616"/>
      <c r="AA33" s="2616"/>
      <c r="AB33" s="2616"/>
      <c r="AC33" s="2616"/>
      <c r="AD33" s="2616"/>
      <c r="AE33" s="2616"/>
      <c r="AF33" s="2616"/>
      <c r="AG33" s="2616"/>
      <c r="AH33" s="2616"/>
      <c r="AI33" s="2616"/>
      <c r="AJ33" s="2616"/>
      <c r="AK33" s="2616"/>
      <c r="AL33" s="2616"/>
      <c r="AM33" s="2616"/>
      <c r="AN33" s="2616"/>
      <c r="AO33" s="2616"/>
      <c r="AP33" s="2616"/>
      <c r="AQ33" s="2616"/>
      <c r="AR33" s="2616"/>
      <c r="AS33" s="2616"/>
      <c r="AT33" s="2616"/>
      <c r="AU33" s="2616"/>
      <c r="AV33" s="2616"/>
      <c r="AW33" s="2616"/>
      <c r="AX33" s="2616"/>
      <c r="AY33" s="2616"/>
      <c r="AZ33" s="2616"/>
    </row>
    <row r="34" spans="1:52" ht="14.25">
      <c r="A34" s="209" t="s">
        <v>245</v>
      </c>
      <c r="B34" s="214">
        <v>0</v>
      </c>
      <c r="C34" s="2632" t="s">
        <v>2261</v>
      </c>
      <c r="D34" s="2633" t="s">
        <v>2268</v>
      </c>
      <c r="E34" s="2616"/>
      <c r="F34" s="2610"/>
      <c r="G34" s="2610"/>
      <c r="H34" s="2610"/>
      <c r="I34" s="2610"/>
      <c r="J34" s="2610"/>
      <c r="K34" s="2618"/>
      <c r="L34" s="2618"/>
      <c r="M34" s="2616"/>
      <c r="N34" s="2616"/>
      <c r="O34" s="2616"/>
      <c r="P34" s="2616"/>
      <c r="Q34" s="2616"/>
      <c r="R34" s="2616"/>
      <c r="S34" s="2616"/>
      <c r="T34" s="2616"/>
      <c r="U34" s="2616"/>
      <c r="V34" s="2616"/>
      <c r="W34" s="2616"/>
      <c r="X34" s="2616"/>
      <c r="Y34" s="2616"/>
      <c r="Z34" s="2616"/>
      <c r="AA34" s="2616"/>
      <c r="AB34" s="2616"/>
      <c r="AC34" s="2616"/>
      <c r="AD34" s="2616"/>
      <c r="AE34" s="2616"/>
      <c r="AF34" s="2616"/>
      <c r="AG34" s="2616"/>
      <c r="AH34" s="2616"/>
      <c r="AI34" s="2616"/>
      <c r="AJ34" s="2616"/>
      <c r="AK34" s="2616"/>
      <c r="AL34" s="2616"/>
      <c r="AM34" s="2616"/>
      <c r="AN34" s="2616"/>
      <c r="AO34" s="2616"/>
      <c r="AP34" s="2616"/>
      <c r="AQ34" s="2616"/>
      <c r="AR34" s="2616"/>
      <c r="AS34" s="2616"/>
      <c r="AT34" s="2616"/>
      <c r="AU34" s="2616"/>
      <c r="AV34" s="2616"/>
      <c r="AW34" s="2616"/>
      <c r="AX34" s="2616"/>
      <c r="AY34" s="2616"/>
      <c r="AZ34" s="2616"/>
    </row>
    <row r="35" spans="1:52" ht="14.25">
      <c r="A35" s="209" t="s">
        <v>242</v>
      </c>
      <c r="B35" s="210">
        <f>B30</f>
        <v>150</v>
      </c>
      <c r="C35" s="2632" t="s">
        <v>2262</v>
      </c>
      <c r="D35" s="2619"/>
      <c r="E35" s="2610"/>
      <c r="F35" s="2610"/>
      <c r="G35" s="2610"/>
      <c r="H35" s="2610"/>
      <c r="I35" s="2610"/>
      <c r="J35" s="2610"/>
      <c r="K35" s="2618"/>
      <c r="L35" s="2618"/>
      <c r="M35" s="2616"/>
      <c r="N35" s="2616"/>
      <c r="O35" s="2616"/>
      <c r="P35" s="2616"/>
      <c r="Q35" s="2616"/>
      <c r="R35" s="2616"/>
      <c r="S35" s="2616"/>
      <c r="T35" s="2616"/>
      <c r="U35" s="2616"/>
      <c r="V35" s="2616"/>
      <c r="W35" s="2616"/>
      <c r="X35" s="2616"/>
      <c r="Y35" s="2616"/>
      <c r="Z35" s="2616"/>
      <c r="AA35" s="2616"/>
      <c r="AB35" s="2616"/>
      <c r="AC35" s="2616"/>
      <c r="AD35" s="2616"/>
      <c r="AE35" s="2616"/>
      <c r="AF35" s="2616"/>
      <c r="AG35" s="2616"/>
      <c r="AH35" s="2616"/>
      <c r="AI35" s="2616"/>
      <c r="AJ35" s="2616"/>
      <c r="AK35" s="2616"/>
      <c r="AL35" s="2616"/>
      <c r="AM35" s="2616"/>
      <c r="AN35" s="2616"/>
      <c r="AO35" s="2616"/>
      <c r="AP35" s="2616"/>
      <c r="AQ35" s="2616"/>
      <c r="AR35" s="2616"/>
      <c r="AS35" s="2616"/>
      <c r="AT35" s="2616"/>
      <c r="AU35" s="2616"/>
      <c r="AV35" s="2616"/>
      <c r="AW35" s="2616"/>
      <c r="AX35" s="2616"/>
      <c r="AY35" s="2616"/>
      <c r="AZ35" s="2616"/>
    </row>
    <row r="36" spans="1:52" ht="15" thickBot="1">
      <c r="A36" s="212" t="s">
        <v>243</v>
      </c>
      <c r="B36" s="215">
        <v>1.4999999999999999E-2</v>
      </c>
      <c r="C36" s="2632" t="s">
        <v>2263</v>
      </c>
      <c r="D36" s="2617"/>
      <c r="E36" s="2616"/>
      <c r="F36" s="2610"/>
      <c r="G36" s="2610"/>
      <c r="H36" s="2610"/>
      <c r="I36" s="2610"/>
      <c r="J36" s="2610"/>
      <c r="K36" s="2618"/>
      <c r="L36" s="2618"/>
      <c r="M36" s="2616"/>
      <c r="N36" s="2616"/>
      <c r="O36" s="2616"/>
      <c r="P36" s="2616"/>
      <c r="Q36" s="2616"/>
      <c r="R36" s="2616"/>
      <c r="S36" s="2616"/>
      <c r="T36" s="2616"/>
      <c r="U36" s="2616"/>
      <c r="V36" s="2616"/>
      <c r="W36" s="2616"/>
      <c r="X36" s="2616"/>
      <c r="Y36" s="2616"/>
      <c r="Z36" s="2616"/>
      <c r="AA36" s="2616"/>
      <c r="AB36" s="2616"/>
      <c r="AC36" s="2616"/>
      <c r="AD36" s="2616"/>
      <c r="AE36" s="2616"/>
      <c r="AF36" s="2616"/>
      <c r="AG36" s="2616"/>
      <c r="AH36" s="2616"/>
      <c r="AI36" s="2616"/>
      <c r="AJ36" s="2616"/>
      <c r="AK36" s="2616"/>
      <c r="AL36" s="2616"/>
      <c r="AM36" s="2616"/>
      <c r="AN36" s="2616"/>
      <c r="AO36" s="2616"/>
      <c r="AP36" s="2616"/>
      <c r="AQ36" s="2616"/>
      <c r="AR36" s="2616"/>
      <c r="AS36" s="2616"/>
      <c r="AT36" s="2616"/>
      <c r="AU36" s="2616"/>
      <c r="AV36" s="2616"/>
      <c r="AW36" s="2616"/>
      <c r="AX36" s="2616"/>
      <c r="AY36" s="2616"/>
      <c r="AZ36" s="2616"/>
    </row>
    <row r="37" spans="1:52" ht="14.25">
      <c r="A37" s="216" t="s">
        <v>246</v>
      </c>
      <c r="B37" s="217">
        <v>1.4999999999999999E-2</v>
      </c>
      <c r="C37" s="2632" t="s">
        <v>2264</v>
      </c>
      <c r="D37" s="2619"/>
      <c r="E37" s="2610"/>
      <c r="F37" s="2610"/>
      <c r="G37" s="2610"/>
      <c r="H37" s="2610"/>
      <c r="I37" s="2610"/>
      <c r="J37" s="2610"/>
      <c r="K37" s="2618"/>
      <c r="L37" s="2618"/>
      <c r="M37" s="2616"/>
      <c r="N37" s="2616"/>
      <c r="O37" s="2616"/>
      <c r="P37" s="2616"/>
      <c r="Q37" s="2616"/>
      <c r="R37" s="2616"/>
      <c r="S37" s="2616"/>
      <c r="T37" s="2616"/>
      <c r="U37" s="2616"/>
      <c r="V37" s="2616"/>
      <c r="W37" s="2616"/>
      <c r="X37" s="2616"/>
      <c r="Y37" s="2616"/>
      <c r="Z37" s="2616"/>
      <c r="AA37" s="2616"/>
      <c r="AB37" s="2616"/>
      <c r="AC37" s="2616"/>
      <c r="AD37" s="2616"/>
      <c r="AE37" s="2616"/>
      <c r="AF37" s="2616"/>
      <c r="AG37" s="2616"/>
      <c r="AH37" s="2616"/>
      <c r="AI37" s="2616"/>
      <c r="AJ37" s="2616"/>
      <c r="AK37" s="2616"/>
      <c r="AL37" s="2616"/>
      <c r="AM37" s="2616"/>
      <c r="AN37" s="2616"/>
      <c r="AO37" s="2616"/>
      <c r="AP37" s="2616"/>
      <c r="AQ37" s="2616"/>
      <c r="AR37" s="2616"/>
      <c r="AS37" s="2616"/>
      <c r="AT37" s="2616"/>
      <c r="AU37" s="2616"/>
      <c r="AV37" s="2616"/>
      <c r="AW37" s="2616"/>
      <c r="AX37" s="2616"/>
      <c r="AY37" s="2616"/>
      <c r="AZ37" s="2616"/>
    </row>
    <row r="38" spans="1:52" ht="14.25">
      <c r="A38" s="209" t="s">
        <v>247</v>
      </c>
      <c r="B38" s="214">
        <v>1.4999999999999999E-2</v>
      </c>
      <c r="C38" s="2632" t="s">
        <v>2264</v>
      </c>
      <c r="D38" s="2619"/>
      <c r="E38" s="2610"/>
      <c r="F38" s="2610"/>
      <c r="G38" s="2610"/>
      <c r="H38" s="2610"/>
      <c r="I38" s="2610"/>
      <c r="J38" s="2610"/>
      <c r="K38" s="2618"/>
      <c r="L38" s="2618"/>
      <c r="M38" s="2616"/>
      <c r="N38" s="2616"/>
      <c r="O38" s="2616"/>
      <c r="P38" s="2616"/>
      <c r="Q38" s="2616"/>
      <c r="R38" s="2616"/>
      <c r="S38" s="2616"/>
      <c r="T38" s="2616"/>
      <c r="U38" s="2616"/>
      <c r="V38" s="2616"/>
      <c r="W38" s="2616"/>
      <c r="X38" s="2616"/>
      <c r="Y38" s="2616"/>
      <c r="Z38" s="2616"/>
      <c r="AA38" s="2616"/>
      <c r="AB38" s="2616"/>
      <c r="AC38" s="2616"/>
      <c r="AD38" s="2616"/>
      <c r="AE38" s="2616"/>
      <c r="AF38" s="2616"/>
      <c r="AG38" s="2616"/>
      <c r="AH38" s="2616"/>
      <c r="AI38" s="2616"/>
      <c r="AJ38" s="2616"/>
      <c r="AK38" s="2616"/>
      <c r="AL38" s="2616"/>
      <c r="AM38" s="2616"/>
      <c r="AN38" s="2616"/>
      <c r="AO38" s="2616"/>
      <c r="AP38" s="2616"/>
      <c r="AQ38" s="2616"/>
      <c r="AR38" s="2616"/>
      <c r="AS38" s="2616"/>
      <c r="AT38" s="2616"/>
      <c r="AU38" s="2616"/>
      <c r="AV38" s="2616"/>
      <c r="AW38" s="2616"/>
      <c r="AX38" s="2616"/>
      <c r="AY38" s="2616"/>
      <c r="AZ38" s="2616"/>
    </row>
    <row r="39" spans="1:52" ht="14.25">
      <c r="A39" s="1993" t="s">
        <v>1801</v>
      </c>
      <c r="B39" s="735">
        <f ca="1">存贷款利率!C4</f>
        <v>1.4999999999999999E-2</v>
      </c>
      <c r="C39" s="2625"/>
      <c r="D39" s="2619"/>
      <c r="E39" s="2610"/>
      <c r="F39" s="2610"/>
      <c r="G39" s="2610"/>
      <c r="H39" s="2610"/>
      <c r="I39" s="2610"/>
      <c r="J39" s="2610"/>
      <c r="K39" s="2618"/>
      <c r="L39" s="2618"/>
      <c r="M39" s="2616"/>
      <c r="N39" s="2616"/>
      <c r="O39" s="2616"/>
      <c r="P39" s="2616"/>
      <c r="Q39" s="2616"/>
      <c r="R39" s="2616"/>
      <c r="S39" s="2616"/>
      <c r="T39" s="2616"/>
      <c r="U39" s="2616"/>
      <c r="V39" s="2616"/>
      <c r="W39" s="2616"/>
      <c r="X39" s="2616"/>
      <c r="Y39" s="2616"/>
      <c r="Z39" s="2616"/>
      <c r="AA39" s="2616"/>
      <c r="AB39" s="2616"/>
      <c r="AC39" s="2616"/>
      <c r="AD39" s="2616"/>
      <c r="AE39" s="2616"/>
      <c r="AF39" s="2616"/>
      <c r="AG39" s="2616"/>
      <c r="AH39" s="2616"/>
      <c r="AI39" s="2616"/>
      <c r="AJ39" s="2616"/>
      <c r="AK39" s="2616"/>
      <c r="AL39" s="2616"/>
      <c r="AM39" s="2616"/>
      <c r="AN39" s="2616"/>
      <c r="AO39" s="2616"/>
      <c r="AP39" s="2616"/>
      <c r="AQ39" s="2616"/>
      <c r="AR39" s="2616"/>
      <c r="AS39" s="2616"/>
      <c r="AT39" s="2616"/>
      <c r="AU39" s="2616"/>
      <c r="AV39" s="2616"/>
      <c r="AW39" s="2616"/>
      <c r="AX39" s="2616"/>
      <c r="AY39" s="2616"/>
      <c r="AZ39" s="2616"/>
    </row>
    <row r="40" spans="1:52" ht="27.75" thickBot="1">
      <c r="A40" s="2779" t="s">
        <v>3355</v>
      </c>
      <c r="B40" s="1991">
        <f ca="1">IF(A40="利息：取LPR",存贷款利率!E2,存贷款利率!E2+C40)</f>
        <v>4.1499999999999995E-2</v>
      </c>
      <c r="C40" s="2780">
        <v>5.0000000000000001E-3</v>
      </c>
      <c r="D40" s="2619"/>
      <c r="E40" s="2610"/>
      <c r="F40" s="2610"/>
      <c r="G40" s="2610"/>
      <c r="H40" s="2610"/>
      <c r="I40" s="2610"/>
      <c r="J40" s="2610"/>
      <c r="K40" s="2618"/>
      <c r="L40" s="2618"/>
      <c r="M40" s="2616"/>
      <c r="N40" s="2616"/>
      <c r="O40" s="2616"/>
      <c r="P40" s="2616"/>
      <c r="Q40" s="2616"/>
      <c r="R40" s="2616"/>
      <c r="S40" s="2616"/>
      <c r="T40" s="2616"/>
      <c r="U40" s="2616"/>
      <c r="V40" s="2616"/>
      <c r="W40" s="2616"/>
      <c r="X40" s="2616"/>
      <c r="Y40" s="2616"/>
      <c r="Z40" s="2616"/>
      <c r="AA40" s="2616"/>
      <c r="AB40" s="2616"/>
      <c r="AC40" s="2616"/>
      <c r="AD40" s="2616"/>
      <c r="AE40" s="2616"/>
      <c r="AF40" s="2616"/>
      <c r="AG40" s="2616"/>
      <c r="AH40" s="2616"/>
      <c r="AI40" s="2616"/>
      <c r="AJ40" s="2616"/>
      <c r="AK40" s="2616"/>
      <c r="AL40" s="2616"/>
      <c r="AM40" s="2616"/>
      <c r="AN40" s="2616"/>
      <c r="AO40" s="2616"/>
      <c r="AP40" s="2616"/>
      <c r="AQ40" s="2616"/>
      <c r="AR40" s="2616"/>
      <c r="AS40" s="2616"/>
      <c r="AT40" s="2616"/>
      <c r="AU40" s="2616"/>
      <c r="AV40" s="2616"/>
      <c r="AW40" s="2616"/>
      <c r="AX40" s="2616"/>
      <c r="AY40" s="2616"/>
      <c r="AZ40" s="2616"/>
    </row>
    <row r="41" spans="1:52" ht="14.25">
      <c r="A41" s="207" t="s">
        <v>248</v>
      </c>
      <c r="B41" s="219">
        <f>B42+B43</f>
        <v>5.6000000000000001E-2</v>
      </c>
      <c r="C41" s="2621"/>
      <c r="D41" s="2619"/>
      <c r="E41" s="2610"/>
      <c r="F41" s="2610"/>
      <c r="G41" s="2610"/>
      <c r="H41" s="2610"/>
      <c r="I41" s="2610"/>
      <c r="J41" s="2610"/>
      <c r="K41" s="2618"/>
      <c r="L41" s="2618"/>
      <c r="M41" s="2616"/>
      <c r="N41" s="2616"/>
      <c r="O41" s="2616"/>
      <c r="P41" s="2616"/>
      <c r="Q41" s="2616"/>
      <c r="R41" s="2616"/>
      <c r="S41" s="2616"/>
      <c r="T41" s="2616"/>
      <c r="U41" s="2616"/>
      <c r="V41" s="2616"/>
      <c r="W41" s="2616"/>
      <c r="X41" s="2616"/>
      <c r="Y41" s="2616"/>
      <c r="Z41" s="2616"/>
      <c r="AA41" s="2616"/>
      <c r="AB41" s="2616"/>
      <c r="AC41" s="2616"/>
      <c r="AD41" s="2616"/>
      <c r="AE41" s="2616"/>
      <c r="AF41" s="2616"/>
      <c r="AG41" s="2616"/>
      <c r="AH41" s="2616"/>
      <c r="AI41" s="2616"/>
      <c r="AJ41" s="2616"/>
      <c r="AK41" s="2616"/>
      <c r="AL41" s="2616"/>
      <c r="AM41" s="2616"/>
      <c r="AN41" s="2616"/>
      <c r="AO41" s="2616"/>
      <c r="AP41" s="2616"/>
      <c r="AQ41" s="2616"/>
      <c r="AR41" s="2616"/>
      <c r="AS41" s="2616"/>
      <c r="AT41" s="2616"/>
      <c r="AU41" s="2616"/>
      <c r="AV41" s="2616"/>
      <c r="AW41" s="2616"/>
      <c r="AX41" s="2616"/>
      <c r="AY41" s="2616"/>
      <c r="AZ41" s="2616"/>
    </row>
    <row r="42" spans="1:52" ht="14.25">
      <c r="A42" s="893" t="s">
        <v>249</v>
      </c>
      <c r="B42" s="221">
        <v>0.05</v>
      </c>
      <c r="C42" s="2634">
        <f>IF(B2&lt;DATE(2016,5,1),0,B42)</f>
        <v>0.05</v>
      </c>
      <c r="D42" s="2619"/>
      <c r="E42" s="2610"/>
      <c r="F42" s="2610"/>
      <c r="G42" s="2610"/>
      <c r="H42" s="2610"/>
      <c r="I42" s="2610"/>
      <c r="J42" s="2610"/>
      <c r="K42" s="2618"/>
      <c r="L42" s="2618"/>
      <c r="M42" s="2616"/>
      <c r="N42" s="2616"/>
      <c r="O42" s="2616"/>
      <c r="P42" s="2616"/>
      <c r="Q42" s="2616"/>
      <c r="R42" s="2616"/>
      <c r="S42" s="2616"/>
      <c r="T42" s="2616"/>
      <c r="U42" s="2616"/>
      <c r="V42" s="2616"/>
      <c r="W42" s="2616"/>
      <c r="X42" s="2616"/>
      <c r="Y42" s="2616"/>
      <c r="Z42" s="2616"/>
      <c r="AA42" s="2616"/>
      <c r="AB42" s="2616"/>
      <c r="AC42" s="2616"/>
      <c r="AD42" s="2616"/>
      <c r="AE42" s="2616"/>
      <c r="AF42" s="2616"/>
      <c r="AG42" s="2616"/>
      <c r="AH42" s="2616"/>
      <c r="AI42" s="2616"/>
      <c r="AJ42" s="2616"/>
      <c r="AK42" s="2616"/>
      <c r="AL42" s="2616"/>
      <c r="AM42" s="2616"/>
      <c r="AN42" s="2616"/>
      <c r="AO42" s="2616"/>
      <c r="AP42" s="2616"/>
      <c r="AQ42" s="2616"/>
      <c r="AR42" s="2616"/>
      <c r="AS42" s="2616"/>
      <c r="AT42" s="2616"/>
      <c r="AU42" s="2616"/>
      <c r="AV42" s="2616"/>
      <c r="AW42" s="2616"/>
      <c r="AX42" s="2616"/>
      <c r="AY42" s="2616"/>
      <c r="AZ42" s="2616"/>
    </row>
    <row r="43" spans="1:52" ht="14.25">
      <c r="A43" s="893" t="s">
        <v>250</v>
      </c>
      <c r="B43" s="222">
        <f>B42*(B44+B45+B46)+B47</f>
        <v>6.000000000000001E-3</v>
      </c>
      <c r="C43" s="2621"/>
      <c r="D43" s="2619"/>
      <c r="E43" s="2610"/>
      <c r="F43" s="2610"/>
      <c r="G43" s="2610"/>
      <c r="H43" s="2610"/>
      <c r="I43" s="2610"/>
      <c r="J43" s="2610"/>
      <c r="K43" s="2618"/>
      <c r="L43" s="2618"/>
      <c r="M43" s="2616"/>
      <c r="N43" s="2616"/>
      <c r="O43" s="2616"/>
      <c r="P43" s="2616"/>
      <c r="Q43" s="2616"/>
      <c r="R43" s="2616"/>
      <c r="S43" s="2616"/>
      <c r="T43" s="2616"/>
      <c r="U43" s="2616"/>
      <c r="V43" s="2616"/>
      <c r="W43" s="2616"/>
      <c r="X43" s="2616"/>
      <c r="Y43" s="2616"/>
      <c r="Z43" s="2616"/>
      <c r="AA43" s="2616"/>
      <c r="AB43" s="2616"/>
      <c r="AC43" s="2616"/>
      <c r="AD43" s="2616"/>
      <c r="AE43" s="2616"/>
      <c r="AF43" s="2616"/>
      <c r="AG43" s="2616"/>
      <c r="AH43" s="2616"/>
      <c r="AI43" s="2616"/>
      <c r="AJ43" s="2616"/>
      <c r="AK43" s="2616"/>
      <c r="AL43" s="2616"/>
      <c r="AM43" s="2616"/>
      <c r="AN43" s="2616"/>
      <c r="AO43" s="2616"/>
      <c r="AP43" s="2616"/>
      <c r="AQ43" s="2616"/>
      <c r="AR43" s="2616"/>
      <c r="AS43" s="2616"/>
      <c r="AT43" s="2616"/>
      <c r="AU43" s="2616"/>
      <c r="AV43" s="2616"/>
      <c r="AW43" s="2616"/>
      <c r="AX43" s="2616"/>
      <c r="AY43" s="2616"/>
      <c r="AZ43" s="2616"/>
    </row>
    <row r="44" spans="1:52" ht="14.25">
      <c r="A44" s="220" t="s">
        <v>251</v>
      </c>
      <c r="B44" s="223">
        <v>7.0000000000000007E-2</v>
      </c>
      <c r="C44" s="2632" t="s">
        <v>2269</v>
      </c>
      <c r="D44" s="2619"/>
      <c r="E44" s="2610"/>
      <c r="F44" s="2610"/>
      <c r="G44" s="2610"/>
      <c r="H44" s="2610"/>
      <c r="I44" s="2610"/>
      <c r="J44" s="2610"/>
      <c r="K44" s="2618"/>
      <c r="L44" s="2618"/>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c r="AS44" s="2616"/>
      <c r="AT44" s="2616"/>
      <c r="AU44" s="2616"/>
      <c r="AV44" s="2616"/>
      <c r="AW44" s="2616"/>
      <c r="AX44" s="2616"/>
      <c r="AY44" s="2616"/>
      <c r="AZ44" s="2616"/>
    </row>
    <row r="45" spans="1:52" ht="14.25">
      <c r="A45" s="220" t="s">
        <v>252</v>
      </c>
      <c r="B45" s="221">
        <v>0.03</v>
      </c>
      <c r="C45" s="2635" t="s">
        <v>2265</v>
      </c>
      <c r="D45" s="2619"/>
      <c r="E45" s="2610"/>
      <c r="F45" s="2610"/>
      <c r="G45" s="2610"/>
      <c r="H45" s="2610"/>
      <c r="I45" s="2610"/>
      <c r="J45" s="2610"/>
      <c r="K45" s="2618"/>
      <c r="L45" s="2618"/>
      <c r="M45" s="2616"/>
      <c r="N45" s="2616"/>
      <c r="O45" s="2616"/>
      <c r="P45" s="2616"/>
      <c r="Q45" s="2616"/>
      <c r="R45" s="2616"/>
      <c r="S45" s="2616"/>
      <c r="T45" s="2616"/>
      <c r="U45" s="2616"/>
      <c r="V45" s="2616"/>
      <c r="W45" s="2616"/>
      <c r="X45" s="2616"/>
      <c r="Y45" s="2616"/>
      <c r="Z45" s="2616"/>
      <c r="AA45" s="2616"/>
      <c r="AB45" s="2616"/>
      <c r="AC45" s="2616"/>
      <c r="AD45" s="2616"/>
      <c r="AE45" s="2616"/>
      <c r="AF45" s="2616"/>
      <c r="AG45" s="2616"/>
      <c r="AH45" s="2616"/>
      <c r="AI45" s="2616"/>
      <c r="AJ45" s="2616"/>
      <c r="AK45" s="2616"/>
      <c r="AL45" s="2616"/>
      <c r="AM45" s="2616"/>
      <c r="AN45" s="2616"/>
      <c r="AO45" s="2616"/>
      <c r="AP45" s="2616"/>
      <c r="AQ45" s="2616"/>
      <c r="AR45" s="2616"/>
      <c r="AS45" s="2616"/>
      <c r="AT45" s="2616"/>
      <c r="AU45" s="2616"/>
      <c r="AV45" s="2616"/>
      <c r="AW45" s="2616"/>
      <c r="AX45" s="2616"/>
      <c r="AY45" s="2616"/>
      <c r="AZ45" s="2616"/>
    </row>
    <row r="46" spans="1:52" ht="14.25">
      <c r="A46" s="220" t="s">
        <v>253</v>
      </c>
      <c r="B46" s="221">
        <v>0.02</v>
      </c>
      <c r="C46" s="2635" t="s">
        <v>2266</v>
      </c>
      <c r="D46" s="2619"/>
      <c r="E46" s="2610"/>
      <c r="F46" s="2610"/>
      <c r="G46" s="2610"/>
      <c r="H46" s="2610"/>
      <c r="I46" s="2610"/>
      <c r="J46" s="2610"/>
      <c r="K46" s="2618"/>
      <c r="L46" s="2618"/>
      <c r="M46" s="2616"/>
      <c r="N46" s="2616"/>
      <c r="O46" s="2616"/>
      <c r="P46" s="2616"/>
      <c r="Q46" s="2616"/>
      <c r="R46" s="2616"/>
      <c r="S46" s="2616"/>
      <c r="T46" s="2616"/>
      <c r="U46" s="2616"/>
      <c r="V46" s="2616"/>
      <c r="W46" s="2616"/>
      <c r="X46" s="2616"/>
      <c r="Y46" s="2616"/>
      <c r="Z46" s="2616"/>
      <c r="AA46" s="2616"/>
      <c r="AB46" s="2616"/>
      <c r="AC46" s="2616"/>
      <c r="AD46" s="2616"/>
      <c r="AE46" s="2616"/>
      <c r="AF46" s="2616"/>
      <c r="AG46" s="2616"/>
      <c r="AH46" s="2616"/>
      <c r="AI46" s="2616"/>
      <c r="AJ46" s="2616"/>
      <c r="AK46" s="2616"/>
      <c r="AL46" s="2616"/>
      <c r="AM46" s="2616"/>
      <c r="AN46" s="2616"/>
      <c r="AO46" s="2616"/>
      <c r="AP46" s="2616"/>
      <c r="AQ46" s="2616"/>
      <c r="AR46" s="2616"/>
      <c r="AS46" s="2616"/>
      <c r="AT46" s="2616"/>
      <c r="AU46" s="2616"/>
      <c r="AV46" s="2616"/>
      <c r="AW46" s="2616"/>
      <c r="AX46" s="2616"/>
      <c r="AY46" s="2616"/>
      <c r="AZ46" s="2616"/>
    </row>
    <row r="47" spans="1:52" ht="15" thickBot="1">
      <c r="A47" s="224" t="s">
        <v>254</v>
      </c>
      <c r="B47" s="225"/>
      <c r="C47" s="2630" t="s">
        <v>2273</v>
      </c>
      <c r="D47" s="2619"/>
      <c r="E47" s="2610"/>
      <c r="F47" s="2610"/>
      <c r="G47" s="2610"/>
      <c r="H47" s="2610"/>
      <c r="I47" s="2610"/>
      <c r="J47" s="2610"/>
      <c r="K47" s="2618"/>
      <c r="L47" s="2618"/>
      <c r="M47" s="2616"/>
      <c r="N47" s="2616"/>
      <c r="O47" s="2616"/>
      <c r="P47" s="2616"/>
      <c r="Q47" s="2616"/>
      <c r="R47" s="2616"/>
      <c r="S47" s="2616"/>
      <c r="T47" s="2616"/>
      <c r="U47" s="2616"/>
      <c r="V47" s="2616"/>
      <c r="W47" s="2616"/>
      <c r="X47" s="2616"/>
      <c r="Y47" s="2616"/>
      <c r="Z47" s="2616"/>
      <c r="AA47" s="2616"/>
      <c r="AB47" s="2616"/>
      <c r="AC47" s="2616"/>
      <c r="AD47" s="2616"/>
      <c r="AE47" s="2616"/>
      <c r="AF47" s="2616"/>
      <c r="AG47" s="2616"/>
      <c r="AH47" s="2616"/>
      <c r="AI47" s="2616"/>
      <c r="AJ47" s="2616"/>
      <c r="AK47" s="2616"/>
      <c r="AL47" s="2616"/>
      <c r="AM47" s="2616"/>
      <c r="AN47" s="2616"/>
      <c r="AO47" s="2616"/>
      <c r="AP47" s="2616"/>
      <c r="AQ47" s="2616"/>
      <c r="AR47" s="2616"/>
      <c r="AS47" s="2616"/>
      <c r="AT47" s="2616"/>
      <c r="AU47" s="2616"/>
      <c r="AV47" s="2616"/>
      <c r="AW47" s="2616"/>
      <c r="AX47" s="2616"/>
      <c r="AY47" s="2616"/>
      <c r="AZ47" s="2616"/>
    </row>
    <row r="48" spans="1:52" ht="14.25">
      <c r="A48" s="226" t="s">
        <v>255</v>
      </c>
      <c r="B48" s="227">
        <v>0.03</v>
      </c>
      <c r="C48" s="2635" t="s">
        <v>2265</v>
      </c>
      <c r="D48" s="2619"/>
      <c r="E48" s="2610"/>
      <c r="F48" s="2610"/>
      <c r="G48" s="2610"/>
      <c r="H48" s="2610"/>
      <c r="I48" s="2610"/>
      <c r="J48" s="2610"/>
      <c r="K48" s="2618"/>
      <c r="L48" s="2618"/>
      <c r="M48" s="2616"/>
      <c r="N48" s="2616"/>
      <c r="O48" s="2616"/>
      <c r="P48" s="2616"/>
      <c r="Q48" s="2616"/>
      <c r="R48" s="2616"/>
      <c r="S48" s="2616"/>
      <c r="T48" s="2616"/>
      <c r="U48" s="2616"/>
      <c r="V48" s="2616"/>
      <c r="W48" s="2616"/>
      <c r="X48" s="2616"/>
      <c r="Y48" s="2616"/>
      <c r="Z48" s="2616"/>
      <c r="AA48" s="2616"/>
      <c r="AB48" s="2616"/>
      <c r="AC48" s="2616"/>
      <c r="AD48" s="2616"/>
      <c r="AE48" s="2616"/>
      <c r="AF48" s="2616"/>
      <c r="AG48" s="2616"/>
      <c r="AH48" s="2616"/>
      <c r="AI48" s="2616"/>
      <c r="AJ48" s="2616"/>
      <c r="AK48" s="2616"/>
      <c r="AL48" s="2616"/>
      <c r="AM48" s="2616"/>
      <c r="AN48" s="2616"/>
      <c r="AO48" s="2616"/>
      <c r="AP48" s="2616"/>
      <c r="AQ48" s="2616"/>
      <c r="AR48" s="2616"/>
      <c r="AS48" s="2616"/>
      <c r="AT48" s="2616"/>
      <c r="AU48" s="2616"/>
      <c r="AV48" s="2616"/>
      <c r="AW48" s="2616"/>
      <c r="AX48" s="2616"/>
      <c r="AY48" s="2616"/>
      <c r="AZ48" s="2616"/>
    </row>
    <row r="49" spans="1:52" ht="15" thickBot="1">
      <c r="A49" s="218" t="s">
        <v>256</v>
      </c>
      <c r="B49" s="221">
        <v>5.0000000000000001E-4</v>
      </c>
      <c r="C49" s="2635" t="s">
        <v>2267</v>
      </c>
      <c r="D49" s="2619"/>
      <c r="E49" s="2610"/>
      <c r="F49" s="2610"/>
      <c r="G49" s="2610"/>
      <c r="H49" s="2610"/>
      <c r="I49" s="2610"/>
      <c r="J49" s="2610"/>
      <c r="K49" s="2618"/>
      <c r="L49" s="2618"/>
      <c r="M49" s="2616"/>
      <c r="N49" s="2616"/>
      <c r="O49" s="2616"/>
      <c r="P49" s="2616"/>
      <c r="Q49" s="2616"/>
      <c r="R49" s="2616"/>
      <c r="S49" s="2616"/>
      <c r="T49" s="2616"/>
      <c r="U49" s="2616"/>
      <c r="V49" s="2616"/>
      <c r="W49" s="2616"/>
      <c r="X49" s="2616"/>
      <c r="Y49" s="2616"/>
      <c r="Z49" s="2616"/>
      <c r="AA49" s="2616"/>
      <c r="AB49" s="2616"/>
      <c r="AC49" s="2616"/>
      <c r="AD49" s="2616"/>
      <c r="AE49" s="2616"/>
      <c r="AF49" s="2616"/>
      <c r="AG49" s="2616"/>
      <c r="AH49" s="2616"/>
      <c r="AI49" s="2616"/>
      <c r="AJ49" s="2616"/>
      <c r="AK49" s="2616"/>
      <c r="AL49" s="2616"/>
      <c r="AM49" s="2616"/>
      <c r="AN49" s="2616"/>
      <c r="AO49" s="2616"/>
      <c r="AP49" s="2616"/>
      <c r="AQ49" s="2616"/>
      <c r="AR49" s="2616"/>
      <c r="AS49" s="2616"/>
      <c r="AT49" s="2616"/>
      <c r="AU49" s="2616"/>
      <c r="AV49" s="2616"/>
      <c r="AW49" s="2616"/>
      <c r="AX49" s="2616"/>
      <c r="AY49" s="2616"/>
      <c r="AZ49" s="2616"/>
    </row>
    <row r="50" spans="1:52" ht="14.25">
      <c r="A50" s="228" t="s">
        <v>257</v>
      </c>
      <c r="B50" s="229">
        <v>1.2E-2</v>
      </c>
      <c r="C50" s="2624"/>
      <c r="D50" s="2619"/>
      <c r="E50" s="2610"/>
      <c r="F50" s="2610"/>
      <c r="G50" s="2610"/>
      <c r="H50" s="2610"/>
      <c r="I50" s="2610"/>
      <c r="J50" s="2610"/>
      <c r="K50" s="2618"/>
      <c r="L50" s="2618"/>
      <c r="M50" s="2616"/>
      <c r="N50" s="2616"/>
      <c r="O50" s="2616"/>
      <c r="P50" s="2616"/>
      <c r="Q50" s="2616"/>
      <c r="R50" s="2616"/>
      <c r="S50" s="2616"/>
      <c r="T50" s="2616"/>
      <c r="U50" s="2616"/>
      <c r="V50" s="2616"/>
      <c r="W50" s="2616"/>
      <c r="X50" s="2616"/>
      <c r="Y50" s="2616"/>
      <c r="Z50" s="2616"/>
      <c r="AA50" s="2616"/>
      <c r="AB50" s="2616"/>
      <c r="AC50" s="2616"/>
      <c r="AD50" s="2616"/>
      <c r="AE50" s="2616"/>
      <c r="AF50" s="2616"/>
      <c r="AG50" s="2616"/>
      <c r="AH50" s="2616"/>
      <c r="AI50" s="2616"/>
      <c r="AJ50" s="2616"/>
      <c r="AK50" s="2616"/>
      <c r="AL50" s="2616"/>
      <c r="AM50" s="2616"/>
      <c r="AN50" s="2616"/>
      <c r="AO50" s="2616"/>
      <c r="AP50" s="2616"/>
      <c r="AQ50" s="2616"/>
      <c r="AR50" s="2616"/>
      <c r="AS50" s="2616"/>
      <c r="AT50" s="2616"/>
      <c r="AU50" s="2616"/>
      <c r="AV50" s="2616"/>
      <c r="AW50" s="2616"/>
      <c r="AX50" s="2616"/>
      <c r="AY50" s="2616"/>
      <c r="AZ50" s="2616"/>
    </row>
    <row r="51" spans="1:52" ht="15" thickBot="1">
      <c r="A51" s="212" t="s">
        <v>258</v>
      </c>
      <c r="B51" s="230">
        <v>0.12</v>
      </c>
      <c r="C51" s="2624"/>
      <c r="D51" s="2619"/>
      <c r="E51" s="2610"/>
      <c r="F51" s="2610"/>
      <c r="G51" s="2610"/>
      <c r="H51" s="2610"/>
      <c r="I51" s="2610"/>
      <c r="J51" s="2610"/>
      <c r="K51" s="2618"/>
      <c r="L51" s="2618"/>
      <c r="M51" s="2616"/>
      <c r="N51" s="2616"/>
      <c r="O51" s="2616"/>
      <c r="P51" s="2616"/>
      <c r="Q51" s="2616"/>
      <c r="R51" s="2616"/>
      <c r="S51" s="2616"/>
      <c r="T51" s="2616"/>
      <c r="U51" s="2616"/>
      <c r="V51" s="2616"/>
      <c r="W51" s="2616"/>
      <c r="X51" s="2616"/>
      <c r="Y51" s="2616"/>
      <c r="Z51" s="2616"/>
      <c r="AA51" s="2616"/>
      <c r="AB51" s="2616"/>
      <c r="AC51" s="2616"/>
      <c r="AD51" s="2616"/>
      <c r="AE51" s="2616"/>
      <c r="AF51" s="2616"/>
      <c r="AG51" s="2616"/>
      <c r="AH51" s="2616"/>
      <c r="AI51" s="2616"/>
      <c r="AJ51" s="2616"/>
      <c r="AK51" s="2616"/>
      <c r="AL51" s="2616"/>
      <c r="AM51" s="2616"/>
      <c r="AN51" s="2616"/>
      <c r="AO51" s="2616"/>
      <c r="AP51" s="2616"/>
      <c r="AQ51" s="2616"/>
      <c r="AR51" s="2616"/>
      <c r="AS51" s="2616"/>
      <c r="AT51" s="2616"/>
      <c r="AU51" s="2616"/>
      <c r="AV51" s="2616"/>
      <c r="AW51" s="2616"/>
      <c r="AX51" s="2616"/>
      <c r="AY51" s="2616"/>
      <c r="AZ51" s="2616"/>
    </row>
    <row r="52" spans="1:52" ht="14.25">
      <c r="A52" s="228" t="s">
        <v>259</v>
      </c>
      <c r="B52" s="231">
        <f>SUMIF(A54:A63,B53,B54:B63)</f>
        <v>3</v>
      </c>
      <c r="C52" s="2624"/>
      <c r="D52" s="2619"/>
      <c r="E52" s="2610"/>
      <c r="F52" s="2610"/>
      <c r="G52" s="2610"/>
      <c r="H52" s="2610"/>
      <c r="I52" s="2610"/>
      <c r="J52" s="2610"/>
      <c r="K52" s="2618"/>
      <c r="L52" s="2618"/>
      <c r="M52" s="2616"/>
      <c r="N52" s="2616"/>
      <c r="O52" s="2616"/>
      <c r="P52" s="2616"/>
      <c r="Q52" s="2616"/>
      <c r="R52" s="2616"/>
      <c r="S52" s="2616"/>
      <c r="T52" s="2616"/>
      <c r="U52" s="2616"/>
      <c r="V52" s="2616"/>
      <c r="W52" s="2616"/>
      <c r="X52" s="2616"/>
      <c r="Y52" s="2616"/>
      <c r="Z52" s="2616"/>
      <c r="AA52" s="2616"/>
      <c r="AB52" s="2616"/>
      <c r="AC52" s="2616"/>
      <c r="AD52" s="2616"/>
      <c r="AE52" s="2616"/>
      <c r="AF52" s="2616"/>
      <c r="AG52" s="2616"/>
      <c r="AH52" s="2616"/>
      <c r="AI52" s="2616"/>
      <c r="AJ52" s="2616"/>
      <c r="AK52" s="2616"/>
      <c r="AL52" s="2616"/>
      <c r="AM52" s="2616"/>
      <c r="AN52" s="2616"/>
      <c r="AO52" s="2616"/>
      <c r="AP52" s="2616"/>
      <c r="AQ52" s="2616"/>
      <c r="AR52" s="2616"/>
      <c r="AS52" s="2616"/>
      <c r="AT52" s="2616"/>
      <c r="AU52" s="2616"/>
      <c r="AV52" s="2616"/>
      <c r="AW52" s="2616"/>
      <c r="AX52" s="2616"/>
      <c r="AY52" s="2616"/>
      <c r="AZ52" s="2616"/>
    </row>
    <row r="53" spans="1:52" ht="27">
      <c r="A53" s="209" t="s">
        <v>260</v>
      </c>
      <c r="B53" s="232" t="s">
        <v>1152</v>
      </c>
      <c r="C53" s="2626" t="s">
        <v>2166</v>
      </c>
      <c r="D53" s="2636" t="s">
        <v>2270</v>
      </c>
      <c r="E53" s="2610"/>
      <c r="F53" s="2610"/>
      <c r="G53" s="2610"/>
      <c r="H53" s="2610"/>
      <c r="I53" s="2610"/>
      <c r="J53" s="2610"/>
      <c r="K53" s="2618"/>
      <c r="L53" s="2618"/>
      <c r="M53" s="2616"/>
      <c r="N53" s="2616"/>
      <c r="O53" s="2616"/>
      <c r="P53" s="2616"/>
      <c r="Q53" s="2616"/>
      <c r="R53" s="2616"/>
      <c r="S53" s="2616"/>
      <c r="T53" s="2616"/>
      <c r="U53" s="2616"/>
      <c r="V53" s="2616"/>
      <c r="W53" s="2616"/>
      <c r="X53" s="2616"/>
      <c r="Y53" s="2616"/>
      <c r="Z53" s="2616"/>
      <c r="AA53" s="2616"/>
      <c r="AB53" s="2616"/>
      <c r="AC53" s="2616"/>
      <c r="AD53" s="2616"/>
      <c r="AE53" s="2616"/>
      <c r="AF53" s="2616"/>
      <c r="AG53" s="2616"/>
      <c r="AH53" s="2616"/>
      <c r="AI53" s="2616"/>
      <c r="AJ53" s="2616"/>
      <c r="AK53" s="2616"/>
      <c r="AL53" s="2616"/>
      <c r="AM53" s="2616"/>
      <c r="AN53" s="2616"/>
      <c r="AO53" s="2616"/>
      <c r="AP53" s="2616"/>
      <c r="AQ53" s="2616"/>
      <c r="AR53" s="2616"/>
      <c r="AS53" s="2616"/>
      <c r="AT53" s="2616"/>
      <c r="AU53" s="2616"/>
      <c r="AV53" s="2616"/>
      <c r="AW53" s="2616"/>
      <c r="AX53" s="2616"/>
      <c r="AY53" s="2616"/>
      <c r="AZ53" s="2616"/>
    </row>
    <row r="54" spans="1:52" ht="14.25">
      <c r="A54" s="2342" t="s">
        <v>2167</v>
      </c>
      <c r="B54" s="170">
        <v>16</v>
      </c>
      <c r="C54" s="2623">
        <v>30</v>
      </c>
      <c r="D54" s="2627"/>
      <c r="E54" s="2610"/>
      <c r="F54" s="2610"/>
      <c r="G54" s="2610"/>
      <c r="H54" s="2610"/>
      <c r="I54" s="2610"/>
      <c r="J54" s="2610"/>
      <c r="K54" s="2618"/>
      <c r="L54" s="2618"/>
      <c r="M54" s="2616"/>
      <c r="N54" s="2616"/>
      <c r="O54" s="2616"/>
      <c r="P54" s="2616"/>
      <c r="Q54" s="2616"/>
      <c r="R54" s="2616"/>
      <c r="S54" s="2616"/>
      <c r="T54" s="2616"/>
      <c r="U54" s="2616"/>
      <c r="V54" s="2616"/>
      <c r="W54" s="2616"/>
      <c r="X54" s="2616"/>
      <c r="Y54" s="2616"/>
      <c r="Z54" s="2616"/>
      <c r="AA54" s="2616"/>
      <c r="AB54" s="2616"/>
      <c r="AC54" s="2616"/>
      <c r="AD54" s="2616"/>
      <c r="AE54" s="2616"/>
      <c r="AF54" s="2616"/>
      <c r="AG54" s="2616"/>
      <c r="AH54" s="2616"/>
      <c r="AI54" s="2616"/>
      <c r="AJ54" s="2616"/>
      <c r="AK54" s="2616"/>
      <c r="AL54" s="2616"/>
      <c r="AM54" s="2616"/>
      <c r="AN54" s="2616"/>
      <c r="AO54" s="2616"/>
      <c r="AP54" s="2616"/>
      <c r="AQ54" s="2616"/>
      <c r="AR54" s="2616"/>
      <c r="AS54" s="2616"/>
      <c r="AT54" s="2616"/>
      <c r="AU54" s="2616"/>
      <c r="AV54" s="2616"/>
      <c r="AW54" s="2616"/>
      <c r="AX54" s="2616"/>
      <c r="AY54" s="2616"/>
      <c r="AZ54" s="2616"/>
    </row>
    <row r="55" spans="1:52" ht="14.25">
      <c r="A55" s="2342" t="s">
        <v>2168</v>
      </c>
      <c r="B55" s="170">
        <v>12</v>
      </c>
      <c r="C55" s="2623">
        <v>24</v>
      </c>
      <c r="D55" s="2627"/>
      <c r="E55" s="2610"/>
      <c r="F55" s="2610"/>
      <c r="G55" s="2610"/>
      <c r="H55" s="2610"/>
      <c r="I55" s="2610"/>
      <c r="J55" s="2610"/>
      <c r="K55" s="2618"/>
      <c r="L55" s="2618"/>
      <c r="M55" s="2616"/>
      <c r="N55" s="2616"/>
      <c r="O55" s="2616"/>
      <c r="P55" s="2616"/>
      <c r="Q55" s="2616"/>
      <c r="R55" s="2616"/>
      <c r="S55" s="2616"/>
      <c r="T55" s="2616"/>
      <c r="U55" s="2616"/>
      <c r="V55" s="2616"/>
      <c r="W55" s="2616"/>
      <c r="X55" s="2616"/>
      <c r="Y55" s="2616"/>
      <c r="Z55" s="2616"/>
      <c r="AA55" s="2616"/>
      <c r="AB55" s="2616"/>
      <c r="AC55" s="2616"/>
      <c r="AD55" s="2616"/>
      <c r="AE55" s="2616"/>
      <c r="AF55" s="2616"/>
      <c r="AG55" s="2616"/>
      <c r="AH55" s="2616"/>
      <c r="AI55" s="2616"/>
      <c r="AJ55" s="2616"/>
      <c r="AK55" s="2616"/>
      <c r="AL55" s="2616"/>
      <c r="AM55" s="2616"/>
      <c r="AN55" s="2616"/>
      <c r="AO55" s="2616"/>
      <c r="AP55" s="2616"/>
      <c r="AQ55" s="2616"/>
      <c r="AR55" s="2616"/>
      <c r="AS55" s="2616"/>
      <c r="AT55" s="2616"/>
      <c r="AU55" s="2616"/>
      <c r="AV55" s="2616"/>
      <c r="AW55" s="2616"/>
      <c r="AX55" s="2616"/>
      <c r="AY55" s="2616"/>
      <c r="AZ55" s="2616"/>
    </row>
    <row r="56" spans="1:52" ht="14.25">
      <c r="A56" s="2342" t="s">
        <v>2169</v>
      </c>
      <c r="B56" s="170">
        <v>8</v>
      </c>
      <c r="C56" s="2623">
        <v>18</v>
      </c>
      <c r="D56" s="2627"/>
      <c r="E56" s="2610"/>
      <c r="F56" s="2610"/>
      <c r="G56" s="2610"/>
      <c r="H56" s="2610"/>
      <c r="I56" s="2610"/>
      <c r="J56" s="2610"/>
      <c r="K56" s="2618"/>
      <c r="L56" s="2618"/>
      <c r="M56" s="2616"/>
      <c r="N56" s="2616"/>
      <c r="O56" s="2616"/>
      <c r="P56" s="2616"/>
      <c r="Q56" s="2616"/>
      <c r="R56" s="2616"/>
      <c r="S56" s="2616"/>
      <c r="T56" s="2616"/>
      <c r="U56" s="2616"/>
      <c r="V56" s="2616"/>
      <c r="W56" s="2616"/>
      <c r="X56" s="2616"/>
      <c r="Y56" s="2616"/>
      <c r="Z56" s="2616"/>
      <c r="AA56" s="2616"/>
      <c r="AB56" s="2616"/>
      <c r="AC56" s="2616"/>
      <c r="AD56" s="2616"/>
      <c r="AE56" s="2616"/>
      <c r="AF56" s="2616"/>
      <c r="AG56" s="2616"/>
      <c r="AH56" s="2616"/>
      <c r="AI56" s="2616"/>
      <c r="AJ56" s="2616"/>
      <c r="AK56" s="2616"/>
      <c r="AL56" s="2616"/>
      <c r="AM56" s="2616"/>
      <c r="AN56" s="2616"/>
      <c r="AO56" s="2616"/>
      <c r="AP56" s="2616"/>
      <c r="AQ56" s="2616"/>
      <c r="AR56" s="2616"/>
      <c r="AS56" s="2616"/>
      <c r="AT56" s="2616"/>
      <c r="AU56" s="2616"/>
      <c r="AV56" s="2616"/>
      <c r="AW56" s="2616"/>
      <c r="AX56" s="2616"/>
      <c r="AY56" s="2616"/>
      <c r="AZ56" s="2616"/>
    </row>
    <row r="57" spans="1:52" ht="14.25">
      <c r="A57" s="2342" t="s">
        <v>2170</v>
      </c>
      <c r="B57" s="170">
        <v>5</v>
      </c>
      <c r="C57" s="2623">
        <v>12</v>
      </c>
      <c r="D57" s="2627"/>
      <c r="E57" s="2610"/>
      <c r="F57" s="2610"/>
      <c r="G57" s="2610"/>
      <c r="H57" s="2610"/>
      <c r="I57" s="2610"/>
      <c r="J57" s="2610"/>
      <c r="K57" s="2618"/>
      <c r="L57" s="2618"/>
      <c r="M57" s="2616"/>
      <c r="N57" s="2616"/>
      <c r="O57" s="2616"/>
      <c r="P57" s="2616"/>
      <c r="Q57" s="2616"/>
      <c r="R57" s="2616"/>
      <c r="S57" s="2616"/>
      <c r="T57" s="2616"/>
      <c r="U57" s="2616"/>
      <c r="V57" s="2616"/>
      <c r="W57" s="2616"/>
      <c r="X57" s="2616"/>
      <c r="Y57" s="2616"/>
      <c r="Z57" s="2616"/>
      <c r="AA57" s="2616"/>
      <c r="AB57" s="2616"/>
      <c r="AC57" s="2616"/>
      <c r="AD57" s="2616"/>
      <c r="AE57" s="2616"/>
      <c r="AF57" s="2616"/>
      <c r="AG57" s="2616"/>
      <c r="AH57" s="2616"/>
      <c r="AI57" s="2616"/>
      <c r="AJ57" s="2616"/>
      <c r="AK57" s="2616"/>
      <c r="AL57" s="2616"/>
      <c r="AM57" s="2616"/>
      <c r="AN57" s="2616"/>
      <c r="AO57" s="2616"/>
      <c r="AP57" s="2616"/>
      <c r="AQ57" s="2616"/>
      <c r="AR57" s="2616"/>
      <c r="AS57" s="2616"/>
      <c r="AT57" s="2616"/>
      <c r="AU57" s="2616"/>
      <c r="AV57" s="2616"/>
      <c r="AW57" s="2616"/>
      <c r="AX57" s="2616"/>
      <c r="AY57" s="2616"/>
      <c r="AZ57" s="2616"/>
    </row>
    <row r="58" spans="1:52" ht="14.25">
      <c r="A58" s="2342" t="s">
        <v>2171</v>
      </c>
      <c r="B58" s="170">
        <v>3</v>
      </c>
      <c r="C58" s="2623">
        <v>3</v>
      </c>
      <c r="D58" s="2627"/>
      <c r="E58" s="2610"/>
      <c r="F58" s="2610"/>
      <c r="G58" s="2610"/>
      <c r="H58" s="2610"/>
      <c r="I58" s="2610"/>
      <c r="J58" s="2610"/>
      <c r="K58" s="2618"/>
      <c r="L58" s="2618"/>
      <c r="M58" s="2616"/>
      <c r="N58" s="2616"/>
      <c r="O58" s="2616"/>
      <c r="P58" s="2616"/>
      <c r="Q58" s="2616"/>
      <c r="R58" s="2616"/>
      <c r="S58" s="2616"/>
      <c r="T58" s="2616"/>
      <c r="U58" s="2616"/>
      <c r="V58" s="2616"/>
      <c r="W58" s="2616"/>
      <c r="X58" s="2616"/>
      <c r="Y58" s="2616"/>
      <c r="Z58" s="2616"/>
      <c r="AA58" s="2616"/>
      <c r="AB58" s="2616"/>
      <c r="AC58" s="2616"/>
      <c r="AD58" s="2616"/>
      <c r="AE58" s="2616"/>
      <c r="AF58" s="2616"/>
      <c r="AG58" s="2616"/>
      <c r="AH58" s="2616"/>
      <c r="AI58" s="2616"/>
      <c r="AJ58" s="2616"/>
      <c r="AK58" s="2616"/>
      <c r="AL58" s="2616"/>
      <c r="AM58" s="2616"/>
      <c r="AN58" s="2616"/>
      <c r="AO58" s="2616"/>
      <c r="AP58" s="2616"/>
      <c r="AQ58" s="2616"/>
      <c r="AR58" s="2616"/>
      <c r="AS58" s="2616"/>
      <c r="AT58" s="2616"/>
      <c r="AU58" s="2616"/>
      <c r="AV58" s="2616"/>
      <c r="AW58" s="2616"/>
      <c r="AX58" s="2616"/>
      <c r="AY58" s="2616"/>
      <c r="AZ58" s="2616"/>
    </row>
    <row r="59" spans="1:52" ht="14.25">
      <c r="A59" s="2342" t="s">
        <v>2172</v>
      </c>
      <c r="B59" s="170"/>
      <c r="C59" s="2623">
        <v>1.5</v>
      </c>
      <c r="D59" s="2627"/>
      <c r="E59" s="2610"/>
      <c r="F59" s="2610"/>
      <c r="G59" s="2610"/>
      <c r="H59" s="2610"/>
      <c r="I59" s="2610"/>
      <c r="J59" s="2610"/>
      <c r="K59" s="2618"/>
      <c r="L59" s="2618"/>
      <c r="M59" s="2616"/>
      <c r="N59" s="2616"/>
      <c r="O59" s="2616"/>
      <c r="P59" s="2616"/>
      <c r="Q59" s="2616"/>
      <c r="R59" s="2616"/>
      <c r="S59" s="2616"/>
      <c r="T59" s="2616"/>
      <c r="U59" s="2616"/>
      <c r="V59" s="2616"/>
      <c r="W59" s="2616"/>
      <c r="X59" s="2616"/>
      <c r="Y59" s="2616"/>
      <c r="Z59" s="2616"/>
      <c r="AA59" s="2616"/>
      <c r="AB59" s="2616"/>
      <c r="AC59" s="2616"/>
      <c r="AD59" s="2616"/>
      <c r="AE59" s="2616"/>
      <c r="AF59" s="2616"/>
      <c r="AG59" s="2616"/>
      <c r="AH59" s="2616"/>
      <c r="AI59" s="2616"/>
      <c r="AJ59" s="2616"/>
      <c r="AK59" s="2616"/>
      <c r="AL59" s="2616"/>
      <c r="AM59" s="2616"/>
      <c r="AN59" s="2616"/>
      <c r="AO59" s="2616"/>
      <c r="AP59" s="2616"/>
      <c r="AQ59" s="2616"/>
      <c r="AR59" s="2616"/>
      <c r="AS59" s="2616"/>
      <c r="AT59" s="2616"/>
      <c r="AU59" s="2616"/>
      <c r="AV59" s="2616"/>
      <c r="AW59" s="2616"/>
      <c r="AX59" s="2616"/>
      <c r="AY59" s="2616"/>
      <c r="AZ59" s="2616"/>
    </row>
    <row r="60" spans="1:52" ht="14.25">
      <c r="A60" s="2342" t="s">
        <v>2173</v>
      </c>
      <c r="B60" s="170"/>
      <c r="C60" s="2610"/>
      <c r="D60" s="2619"/>
      <c r="E60" s="2610"/>
      <c r="F60" s="2610"/>
      <c r="G60" s="2610"/>
      <c r="H60" s="2610"/>
      <c r="I60" s="2610"/>
      <c r="J60" s="2610"/>
      <c r="K60" s="2618"/>
      <c r="L60" s="2618"/>
      <c r="M60" s="2616"/>
      <c r="N60" s="2616"/>
      <c r="O60" s="2616"/>
      <c r="P60" s="2616"/>
      <c r="Q60" s="2616"/>
      <c r="R60" s="2616"/>
      <c r="S60" s="2616"/>
      <c r="T60" s="2616"/>
      <c r="U60" s="2616"/>
      <c r="V60" s="2616"/>
      <c r="W60" s="2616"/>
      <c r="X60" s="2616"/>
      <c r="Y60" s="2616"/>
      <c r="Z60" s="2616"/>
      <c r="AA60" s="2616"/>
      <c r="AB60" s="2616"/>
      <c r="AC60" s="2616"/>
      <c r="AD60" s="2616"/>
      <c r="AE60" s="2616"/>
      <c r="AF60" s="2616"/>
      <c r="AG60" s="2616"/>
      <c r="AH60" s="2616"/>
      <c r="AI60" s="2616"/>
      <c r="AJ60" s="2616"/>
      <c r="AK60" s="2616"/>
      <c r="AL60" s="2616"/>
      <c r="AM60" s="2616"/>
      <c r="AN60" s="2616"/>
      <c r="AO60" s="2616"/>
      <c r="AP60" s="2616"/>
      <c r="AQ60" s="2616"/>
      <c r="AR60" s="2616"/>
      <c r="AS60" s="2616"/>
      <c r="AT60" s="2616"/>
      <c r="AU60" s="2616"/>
      <c r="AV60" s="2616"/>
      <c r="AW60" s="2616"/>
      <c r="AX60" s="2616"/>
      <c r="AY60" s="2616"/>
      <c r="AZ60" s="2616"/>
    </row>
    <row r="61" spans="1:52" ht="14.25">
      <c r="A61" s="2342" t="s">
        <v>2174</v>
      </c>
      <c r="B61" s="170"/>
      <c r="C61" s="2610"/>
      <c r="D61" s="2619"/>
      <c r="E61" s="2610"/>
      <c r="F61" s="2610"/>
      <c r="G61" s="2610"/>
      <c r="H61" s="2610"/>
      <c r="I61" s="2610"/>
      <c r="J61" s="2610"/>
      <c r="K61" s="2618"/>
      <c r="L61" s="2618"/>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c r="AS61" s="2616"/>
      <c r="AT61" s="2616"/>
      <c r="AU61" s="2616"/>
      <c r="AV61" s="2616"/>
      <c r="AW61" s="2616"/>
      <c r="AX61" s="2616"/>
      <c r="AY61" s="2616"/>
      <c r="AZ61" s="2616"/>
    </row>
    <row r="62" spans="1:52" ht="14.25">
      <c r="A62" s="2342" t="s">
        <v>2175</v>
      </c>
      <c r="B62" s="170"/>
      <c r="C62" s="2610"/>
      <c r="D62" s="2619"/>
      <c r="E62" s="2610"/>
      <c r="F62" s="2610"/>
      <c r="G62" s="2610"/>
      <c r="H62" s="2610"/>
      <c r="I62" s="2610"/>
      <c r="J62" s="2610"/>
      <c r="K62" s="2618"/>
      <c r="L62" s="2618"/>
      <c r="M62" s="2616"/>
      <c r="N62" s="2616"/>
      <c r="O62" s="2616"/>
      <c r="P62" s="2616"/>
      <c r="Q62" s="2616"/>
      <c r="R62" s="2616"/>
      <c r="S62" s="2616"/>
      <c r="T62" s="2616"/>
      <c r="U62" s="2616"/>
      <c r="V62" s="2616"/>
      <c r="W62" s="2616"/>
      <c r="X62" s="2616"/>
      <c r="Y62" s="2616"/>
      <c r="Z62" s="2616"/>
      <c r="AA62" s="2616"/>
      <c r="AB62" s="2616"/>
      <c r="AC62" s="2616"/>
      <c r="AD62" s="2616"/>
      <c r="AE62" s="2616"/>
      <c r="AF62" s="2616"/>
      <c r="AG62" s="2616"/>
      <c r="AH62" s="2616"/>
      <c r="AI62" s="2616"/>
      <c r="AJ62" s="2616"/>
      <c r="AK62" s="2616"/>
      <c r="AL62" s="2616"/>
      <c r="AM62" s="2616"/>
      <c r="AN62" s="2616"/>
      <c r="AO62" s="2616"/>
      <c r="AP62" s="2616"/>
      <c r="AQ62" s="2616"/>
      <c r="AR62" s="2616"/>
      <c r="AS62" s="2616"/>
      <c r="AT62" s="2616"/>
      <c r="AU62" s="2616"/>
      <c r="AV62" s="2616"/>
      <c r="AW62" s="2616"/>
      <c r="AX62" s="2616"/>
      <c r="AY62" s="2616"/>
      <c r="AZ62" s="2616"/>
    </row>
    <row r="63" spans="1:52" ht="15" thickBot="1">
      <c r="A63" s="2343" t="s">
        <v>2176</v>
      </c>
      <c r="B63" s="233"/>
      <c r="C63" s="2610"/>
      <c r="D63" s="2619"/>
      <c r="E63" s="2610"/>
      <c r="F63" s="2610"/>
      <c r="G63" s="2610"/>
      <c r="H63" s="2610"/>
      <c r="I63" s="2610"/>
      <c r="J63" s="2610"/>
      <c r="K63" s="2618"/>
      <c r="L63" s="2618"/>
      <c r="M63" s="2616"/>
      <c r="N63" s="2616"/>
      <c r="O63" s="2616"/>
      <c r="P63" s="2616"/>
      <c r="Q63" s="2616"/>
      <c r="R63" s="2616"/>
      <c r="S63" s="2616"/>
      <c r="T63" s="2616"/>
      <c r="U63" s="2616"/>
      <c r="V63" s="2616"/>
      <c r="W63" s="2616"/>
      <c r="X63" s="2616"/>
      <c r="Y63" s="2616"/>
      <c r="Z63" s="2616"/>
      <c r="AA63" s="2616"/>
      <c r="AB63" s="2616"/>
      <c r="AC63" s="2616"/>
      <c r="AD63" s="2616"/>
      <c r="AE63" s="2616"/>
      <c r="AF63" s="2616"/>
      <c r="AG63" s="2616"/>
      <c r="AH63" s="2616"/>
      <c r="AI63" s="2616"/>
      <c r="AJ63" s="2616"/>
      <c r="AK63" s="2616"/>
      <c r="AL63" s="2616"/>
      <c r="AM63" s="2616"/>
      <c r="AN63" s="2616"/>
      <c r="AO63" s="2616"/>
      <c r="AP63" s="2616"/>
      <c r="AQ63" s="2616"/>
      <c r="AR63" s="2616"/>
      <c r="AS63" s="2616"/>
      <c r="AT63" s="2616"/>
      <c r="AU63" s="2616"/>
      <c r="AV63" s="2616"/>
      <c r="AW63" s="2616"/>
      <c r="AX63" s="2616"/>
      <c r="AY63" s="2616"/>
      <c r="AZ63" s="2616"/>
    </row>
    <row r="64" spans="1:52" s="237" customFormat="1">
      <c r="A64" s="234"/>
      <c r="D64" s="1641"/>
      <c r="K64" s="53"/>
      <c r="L64" s="53"/>
    </row>
    <row r="65" spans="1:12" s="237" customFormat="1">
      <c r="A65" s="234"/>
      <c r="D65" s="1641"/>
      <c r="K65" s="53"/>
      <c r="L65" s="53"/>
    </row>
    <row r="66" spans="1:12" s="237" customFormat="1">
      <c r="A66" s="234"/>
      <c r="D66" s="1641"/>
      <c r="K66" s="53"/>
      <c r="L66" s="53"/>
    </row>
    <row r="67" spans="1:12" s="237" customFormat="1">
      <c r="A67" s="234"/>
      <c r="D67" s="1641"/>
      <c r="K67" s="53"/>
      <c r="L67" s="53"/>
    </row>
    <row r="68" spans="1:12" s="237" customFormat="1">
      <c r="A68" s="234"/>
      <c r="D68" s="1641"/>
      <c r="K68" s="53"/>
      <c r="L68" s="53"/>
    </row>
    <row r="69" spans="1:12" s="237" customFormat="1">
      <c r="A69" s="234"/>
      <c r="D69" s="1641"/>
      <c r="K69" s="53"/>
      <c r="L69" s="53"/>
    </row>
    <row r="70" spans="1:12" s="237" customFormat="1">
      <c r="A70" s="234"/>
      <c r="D70" s="1641"/>
      <c r="K70" s="53"/>
      <c r="L70" s="53"/>
    </row>
    <row r="71" spans="1:12" s="237" customFormat="1">
      <c r="A71" s="234"/>
      <c r="D71" s="1641"/>
      <c r="K71" s="53"/>
      <c r="L71" s="53"/>
    </row>
    <row r="72" spans="1:12" s="237" customFormat="1">
      <c r="A72" s="234"/>
      <c r="D72" s="1641"/>
      <c r="K72" s="53"/>
      <c r="L72" s="53"/>
    </row>
    <row r="73" spans="1:12" s="237" customFormat="1">
      <c r="A73" s="234"/>
      <c r="D73" s="1641"/>
      <c r="K73" s="53"/>
      <c r="L73" s="53"/>
    </row>
    <row r="74" spans="1:12" s="237" customFormat="1">
      <c r="A74" s="234"/>
      <c r="D74" s="1641"/>
      <c r="K74" s="53"/>
      <c r="L74" s="53"/>
    </row>
    <row r="75" spans="1:12" s="237" customFormat="1">
      <c r="A75" s="234"/>
      <c r="D75" s="1641"/>
      <c r="K75" s="53"/>
      <c r="L75" s="53"/>
    </row>
    <row r="76" spans="1:12" s="237" customFormat="1">
      <c r="A76" s="234"/>
      <c r="D76" s="1641"/>
      <c r="K76" s="53"/>
      <c r="L76" s="53"/>
    </row>
    <row r="77" spans="1:12" s="237" customFormat="1">
      <c r="A77" s="234"/>
      <c r="D77" s="1641"/>
      <c r="K77" s="53"/>
      <c r="L77" s="53"/>
    </row>
    <row r="78" spans="1:12" s="237" customFormat="1">
      <c r="A78" s="234"/>
      <c r="D78" s="1641"/>
      <c r="K78" s="53"/>
      <c r="L78" s="53"/>
    </row>
    <row r="79" spans="1:12" s="237" customFormat="1">
      <c r="A79" s="234"/>
      <c r="D79" s="1641"/>
      <c r="K79" s="53"/>
      <c r="L79" s="53"/>
    </row>
    <row r="80" spans="1:12" s="237" customFormat="1">
      <c r="A80" s="234"/>
      <c r="D80" s="1641"/>
      <c r="K80" s="53"/>
      <c r="L80" s="53"/>
    </row>
    <row r="81" spans="1:12" s="237" customFormat="1">
      <c r="A81" s="234"/>
      <c r="D81" s="1641"/>
      <c r="K81" s="53"/>
      <c r="L81" s="53"/>
    </row>
    <row r="82" spans="1:12" s="237" customFormat="1">
      <c r="A82" s="234"/>
      <c r="D82" s="1641"/>
      <c r="K82" s="53"/>
      <c r="L82" s="53"/>
    </row>
    <row r="83" spans="1:12" s="237" customFormat="1">
      <c r="A83" s="234"/>
      <c r="D83" s="1641"/>
      <c r="K83" s="53"/>
      <c r="L83" s="53"/>
    </row>
    <row r="84" spans="1:12" s="237" customFormat="1">
      <c r="A84" s="234"/>
      <c r="D84" s="1641"/>
      <c r="K84" s="53"/>
      <c r="L84" s="53"/>
    </row>
    <row r="85" spans="1:12" s="237" customFormat="1">
      <c r="A85" s="234"/>
      <c r="D85" s="1641"/>
      <c r="K85" s="53"/>
      <c r="L85" s="53"/>
    </row>
    <row r="86" spans="1:12" s="237" customFormat="1">
      <c r="A86" s="234"/>
      <c r="D86" s="1641"/>
      <c r="K86" s="53"/>
      <c r="L86" s="53"/>
    </row>
    <row r="87" spans="1:12" s="237" customFormat="1">
      <c r="A87" s="234"/>
      <c r="D87" s="1641"/>
      <c r="K87" s="53"/>
      <c r="L87" s="53"/>
    </row>
    <row r="88" spans="1:12" s="237" customFormat="1">
      <c r="A88" s="234"/>
      <c r="D88" s="1641"/>
      <c r="K88" s="53"/>
      <c r="L88" s="53"/>
    </row>
    <row r="89" spans="1:12" s="237" customFormat="1">
      <c r="A89" s="234"/>
      <c r="D89" s="1641"/>
      <c r="K89" s="53"/>
      <c r="L89" s="53"/>
    </row>
    <row r="90" spans="1:12" s="237" customFormat="1">
      <c r="A90" s="234"/>
      <c r="D90" s="1641"/>
      <c r="K90" s="53"/>
      <c r="L90" s="53"/>
    </row>
    <row r="91" spans="1:12" s="237" customFormat="1">
      <c r="A91" s="234"/>
      <c r="D91" s="1641"/>
      <c r="K91" s="53"/>
      <c r="L91" s="53"/>
    </row>
    <row r="92" spans="1:12" s="237" customFormat="1">
      <c r="A92" s="234"/>
      <c r="D92" s="1641"/>
      <c r="K92" s="53"/>
      <c r="L92" s="53"/>
    </row>
    <row r="93" spans="1:12" s="237" customFormat="1">
      <c r="A93" s="234"/>
      <c r="D93" s="1641"/>
      <c r="K93" s="53"/>
      <c r="L93" s="53"/>
    </row>
    <row r="94" spans="1:12" s="237" customFormat="1">
      <c r="A94" s="234"/>
      <c r="D94" s="1641"/>
      <c r="K94" s="53"/>
      <c r="L94" s="53"/>
    </row>
    <row r="95" spans="1:12" s="237" customFormat="1">
      <c r="A95" s="234"/>
      <c r="D95" s="1641"/>
      <c r="K95" s="53"/>
      <c r="L95" s="53"/>
    </row>
    <row r="96" spans="1:12" s="237" customFormat="1">
      <c r="A96" s="234"/>
      <c r="D96" s="1641"/>
      <c r="K96" s="53"/>
      <c r="L96" s="53"/>
    </row>
    <row r="97" spans="1:12" s="237" customFormat="1">
      <c r="A97" s="234"/>
      <c r="D97" s="1641"/>
      <c r="K97" s="53"/>
      <c r="L97" s="53"/>
    </row>
    <row r="98" spans="1:12" s="237" customFormat="1">
      <c r="A98" s="234"/>
      <c r="D98" s="1641"/>
      <c r="K98" s="53"/>
      <c r="L98" s="53"/>
    </row>
    <row r="99" spans="1:12" s="237" customFormat="1">
      <c r="A99" s="234"/>
      <c r="D99" s="1641"/>
      <c r="K99" s="53"/>
      <c r="L99" s="53"/>
    </row>
    <row r="100" spans="1:12" s="237" customFormat="1">
      <c r="A100" s="234"/>
      <c r="D100" s="1641"/>
      <c r="K100" s="53"/>
      <c r="L100" s="53"/>
    </row>
    <row r="101" spans="1:12" s="237" customFormat="1">
      <c r="A101" s="234"/>
      <c r="D101" s="1641"/>
      <c r="K101" s="53"/>
      <c r="L101" s="53"/>
    </row>
    <row r="102" spans="1:12" s="237" customFormat="1">
      <c r="A102" s="234"/>
      <c r="D102" s="1641"/>
      <c r="K102" s="53"/>
      <c r="L102" s="53"/>
    </row>
    <row r="103" spans="1:12" s="237" customFormat="1">
      <c r="A103" s="234"/>
      <c r="D103" s="1641"/>
      <c r="K103" s="53"/>
      <c r="L103" s="53"/>
    </row>
    <row r="104" spans="1:12" s="237" customFormat="1">
      <c r="A104" s="234"/>
      <c r="D104" s="1641"/>
      <c r="K104" s="53"/>
      <c r="L104" s="53"/>
    </row>
    <row r="105" spans="1:12" s="237" customFormat="1">
      <c r="A105" s="234"/>
      <c r="D105" s="1641"/>
      <c r="K105" s="53"/>
      <c r="L105" s="53"/>
    </row>
    <row r="106" spans="1:12" s="237" customFormat="1">
      <c r="A106" s="234"/>
      <c r="D106" s="1641"/>
      <c r="K106" s="53"/>
      <c r="L106" s="53"/>
    </row>
    <row r="107" spans="1:12" s="237" customFormat="1">
      <c r="A107" s="234"/>
      <c r="D107" s="1641"/>
      <c r="K107" s="53"/>
      <c r="L107" s="53"/>
    </row>
    <row r="108" spans="1:12" s="237" customFormat="1">
      <c r="A108" s="234"/>
      <c r="D108" s="1641"/>
      <c r="K108" s="53"/>
      <c r="L108" s="53"/>
    </row>
    <row r="109" spans="1:12" s="237" customFormat="1">
      <c r="A109" s="234"/>
      <c r="D109" s="1641"/>
      <c r="K109" s="53"/>
      <c r="L109" s="53"/>
    </row>
    <row r="110" spans="1:12" s="237" customFormat="1">
      <c r="A110" s="234"/>
      <c r="D110" s="1641"/>
      <c r="K110" s="53"/>
      <c r="L110" s="53"/>
    </row>
    <row r="111" spans="1:12" s="237" customFormat="1">
      <c r="A111" s="234"/>
      <c r="D111" s="1641"/>
      <c r="K111" s="53"/>
      <c r="L111" s="53"/>
    </row>
    <row r="112" spans="1:12" s="237" customFormat="1">
      <c r="A112" s="234"/>
      <c r="D112" s="1641"/>
      <c r="K112" s="53"/>
      <c r="L112" s="53"/>
    </row>
    <row r="113" spans="1:12" s="237" customFormat="1">
      <c r="A113" s="234"/>
      <c r="D113" s="1641"/>
      <c r="K113" s="53"/>
      <c r="L113" s="53"/>
    </row>
    <row r="114" spans="1:12" s="237" customFormat="1">
      <c r="A114" s="234"/>
      <c r="D114" s="1641"/>
      <c r="K114" s="53"/>
      <c r="L114" s="53"/>
    </row>
    <row r="115" spans="1:12" s="237" customFormat="1">
      <c r="A115" s="234"/>
      <c r="D115" s="1641"/>
      <c r="K115" s="53"/>
      <c r="L115" s="53"/>
    </row>
    <row r="116" spans="1:12" s="237" customFormat="1">
      <c r="A116" s="234"/>
      <c r="D116" s="1641"/>
      <c r="K116" s="53"/>
      <c r="L116" s="53"/>
    </row>
    <row r="117" spans="1:12" s="237" customFormat="1">
      <c r="A117" s="234"/>
      <c r="D117" s="1641"/>
      <c r="K117" s="53"/>
      <c r="L117" s="53"/>
    </row>
    <row r="118" spans="1:12" s="237" customFormat="1">
      <c r="A118" s="234"/>
      <c r="D118" s="1641"/>
      <c r="K118" s="53"/>
      <c r="L118" s="53"/>
    </row>
    <row r="119" spans="1:12" s="237" customFormat="1">
      <c r="A119" s="234"/>
      <c r="D119" s="1641"/>
      <c r="K119" s="53"/>
      <c r="L119" s="53"/>
    </row>
    <row r="120" spans="1:12" s="237" customFormat="1">
      <c r="A120" s="234"/>
      <c r="D120" s="1641"/>
      <c r="K120" s="53"/>
      <c r="L120" s="53"/>
    </row>
    <row r="121" spans="1:12" s="237" customFormat="1">
      <c r="A121" s="234"/>
      <c r="D121" s="1641"/>
      <c r="K121" s="53"/>
      <c r="L121" s="53"/>
    </row>
    <row r="122" spans="1:12" s="237" customFormat="1">
      <c r="A122" s="234"/>
      <c r="D122" s="1641"/>
      <c r="K122" s="53"/>
      <c r="L122" s="53"/>
    </row>
    <row r="123" spans="1:12" s="237" customFormat="1">
      <c r="A123" s="234"/>
      <c r="D123" s="1641"/>
      <c r="K123" s="53"/>
      <c r="L123" s="53"/>
    </row>
    <row r="124" spans="1:12" s="237" customFormat="1">
      <c r="A124" s="234"/>
      <c r="D124" s="1641"/>
      <c r="K124" s="53"/>
      <c r="L124" s="53"/>
    </row>
    <row r="125" spans="1:12" s="237" customFormat="1">
      <c r="A125" s="234"/>
      <c r="D125" s="1641"/>
      <c r="K125" s="53"/>
      <c r="L125" s="53"/>
    </row>
    <row r="126" spans="1:12" s="237" customFormat="1">
      <c r="A126" s="234"/>
      <c r="D126" s="1641"/>
      <c r="K126" s="53"/>
      <c r="L126" s="53"/>
    </row>
    <row r="127" spans="1:12" s="237" customFormat="1">
      <c r="A127" s="234"/>
      <c r="D127" s="1641"/>
      <c r="K127" s="53"/>
      <c r="L127" s="53"/>
    </row>
    <row r="128" spans="1:12" s="237" customFormat="1">
      <c r="A128" s="234"/>
      <c r="D128" s="1641"/>
      <c r="K128" s="53"/>
      <c r="L128" s="53"/>
    </row>
    <row r="129" spans="1:12" s="237" customFormat="1">
      <c r="A129" s="234"/>
      <c r="D129" s="1641"/>
      <c r="K129" s="53"/>
      <c r="L129" s="53"/>
    </row>
    <row r="130" spans="1:12" s="237" customFormat="1">
      <c r="A130" s="234"/>
      <c r="D130" s="1641"/>
      <c r="K130" s="53"/>
      <c r="L130" s="53"/>
    </row>
    <row r="131" spans="1:12" s="237" customFormat="1">
      <c r="A131" s="234"/>
      <c r="D131" s="1641"/>
      <c r="K131" s="53"/>
      <c r="L131" s="53"/>
    </row>
    <row r="132" spans="1:12" s="237" customFormat="1">
      <c r="A132" s="234"/>
      <c r="D132" s="1641"/>
      <c r="K132" s="53"/>
      <c r="L132" s="53"/>
    </row>
    <row r="133" spans="1:12" s="237" customFormat="1">
      <c r="A133" s="234"/>
      <c r="D133" s="1641"/>
      <c r="K133" s="53"/>
      <c r="L133" s="53"/>
    </row>
    <row r="134" spans="1:12" s="237" customFormat="1">
      <c r="A134" s="234"/>
      <c r="D134" s="1641"/>
      <c r="K134" s="53"/>
      <c r="L134" s="53"/>
    </row>
    <row r="135" spans="1:12" s="237" customFormat="1">
      <c r="A135" s="234"/>
      <c r="D135" s="1641"/>
      <c r="K135" s="53"/>
      <c r="L135" s="53"/>
    </row>
    <row r="136" spans="1:12" s="237" customFormat="1">
      <c r="A136" s="234"/>
      <c r="D136" s="1641"/>
      <c r="K136" s="53"/>
      <c r="L136" s="53"/>
    </row>
    <row r="137" spans="1:12" s="237" customFormat="1">
      <c r="A137" s="234"/>
      <c r="D137" s="1641"/>
      <c r="K137" s="53"/>
      <c r="L137" s="53"/>
    </row>
    <row r="138" spans="1:12" s="237" customFormat="1">
      <c r="A138" s="234"/>
      <c r="D138" s="1641"/>
      <c r="K138" s="53"/>
      <c r="L138" s="53"/>
    </row>
    <row r="139" spans="1:12" s="237" customFormat="1">
      <c r="A139" s="234"/>
      <c r="D139" s="1641"/>
      <c r="K139" s="53"/>
      <c r="L139" s="53"/>
    </row>
    <row r="140" spans="1:12" s="237" customFormat="1">
      <c r="A140" s="234"/>
      <c r="D140" s="1641"/>
      <c r="K140" s="53"/>
      <c r="L140" s="53"/>
    </row>
    <row r="141" spans="1:12" s="237" customFormat="1">
      <c r="A141" s="234"/>
      <c r="D141" s="1641"/>
      <c r="K141" s="53"/>
      <c r="L141" s="53"/>
    </row>
    <row r="142" spans="1:12" s="237" customFormat="1">
      <c r="A142" s="234"/>
      <c r="D142" s="1641"/>
      <c r="K142" s="53"/>
      <c r="L142" s="53"/>
    </row>
    <row r="143" spans="1:12" s="237" customFormat="1">
      <c r="A143" s="234"/>
      <c r="D143" s="1641"/>
      <c r="K143" s="53"/>
      <c r="L143" s="53"/>
    </row>
    <row r="144" spans="1:12" s="237" customFormat="1">
      <c r="A144" s="234"/>
      <c r="D144" s="1641"/>
      <c r="K144" s="53"/>
      <c r="L144" s="53"/>
    </row>
    <row r="145" spans="1:12" s="237" customFormat="1">
      <c r="A145" s="234"/>
      <c r="D145" s="1641"/>
      <c r="K145" s="53"/>
      <c r="L145" s="53"/>
    </row>
    <row r="146" spans="1:12" s="237" customFormat="1">
      <c r="A146" s="234"/>
      <c r="D146" s="1641"/>
      <c r="K146" s="53"/>
      <c r="L146" s="53"/>
    </row>
    <row r="147" spans="1:12" s="237" customFormat="1">
      <c r="A147" s="234"/>
      <c r="D147" s="1641"/>
      <c r="K147" s="53"/>
      <c r="L147" s="53"/>
    </row>
    <row r="148" spans="1:12" s="237" customFormat="1">
      <c r="A148" s="234"/>
      <c r="D148" s="1641"/>
      <c r="K148" s="53"/>
      <c r="L148" s="53"/>
    </row>
    <row r="149" spans="1:12" s="237" customFormat="1">
      <c r="A149" s="234"/>
      <c r="D149" s="1641"/>
      <c r="K149" s="53"/>
      <c r="L149" s="53"/>
    </row>
    <row r="150" spans="1:12" s="237" customFormat="1">
      <c r="A150" s="234"/>
      <c r="D150" s="1641"/>
      <c r="K150" s="53"/>
      <c r="L150" s="53"/>
    </row>
    <row r="151" spans="1:12" s="237" customFormat="1">
      <c r="A151" s="234"/>
      <c r="D151" s="1641"/>
      <c r="K151" s="53"/>
      <c r="L151" s="53"/>
    </row>
    <row r="152" spans="1:12" s="237" customFormat="1">
      <c r="A152" s="234"/>
      <c r="D152" s="1641"/>
      <c r="K152" s="53"/>
      <c r="L152" s="53"/>
    </row>
    <row r="153" spans="1:12" s="237" customFormat="1">
      <c r="A153" s="234"/>
      <c r="D153" s="1641"/>
      <c r="K153" s="53"/>
      <c r="L153" s="53"/>
    </row>
    <row r="154" spans="1:12" s="237" customFormat="1">
      <c r="A154" s="234"/>
      <c r="D154" s="1641"/>
      <c r="K154" s="53"/>
      <c r="L154" s="53"/>
    </row>
    <row r="155" spans="1:12" s="237" customFormat="1">
      <c r="A155" s="234"/>
      <c r="D155" s="1641"/>
      <c r="K155" s="53"/>
      <c r="L155" s="53"/>
    </row>
    <row r="156" spans="1:12" s="237" customFormat="1">
      <c r="A156" s="234"/>
      <c r="D156" s="1641"/>
      <c r="K156" s="53"/>
      <c r="L156" s="53"/>
    </row>
    <row r="157" spans="1:12" s="237" customFormat="1">
      <c r="A157" s="234"/>
      <c r="D157" s="1641"/>
      <c r="K157" s="53"/>
      <c r="L157" s="53"/>
    </row>
    <row r="158" spans="1:12" s="237" customFormat="1">
      <c r="A158" s="234"/>
      <c r="D158" s="1641"/>
      <c r="K158" s="53"/>
      <c r="L158" s="53"/>
    </row>
    <row r="159" spans="1:12" s="237" customFormat="1">
      <c r="A159" s="234"/>
      <c r="D159" s="1641"/>
      <c r="K159" s="53"/>
      <c r="L159" s="53"/>
    </row>
    <row r="160" spans="1:12" s="237" customFormat="1">
      <c r="A160" s="234"/>
      <c r="D160" s="1641"/>
      <c r="K160" s="53"/>
      <c r="L160" s="53"/>
    </row>
    <row r="161" spans="1:12" s="237" customFormat="1">
      <c r="A161" s="234"/>
      <c r="D161" s="1641"/>
      <c r="K161" s="53"/>
      <c r="L161" s="53"/>
    </row>
    <row r="162" spans="1:12" s="237" customFormat="1">
      <c r="A162" s="234"/>
      <c r="D162" s="1641"/>
      <c r="K162" s="53"/>
      <c r="L162" s="53"/>
    </row>
    <row r="163" spans="1:12" s="237" customFormat="1">
      <c r="A163" s="234"/>
      <c r="D163" s="1641"/>
      <c r="K163" s="53"/>
      <c r="L163" s="53"/>
    </row>
    <row r="164" spans="1:12" s="237" customFormat="1">
      <c r="A164" s="234"/>
      <c r="D164" s="1641"/>
      <c r="K164" s="53"/>
      <c r="L164" s="53"/>
    </row>
    <row r="165" spans="1:12" s="237" customFormat="1">
      <c r="A165" s="234"/>
      <c r="D165" s="1641"/>
      <c r="K165" s="53"/>
      <c r="L165" s="53"/>
    </row>
    <row r="166" spans="1:12" s="237" customFormat="1">
      <c r="A166" s="234"/>
      <c r="D166" s="1641"/>
      <c r="K166" s="53"/>
      <c r="L166" s="53"/>
    </row>
    <row r="167" spans="1:12" s="237" customFormat="1">
      <c r="A167" s="234"/>
      <c r="D167" s="1641"/>
      <c r="K167" s="53"/>
      <c r="L167" s="53"/>
    </row>
    <row r="168" spans="1:12" s="237" customFormat="1">
      <c r="A168" s="234"/>
      <c r="D168" s="1641"/>
      <c r="K168" s="53"/>
      <c r="L168" s="53"/>
    </row>
    <row r="169" spans="1:12" s="237" customFormat="1">
      <c r="A169" s="234"/>
      <c r="D169" s="1641"/>
      <c r="K169" s="53"/>
      <c r="L169" s="53"/>
    </row>
    <row r="170" spans="1:12" s="237" customFormat="1">
      <c r="A170" s="234"/>
      <c r="D170" s="1641"/>
      <c r="K170" s="53"/>
      <c r="L170" s="53"/>
    </row>
    <row r="171" spans="1:12" s="237" customFormat="1">
      <c r="A171" s="234"/>
      <c r="D171" s="1641"/>
      <c r="K171" s="53"/>
      <c r="L171" s="53"/>
    </row>
    <row r="172" spans="1:12" s="237" customFormat="1">
      <c r="A172" s="234"/>
      <c r="D172" s="1641"/>
      <c r="K172" s="53"/>
      <c r="L172" s="53"/>
    </row>
    <row r="173" spans="1:12" s="237" customFormat="1">
      <c r="A173" s="234"/>
      <c r="D173" s="1641"/>
      <c r="K173" s="53"/>
      <c r="L173" s="53"/>
    </row>
    <row r="174" spans="1:12" s="237" customFormat="1">
      <c r="A174" s="234"/>
      <c r="D174" s="1641"/>
      <c r="K174" s="53"/>
      <c r="L174" s="53"/>
    </row>
    <row r="175" spans="1:12" s="237" customFormat="1">
      <c r="A175" s="234"/>
      <c r="D175" s="1641"/>
      <c r="K175" s="53"/>
      <c r="L175" s="53"/>
    </row>
    <row r="176" spans="1:12" s="237" customFormat="1">
      <c r="A176" s="234"/>
      <c r="D176" s="1641"/>
      <c r="K176" s="53"/>
      <c r="L176" s="53"/>
    </row>
    <row r="177" spans="1:12" s="237" customFormat="1">
      <c r="A177" s="234"/>
      <c r="D177" s="1641"/>
      <c r="K177" s="53"/>
      <c r="L177" s="53"/>
    </row>
    <row r="178" spans="1:12" s="237" customFormat="1">
      <c r="A178" s="234"/>
      <c r="D178" s="1641"/>
      <c r="K178" s="53"/>
      <c r="L178" s="53"/>
    </row>
    <row r="179" spans="1:12" s="237" customFormat="1">
      <c r="A179" s="234"/>
      <c r="D179" s="1641"/>
      <c r="K179" s="53"/>
      <c r="L179" s="53"/>
    </row>
    <row r="180" spans="1:12" s="237" customFormat="1">
      <c r="A180" s="234"/>
      <c r="D180" s="1641"/>
      <c r="K180" s="53"/>
      <c r="L180" s="53"/>
    </row>
    <row r="181" spans="1:12" s="237" customFormat="1">
      <c r="A181" s="234"/>
      <c r="D181" s="1641"/>
      <c r="K181" s="53"/>
      <c r="L181" s="53"/>
    </row>
    <row r="182" spans="1:12" s="237" customFormat="1">
      <c r="A182" s="234"/>
      <c r="D182" s="1641"/>
      <c r="K182" s="53"/>
      <c r="L182" s="53"/>
    </row>
    <row r="183" spans="1:12" s="237" customFormat="1">
      <c r="A183" s="234"/>
      <c r="D183" s="1641"/>
      <c r="K183" s="53"/>
      <c r="L183" s="53"/>
    </row>
    <row r="184" spans="1:12" s="237" customFormat="1">
      <c r="A184" s="234"/>
      <c r="D184" s="1641"/>
      <c r="K184" s="53"/>
      <c r="L184" s="53"/>
    </row>
    <row r="185" spans="1:12" s="237" customFormat="1">
      <c r="A185" s="234"/>
      <c r="D185" s="1641"/>
      <c r="K185" s="53"/>
      <c r="L185" s="53"/>
    </row>
    <row r="186" spans="1:12" s="237" customFormat="1">
      <c r="A186" s="234"/>
      <c r="D186" s="1641"/>
      <c r="K186" s="53"/>
      <c r="L186" s="53"/>
    </row>
    <row r="187" spans="1:12" s="237" customFormat="1">
      <c r="A187" s="234"/>
      <c r="D187" s="1641"/>
      <c r="K187" s="53"/>
      <c r="L187" s="53"/>
    </row>
    <row r="188" spans="1:12" s="237" customFormat="1">
      <c r="A188" s="234"/>
      <c r="D188" s="1641"/>
      <c r="K188" s="53"/>
      <c r="L188" s="53"/>
    </row>
    <row r="189" spans="1:12" s="237" customFormat="1">
      <c r="A189" s="234"/>
      <c r="D189" s="1641"/>
      <c r="K189" s="53"/>
      <c r="L189" s="53"/>
    </row>
    <row r="190" spans="1:12" s="237" customFormat="1">
      <c r="A190" s="234"/>
      <c r="D190" s="1641"/>
      <c r="K190" s="53"/>
      <c r="L190" s="53"/>
    </row>
    <row r="191" spans="1:12" s="237" customFormat="1">
      <c r="A191" s="234"/>
      <c r="D191" s="1641"/>
      <c r="K191" s="53"/>
      <c r="L191" s="53"/>
    </row>
    <row r="192" spans="1:12" s="237" customFormat="1">
      <c r="A192" s="234"/>
      <c r="D192" s="1641"/>
      <c r="K192" s="53"/>
      <c r="L192" s="53"/>
    </row>
  </sheetData>
  <sheetProtection password="CEE9" sheet="1" objects="1" scenarios="1"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2645" customWidth="1"/>
    <col min="2" max="2" width="23.5" style="2666" customWidth="1"/>
    <col min="3" max="3" width="32.25" style="2666" customWidth="1"/>
    <col min="4" max="4" width="2.625" style="2666" customWidth="1"/>
    <col min="5" max="5" width="5.875" style="2666" customWidth="1"/>
    <col min="6" max="6" width="23.625" style="2666" customWidth="1"/>
    <col min="7" max="7" width="33.375" style="2666" customWidth="1"/>
    <col min="8" max="8" width="11.875" style="2666" customWidth="1"/>
    <col min="9" max="9" width="16.75" style="2666" customWidth="1"/>
    <col min="10" max="10" width="2.625" style="2666" customWidth="1"/>
    <col min="11" max="11" width="11.875" style="2666" customWidth="1"/>
    <col min="12" max="12" width="16.75" style="2666" customWidth="1"/>
    <col min="13" max="13" width="2.625" style="2666" customWidth="1"/>
    <col min="14" max="14" width="11.875" style="2666" customWidth="1"/>
    <col min="15" max="15" width="16.75" style="2666" customWidth="1"/>
    <col min="16" max="16" width="2.625" style="2666" customWidth="1"/>
    <col min="17" max="17" width="11.875" style="2666" customWidth="1"/>
    <col min="18" max="18" width="16.75" style="2645" customWidth="1"/>
    <col min="19" max="16384" width="9" style="2645"/>
  </cols>
  <sheetData>
    <row r="1" spans="1:18" s="2639" customFormat="1" ht="19.5" thickBot="1">
      <c r="A1" s="3495" t="s">
        <v>1198</v>
      </c>
      <c r="B1" s="3496"/>
      <c r="C1" s="3496"/>
      <c r="D1" s="3496"/>
      <c r="E1" s="3496"/>
      <c r="F1" s="3496"/>
      <c r="G1" s="3496"/>
      <c r="H1" s="2637"/>
      <c r="I1" s="2637"/>
      <c r="J1" s="2637"/>
      <c r="K1" s="2637"/>
      <c r="L1" s="2637"/>
      <c r="M1" s="2637"/>
      <c r="N1" s="2637"/>
      <c r="O1" s="2637"/>
      <c r="P1" s="2637"/>
      <c r="Q1" s="2638"/>
    </row>
    <row r="2" spans="1:18" ht="14.25" thickBot="1">
      <c r="A2" s="2640"/>
      <c r="B2" s="2641"/>
      <c r="C2" s="2642" t="s">
        <v>1199</v>
      </c>
      <c r="D2" s="2643"/>
      <c r="E2" s="2640"/>
      <c r="F2" s="2644"/>
      <c r="G2" s="2642" t="s">
        <v>1200</v>
      </c>
      <c r="H2" s="2645"/>
      <c r="I2" s="2645"/>
      <c r="J2" s="2645"/>
      <c r="K2" s="2645"/>
      <c r="L2" s="2645"/>
      <c r="M2" s="2645"/>
      <c r="N2" s="2645"/>
      <c r="O2" s="2645"/>
      <c r="P2" s="2645"/>
      <c r="Q2" s="2645"/>
    </row>
    <row r="3" spans="1:18" ht="28.5">
      <c r="A3" s="2646" t="s">
        <v>1201</v>
      </c>
      <c r="B3" s="2647" t="s">
        <v>1188</v>
      </c>
      <c r="C3" s="2648"/>
      <c r="D3" s="2649"/>
      <c r="E3" s="2650" t="s">
        <v>1201</v>
      </c>
      <c r="F3" s="2651" t="s">
        <v>1189</v>
      </c>
      <c r="G3" s="2652" t="s">
        <v>2181</v>
      </c>
      <c r="H3" s="2645"/>
      <c r="I3" s="2645"/>
      <c r="J3" s="2645"/>
      <c r="K3" s="2645"/>
      <c r="L3" s="2645"/>
      <c r="M3" s="2645"/>
      <c r="N3" s="2645"/>
      <c r="O3" s="2645"/>
      <c r="P3" s="2645"/>
      <c r="Q3" s="2645"/>
    </row>
    <row r="4" spans="1:18" ht="40.5">
      <c r="A4" s="2650"/>
      <c r="B4" s="2653" t="s">
        <v>1202</v>
      </c>
      <c r="C4" s="3400" t="s">
        <v>3359</v>
      </c>
      <c r="D4" s="2649"/>
      <c r="E4" s="2655"/>
      <c r="F4" s="2656" t="s">
        <v>1203</v>
      </c>
      <c r="G4" s="2657" t="s">
        <v>2178</v>
      </c>
      <c r="H4" s="2645"/>
      <c r="I4" s="2645"/>
      <c r="J4" s="2645"/>
      <c r="K4" s="2645"/>
      <c r="L4" s="2645"/>
      <c r="M4" s="2645"/>
      <c r="N4" s="2645"/>
      <c r="O4" s="2645"/>
      <c r="P4" s="2645"/>
      <c r="Q4" s="2645"/>
    </row>
    <row r="5" spans="1:18" ht="27">
      <c r="A5" s="2650"/>
      <c r="B5" s="2653" t="s">
        <v>1204</v>
      </c>
      <c r="C5" s="2654"/>
      <c r="D5" s="2649"/>
      <c r="E5" s="2655"/>
      <c r="F5" s="2653" t="s">
        <v>1829</v>
      </c>
      <c r="G5" s="2657" t="s">
        <v>2179</v>
      </c>
      <c r="H5" s="2645"/>
      <c r="I5" s="2645"/>
      <c r="J5" s="2645"/>
      <c r="K5" s="2645"/>
      <c r="L5" s="2645"/>
      <c r="M5" s="2645"/>
      <c r="N5" s="2645"/>
      <c r="O5" s="2645"/>
      <c r="P5" s="2645"/>
      <c r="Q5" s="2645"/>
    </row>
    <row r="6" spans="1:18" ht="54">
      <c r="A6" s="2650"/>
      <c r="B6" s="2653" t="s">
        <v>1190</v>
      </c>
      <c r="C6" s="3401" t="s">
        <v>3336</v>
      </c>
      <c r="D6" s="2649"/>
      <c r="E6" s="2655"/>
      <c r="F6" s="2653" t="s">
        <v>1830</v>
      </c>
      <c r="G6" s="2657" t="s">
        <v>2177</v>
      </c>
      <c r="H6" s="2645"/>
      <c r="I6" s="2645"/>
      <c r="J6" s="2645"/>
      <c r="K6" s="2645"/>
      <c r="L6" s="2645"/>
      <c r="M6" s="2645"/>
      <c r="N6" s="2645"/>
      <c r="O6" s="2645"/>
      <c r="P6" s="2645"/>
      <c r="Q6" s="2645"/>
    </row>
    <row r="7" spans="1:18" ht="27.75" thickBot="1">
      <c r="A7" s="2650"/>
      <c r="B7" s="2653" t="s">
        <v>1829</v>
      </c>
      <c r="C7" s="3401" t="s">
        <v>3337</v>
      </c>
      <c r="D7" s="2658"/>
      <c r="E7" s="2659"/>
      <c r="F7" s="2660" t="s">
        <v>1205</v>
      </c>
      <c r="G7" s="2661" t="s">
        <v>2180</v>
      </c>
      <c r="H7" s="2645"/>
      <c r="I7" s="2645"/>
      <c r="J7" s="2645"/>
      <c r="K7" s="2645"/>
      <c r="L7" s="2645"/>
      <c r="M7" s="2645"/>
      <c r="N7" s="2645"/>
      <c r="O7" s="2645"/>
      <c r="P7" s="2645"/>
      <c r="Q7" s="2645"/>
    </row>
    <row r="8" spans="1:18">
      <c r="A8" s="2650"/>
      <c r="B8" s="2653" t="s">
        <v>1830</v>
      </c>
      <c r="C8" s="3401" t="s">
        <v>3338</v>
      </c>
      <c r="D8" s="2658"/>
      <c r="E8" s="2658"/>
      <c r="F8" s="2662"/>
      <c r="G8" s="2662"/>
      <c r="H8" s="2645"/>
      <c r="I8" s="2645"/>
      <c r="J8" s="2645"/>
      <c r="K8" s="2645"/>
      <c r="L8" s="2645"/>
      <c r="M8" s="2645"/>
      <c r="N8" s="2645"/>
      <c r="O8" s="2645"/>
      <c r="P8" s="2645"/>
      <c r="Q8" s="2645"/>
    </row>
    <row r="9" spans="1:18" ht="27">
      <c r="A9" s="2650"/>
      <c r="B9" s="2653" t="s">
        <v>1191</v>
      </c>
      <c r="C9" s="3400" t="s">
        <v>3362</v>
      </c>
      <c r="D9" s="2649"/>
      <c r="E9" s="2658"/>
      <c r="F9" s="2662"/>
      <c r="G9" s="2662"/>
      <c r="H9" s="2645"/>
      <c r="I9" s="2645"/>
      <c r="J9" s="2645"/>
      <c r="K9" s="2645"/>
      <c r="L9" s="2645"/>
      <c r="M9" s="2645"/>
      <c r="N9" s="2645"/>
      <c r="O9" s="2645"/>
      <c r="P9" s="2645"/>
      <c r="Q9" s="2645"/>
    </row>
    <row r="10" spans="1:18" ht="15" thickBot="1">
      <c r="A10" s="2663"/>
      <c r="B10" s="2664" t="s">
        <v>1206</v>
      </c>
      <c r="C10" s="2665" t="s">
        <v>3339</v>
      </c>
      <c r="D10" s="2649"/>
      <c r="E10" s="2649"/>
      <c r="F10" s="2662"/>
      <c r="G10" s="2662"/>
      <c r="J10" s="2667"/>
      <c r="M10" s="2667"/>
      <c r="P10" s="2667"/>
      <c r="R10" s="2666"/>
    </row>
    <row r="11" spans="1:18">
      <c r="A11" s="2668"/>
      <c r="B11" s="2658"/>
      <c r="C11" s="2649"/>
      <c r="D11" s="2649"/>
      <c r="E11" s="2649"/>
      <c r="F11" s="2658"/>
      <c r="G11" s="2658"/>
      <c r="J11" s="2667"/>
      <c r="M11" s="2667"/>
      <c r="P11" s="2667"/>
      <c r="R11" s="2666"/>
    </row>
    <row r="12" spans="1:18" s="2639" customFormat="1" ht="18.75">
      <c r="A12" s="2668"/>
      <c r="B12" s="2658"/>
      <c r="C12" s="2649"/>
      <c r="D12" s="2669"/>
      <c r="E12" s="2649"/>
      <c r="F12" s="2658"/>
      <c r="G12" s="2658"/>
      <c r="H12" s="2670"/>
      <c r="I12" s="2670"/>
      <c r="J12" s="2670"/>
      <c r="K12" s="2670"/>
      <c r="L12" s="2671"/>
      <c r="M12" s="2670"/>
      <c r="N12" s="2672"/>
      <c r="O12" s="2672"/>
      <c r="P12" s="2672"/>
      <c r="Q12" s="2672"/>
    </row>
    <row r="13" spans="1:18" ht="19.5" thickBot="1">
      <c r="A13" s="2673" t="s">
        <v>1207</v>
      </c>
      <c r="B13" s="2669"/>
      <c r="C13" s="2669"/>
      <c r="D13" s="2643"/>
      <c r="E13" s="2669"/>
      <c r="F13" s="2669"/>
      <c r="G13" s="2669"/>
    </row>
    <row r="14" spans="1:18" ht="14.25" thickBot="1">
      <c r="A14" s="2674"/>
      <c r="B14" s="2674"/>
      <c r="C14" s="2675" t="s">
        <v>1199</v>
      </c>
      <c r="D14" s="2649"/>
      <c r="E14" s="2676"/>
      <c r="F14" s="2676"/>
      <c r="G14" s="2642" t="s">
        <v>1200</v>
      </c>
    </row>
    <row r="15" spans="1:18" ht="27">
      <c r="A15" s="2677" t="s">
        <v>1192</v>
      </c>
      <c r="B15" s="2678" t="s">
        <v>1188</v>
      </c>
      <c r="C15" s="2679">
        <f>C3</f>
        <v>0</v>
      </c>
      <c r="D15" s="2649"/>
      <c r="E15" s="2680" t="s">
        <v>1193</v>
      </c>
      <c r="F15" s="2678" t="s">
        <v>1208</v>
      </c>
      <c r="G15" s="2681" t="str">
        <f>G3</f>
        <v>估价对象位于XX开发区，园区建设成熟度XX，产业集聚程度XX</v>
      </c>
    </row>
    <row r="16" spans="1:18" ht="40.5">
      <c r="A16" s="2682"/>
      <c r="B16" s="2683" t="s">
        <v>1202</v>
      </c>
      <c r="C16" s="2684" t="str">
        <f>C4</f>
        <v>估价对象周边商业氛围成熟度较差，人流量较少，住宅底商为主，商业繁华度较差</v>
      </c>
      <c r="D16" s="2649"/>
      <c r="E16" s="2685"/>
      <c r="F16" s="2686" t="s">
        <v>1203</v>
      </c>
      <c r="G16" s="2687" t="str">
        <f>G4</f>
        <v>估价对象周边道路状况、公共交通通达情况、停车便捷程度，综合评价交通便捷度较好</v>
      </c>
    </row>
    <row r="17" spans="1:7" ht="14.25">
      <c r="A17" s="2682"/>
      <c r="B17" s="2683" t="s">
        <v>1204</v>
      </c>
      <c r="C17" s="2684">
        <f>C5</f>
        <v>0</v>
      </c>
      <c r="D17" s="2658"/>
      <c r="E17" s="2685"/>
      <c r="F17" s="2686" t="s">
        <v>1209</v>
      </c>
      <c r="G17" s="2688"/>
    </row>
    <row r="18" spans="1:7" ht="54">
      <c r="A18" s="2682"/>
      <c r="B18" s="2686" t="s">
        <v>1190</v>
      </c>
      <c r="C18" s="2687" t="str">
        <f>C6</f>
        <v>估价对象周边道路状况一般、公共交通通达情况较差，有5、122路经过、停车便捷程度，综合评价交通便捷度一般</v>
      </c>
      <c r="D18" s="2658"/>
      <c r="E18" s="2685"/>
      <c r="F18" s="2686" t="s">
        <v>1205</v>
      </c>
      <c r="G18" s="2687" t="str">
        <f>G7</f>
        <v>该园区内是否有污染型企业，绿化情况，卫生条件，整体环境状况判断</v>
      </c>
    </row>
    <row r="19" spans="1:7" ht="27">
      <c r="A19" s="2682"/>
      <c r="B19" s="2686" t="s">
        <v>1194</v>
      </c>
      <c r="C19" s="2688"/>
      <c r="D19" s="2649"/>
      <c r="E19" s="2685"/>
      <c r="F19" s="2653" t="s">
        <v>1829</v>
      </c>
      <c r="G19" s="2687" t="str">
        <f>G5</f>
        <v>估价对象所在区域公共配套设施齐备情况</v>
      </c>
    </row>
    <row r="20" spans="1:7" ht="27">
      <c r="A20" s="2682"/>
      <c r="B20" s="2686" t="s">
        <v>1195</v>
      </c>
      <c r="C20" s="2684" t="str">
        <f>C9</f>
        <v>区域自然环境：；人文环境；综合评价环境状况较好</v>
      </c>
      <c r="D20" s="2658"/>
      <c r="E20" s="2685"/>
      <c r="F20" s="2653" t="s">
        <v>1830</v>
      </c>
      <c r="G20" s="2687" t="str">
        <f>G6</f>
        <v>估价对象所在区域基础设施水平</v>
      </c>
    </row>
    <row r="21" spans="1:7" ht="27">
      <c r="A21" s="2682"/>
      <c r="B21" s="2653" t="s">
        <v>1829</v>
      </c>
      <c r="C21" s="2687" t="str">
        <f>C7</f>
        <v>估价对象所在区域公共配套设施齐备情况较差</v>
      </c>
      <c r="D21" s="2649"/>
      <c r="E21" s="2685"/>
      <c r="F21" s="2686" t="s">
        <v>1196</v>
      </c>
      <c r="G21" s="2689"/>
    </row>
    <row r="22" spans="1:7" ht="14.25">
      <c r="A22" s="2682"/>
      <c r="B22" s="2653" t="s">
        <v>1830</v>
      </c>
      <c r="C22" s="2687" t="str">
        <f>C8</f>
        <v>六通</v>
      </c>
      <c r="D22" s="2649"/>
      <c r="E22" s="2685"/>
      <c r="F22" s="2686" t="s">
        <v>1206</v>
      </c>
      <c r="G22" s="2688"/>
    </row>
    <row r="23" spans="1:7" ht="15" thickBot="1">
      <c r="A23" s="2682"/>
      <c r="B23" s="2686" t="s">
        <v>1196</v>
      </c>
      <c r="C23" s="2689"/>
      <c r="E23" s="2690"/>
      <c r="F23" s="2691" t="s">
        <v>1210</v>
      </c>
      <c r="G23" s="2692"/>
    </row>
    <row r="24" spans="1:7" ht="14.25" thickBot="1">
      <c r="A24" s="2693"/>
      <c r="B24" s="2691" t="s">
        <v>1197</v>
      </c>
      <c r="C24" s="2694" t="str">
        <f>C10</f>
        <v>次干道-新华大道</v>
      </c>
      <c r="E24" s="2658"/>
      <c r="F24" s="2658"/>
      <c r="G24" s="2658"/>
    </row>
    <row r="25" spans="1:7">
      <c r="E25" s="2645"/>
      <c r="F25" s="2645"/>
      <c r="G25" s="2645"/>
    </row>
    <row r="26" spans="1:7">
      <c r="E26" s="2645"/>
      <c r="F26" s="2645"/>
      <c r="G26" s="2645"/>
    </row>
    <row r="27" spans="1:7">
      <c r="E27" s="2645"/>
      <c r="F27" s="2645"/>
      <c r="G27" s="2645"/>
    </row>
    <row r="28" spans="1:7">
      <c r="E28" s="2645"/>
      <c r="F28" s="2645"/>
      <c r="G28" s="2645"/>
    </row>
    <row r="29" spans="1:7">
      <c r="E29" s="2645"/>
      <c r="F29" s="2645"/>
      <c r="G29" s="2645"/>
    </row>
    <row r="30" spans="1:7">
      <c r="E30" s="2645"/>
      <c r="F30" s="2645"/>
      <c r="G30" s="2645"/>
    </row>
    <row r="31" spans="1:7">
      <c r="E31" s="2645"/>
      <c r="F31" s="2645"/>
      <c r="G31" s="2645"/>
    </row>
    <row r="32" spans="1:7">
      <c r="E32" s="2645"/>
      <c r="F32" s="2645"/>
      <c r="G32" s="2645"/>
    </row>
    <row r="33" spans="5:7">
      <c r="E33" s="2645"/>
      <c r="F33" s="2645"/>
      <c r="G33" s="2645"/>
    </row>
    <row r="34" spans="5:7">
      <c r="E34" s="2645"/>
      <c r="F34" s="2645"/>
      <c r="G34" s="2645"/>
    </row>
    <row r="35" spans="5:7">
      <c r="E35" s="2645"/>
      <c r="F35" s="2645"/>
      <c r="G35" s="2645"/>
    </row>
    <row r="36" spans="5:7">
      <c r="E36" s="2645"/>
      <c r="F36" s="2645"/>
      <c r="G36" s="2645"/>
    </row>
    <row r="37" spans="5:7">
      <c r="E37" s="2645"/>
      <c r="F37" s="2645"/>
      <c r="G37" s="2645"/>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G22" sqref="G22"/>
    </sheetView>
  </sheetViews>
  <sheetFormatPr defaultColWidth="14.625" defaultRowHeight="13.5"/>
  <cols>
    <col min="1" max="1" width="24.375" style="2696" customWidth="1"/>
    <col min="2" max="16384" width="14.625" style="2696"/>
  </cols>
  <sheetData>
    <row r="1" spans="1:10" ht="16.5">
      <c r="A1" s="2695" t="s">
        <v>2118</v>
      </c>
      <c r="B1" s="2695">
        <f>SUM(B14:B23)</f>
        <v>302725.5</v>
      </c>
      <c r="C1" s="2703"/>
      <c r="D1" s="2703"/>
      <c r="E1" s="2703"/>
      <c r="F1" s="2703"/>
      <c r="G1" s="2704"/>
      <c r="H1" s="2704"/>
      <c r="I1" s="2704"/>
      <c r="J1" s="2704"/>
    </row>
    <row r="2" spans="1:10" ht="16.5">
      <c r="A2" s="2695" t="s">
        <v>2119</v>
      </c>
      <c r="B2" s="2695">
        <f>SUM(C14:C23)</f>
        <v>86493.04</v>
      </c>
      <c r="C2" s="2703"/>
      <c r="D2" s="2703"/>
      <c r="E2" s="2703"/>
      <c r="F2" s="2703"/>
      <c r="G2" s="2704"/>
      <c r="H2" s="2704"/>
      <c r="I2" s="2704"/>
      <c r="J2" s="2704"/>
    </row>
    <row r="3" spans="1:10" ht="16.5">
      <c r="A3" s="2695" t="s">
        <v>2120</v>
      </c>
      <c r="B3" s="2697">
        <f>项目基本情况!D3</f>
        <v>45057</v>
      </c>
      <c r="C3" s="2703"/>
      <c r="D3" s="2703"/>
      <c r="E3" s="2703"/>
      <c r="F3" s="2703"/>
      <c r="G3" s="2704"/>
      <c r="H3" s="2704"/>
      <c r="I3" s="2704"/>
      <c r="J3" s="2704"/>
    </row>
    <row r="4" spans="1:10" ht="33">
      <c r="A4" s="2695" t="s">
        <v>2121</v>
      </c>
      <c r="B4" s="2695" t="s">
        <v>2122</v>
      </c>
      <c r="C4" s="2695" t="s">
        <v>2123</v>
      </c>
      <c r="D4" s="2695" t="s">
        <v>2124</v>
      </c>
      <c r="E4" s="2703"/>
      <c r="F4" s="2703"/>
      <c r="G4" s="2704"/>
      <c r="H4" s="2704"/>
      <c r="I4" s="2704"/>
      <c r="J4" s="2704"/>
    </row>
    <row r="5" spans="1:10" ht="16.5">
      <c r="A5" s="2695" t="s">
        <v>2125</v>
      </c>
      <c r="B5" s="2695">
        <f ca="1">SUM(D14:D23)</f>
        <v>48091</v>
      </c>
      <c r="C5" s="2695">
        <f ca="1">ROUND(B5*10000/$B$1,0)</f>
        <v>1589</v>
      </c>
      <c r="D5" s="2695">
        <f ca="1">ROUND(B5*10000/$B$2,0)</f>
        <v>5560</v>
      </c>
      <c r="E5" s="2703"/>
      <c r="F5" s="2703"/>
      <c r="G5" s="2704"/>
      <c r="H5" s="2704"/>
      <c r="I5" s="2704"/>
      <c r="J5" s="2704"/>
    </row>
    <row r="6" spans="1:10" ht="16.5">
      <c r="A6" s="2695" t="s">
        <v>2126</v>
      </c>
      <c r="B6" s="2695">
        <f ca="1">SUM(G14:G23)</f>
        <v>48091</v>
      </c>
      <c r="C6" s="2695">
        <f ca="1">ROUND(B6*10000/$B$1,0)</f>
        <v>1589</v>
      </c>
      <c r="D6" s="2695">
        <f ca="1">ROUND(B6*10000/$B$2,0)</f>
        <v>5560</v>
      </c>
      <c r="E6" s="2703"/>
      <c r="F6" s="2703"/>
      <c r="G6" s="2704"/>
      <c r="H6" s="2704"/>
      <c r="I6" s="2704"/>
      <c r="J6" s="2704"/>
    </row>
    <row r="7" spans="1:10" ht="16.5">
      <c r="A7" s="2695" t="s">
        <v>2127</v>
      </c>
      <c r="B7" s="2695">
        <f>SUM(H14:H23)</f>
        <v>0</v>
      </c>
      <c r="C7" s="2695">
        <f>ROUND(B7*10000/$B$1,0)</f>
        <v>0</v>
      </c>
      <c r="D7" s="2695">
        <f>ROUND(B7*10000/$B$2,0)</f>
        <v>0</v>
      </c>
      <c r="E7" s="2703"/>
      <c r="F7" s="2703"/>
      <c r="G7" s="2704"/>
      <c r="H7" s="2704"/>
      <c r="I7" s="2704"/>
      <c r="J7" s="2704"/>
    </row>
    <row r="8" spans="1:10" ht="16.5">
      <c r="A8" s="2695" t="s">
        <v>2128</v>
      </c>
      <c r="B8" s="2695">
        <f>SUM(I14:I23)</f>
        <v>0</v>
      </c>
      <c r="C8" s="2695">
        <f>ROUND(B8*10000/$B$1,0)</f>
        <v>0</v>
      </c>
      <c r="D8" s="2695">
        <f>ROUND(B8*10000/$B$2,0)</f>
        <v>0</v>
      </c>
      <c r="E8" s="2703"/>
      <c r="F8" s="2703"/>
      <c r="G8" s="2704"/>
      <c r="H8" s="2704"/>
      <c r="I8" s="2704"/>
      <c r="J8" s="2704"/>
    </row>
    <row r="9" spans="1:10" ht="16.5">
      <c r="A9" s="2695" t="s">
        <v>2129</v>
      </c>
      <c r="B9" s="2326"/>
      <c r="C9" s="2703"/>
      <c r="D9" s="2703"/>
      <c r="E9" s="2703"/>
      <c r="F9" s="2703"/>
      <c r="G9" s="2704"/>
      <c r="H9" s="2704"/>
      <c r="I9" s="2704"/>
      <c r="J9" s="2704"/>
    </row>
    <row r="10" spans="1:10" ht="16.5">
      <c r="A10" s="2695" t="s">
        <v>2130</v>
      </c>
      <c r="B10" s="2326"/>
      <c r="C10" s="2703"/>
      <c r="D10" s="2703"/>
      <c r="E10" s="2703"/>
      <c r="F10" s="2703"/>
      <c r="G10" s="2704"/>
      <c r="H10" s="2704"/>
      <c r="I10" s="2704"/>
      <c r="J10" s="2704"/>
    </row>
    <row r="11" spans="1:10" ht="16.5">
      <c r="A11" s="2695" t="s">
        <v>2147</v>
      </c>
      <c r="B11" s="2326"/>
      <c r="C11" s="2703"/>
      <c r="D11" s="2703"/>
      <c r="E11" s="2703"/>
      <c r="F11" s="2703"/>
      <c r="G11" s="2704"/>
      <c r="H11" s="2704"/>
      <c r="I11" s="2704"/>
      <c r="J11" s="2704"/>
    </row>
    <row r="12" spans="1:10" ht="16.5">
      <c r="A12" s="2703"/>
      <c r="B12" s="2703"/>
      <c r="C12" s="2703"/>
      <c r="D12" s="2703"/>
      <c r="E12" s="2703"/>
      <c r="F12" s="2703"/>
      <c r="G12" s="2704"/>
      <c r="H12" s="2704"/>
      <c r="I12" s="2704"/>
      <c r="J12" s="2704"/>
    </row>
    <row r="13" spans="1:10" ht="33">
      <c r="A13" s="2698" t="s">
        <v>2146</v>
      </c>
      <c r="B13" s="2699" t="s">
        <v>2118</v>
      </c>
      <c r="C13" s="2699" t="s">
        <v>2119</v>
      </c>
      <c r="D13" s="2699" t="s">
        <v>2131</v>
      </c>
      <c r="E13" s="2695" t="s">
        <v>2145</v>
      </c>
      <c r="F13" s="2695" t="s">
        <v>2124</v>
      </c>
      <c r="G13" s="2699" t="s">
        <v>2132</v>
      </c>
      <c r="H13" s="2699" t="s">
        <v>2133</v>
      </c>
      <c r="I13" s="2699" t="s">
        <v>2134</v>
      </c>
      <c r="J13" s="2704"/>
    </row>
    <row r="14" spans="1:10" ht="16.5">
      <c r="A14" s="2700" t="s">
        <v>2144</v>
      </c>
      <c r="B14" s="2701">
        <f>结果表!L38</f>
        <v>302725.5</v>
      </c>
      <c r="C14" s="2701">
        <f>结果表!K38</f>
        <v>86493.04</v>
      </c>
      <c r="D14" s="2701">
        <f ca="1">结果表!O38</f>
        <v>48091</v>
      </c>
      <c r="E14" s="2701">
        <f ca="1">ROUND(D14*10000/B14,0)</f>
        <v>1589</v>
      </c>
      <c r="F14" s="2701">
        <f ca="1">ROUND(D14*10000/C14,0)</f>
        <v>5560</v>
      </c>
      <c r="G14" s="2701">
        <f ca="1">D14</f>
        <v>48091</v>
      </c>
      <c r="H14" s="2701"/>
      <c r="I14" s="2701"/>
      <c r="J14" s="2704"/>
    </row>
    <row r="15" spans="1:10" ht="16.5">
      <c r="A15" s="2700" t="s">
        <v>2135</v>
      </c>
      <c r="B15" s="2702"/>
      <c r="C15" s="2702"/>
      <c r="D15" s="2702"/>
      <c r="E15" s="2701" t="e">
        <f t="shared" ref="E15:E23" si="0">ROUND(D15*10000/B15,0)</f>
        <v>#DIV/0!</v>
      </c>
      <c r="F15" s="2701" t="e">
        <f t="shared" ref="F15:F23" si="1">ROUND(D15*10000/C15,0)</f>
        <v>#DIV/0!</v>
      </c>
      <c r="G15" s="2326"/>
      <c r="H15" s="2326"/>
      <c r="I15" s="2702"/>
      <c r="J15" s="2704"/>
    </row>
    <row r="16" spans="1:10" ht="16.5">
      <c r="A16" s="2700" t="s">
        <v>2136</v>
      </c>
      <c r="B16" s="2702"/>
      <c r="C16" s="2702"/>
      <c r="D16" s="2702"/>
      <c r="E16" s="2701" t="e">
        <f t="shared" si="0"/>
        <v>#DIV/0!</v>
      </c>
      <c r="F16" s="2701" t="e">
        <f t="shared" si="1"/>
        <v>#DIV/0!</v>
      </c>
      <c r="G16" s="2326"/>
      <c r="H16" s="2326"/>
      <c r="I16" s="2702"/>
      <c r="J16" s="2704"/>
    </row>
    <row r="17" spans="1:10" ht="16.5">
      <c r="A17" s="2700" t="s">
        <v>2137</v>
      </c>
      <c r="B17" s="2702"/>
      <c r="C17" s="2702"/>
      <c r="D17" s="2702"/>
      <c r="E17" s="2701" t="e">
        <f t="shared" si="0"/>
        <v>#DIV/0!</v>
      </c>
      <c r="F17" s="2701" t="e">
        <f t="shared" si="1"/>
        <v>#DIV/0!</v>
      </c>
      <c r="G17" s="2326"/>
      <c r="H17" s="2326"/>
      <c r="I17" s="2702"/>
      <c r="J17" s="2704"/>
    </row>
    <row r="18" spans="1:10" ht="16.5">
      <c r="A18" s="2700" t="s">
        <v>2138</v>
      </c>
      <c r="B18" s="2702"/>
      <c r="C18" s="2702"/>
      <c r="D18" s="2702"/>
      <c r="E18" s="2701" t="e">
        <f t="shared" si="0"/>
        <v>#DIV/0!</v>
      </c>
      <c r="F18" s="2701" t="e">
        <f t="shared" si="1"/>
        <v>#DIV/0!</v>
      </c>
      <c r="G18" s="2702"/>
      <c r="H18" s="2702"/>
      <c r="I18" s="2702"/>
      <c r="J18" s="2704"/>
    </row>
    <row r="19" spans="1:10" ht="16.5">
      <c r="A19" s="2700" t="s">
        <v>2139</v>
      </c>
      <c r="B19" s="2702"/>
      <c r="C19" s="2702"/>
      <c r="D19" s="2702"/>
      <c r="E19" s="2701" t="e">
        <f t="shared" si="0"/>
        <v>#DIV/0!</v>
      </c>
      <c r="F19" s="2701" t="e">
        <f t="shared" si="1"/>
        <v>#DIV/0!</v>
      </c>
      <c r="G19" s="2702"/>
      <c r="H19" s="2702"/>
      <c r="I19" s="2702"/>
      <c r="J19" s="2704"/>
    </row>
    <row r="20" spans="1:10" ht="16.5">
      <c r="A20" s="2700" t="s">
        <v>2140</v>
      </c>
      <c r="B20" s="2702"/>
      <c r="C20" s="2702"/>
      <c r="D20" s="2702"/>
      <c r="E20" s="2701" t="e">
        <f t="shared" si="0"/>
        <v>#DIV/0!</v>
      </c>
      <c r="F20" s="2701" t="e">
        <f t="shared" si="1"/>
        <v>#DIV/0!</v>
      </c>
      <c r="G20" s="2702"/>
      <c r="H20" s="2702"/>
      <c r="I20" s="2702"/>
      <c r="J20" s="2704"/>
    </row>
    <row r="21" spans="1:10" ht="16.5">
      <c r="A21" s="2700" t="s">
        <v>2141</v>
      </c>
      <c r="B21" s="2702"/>
      <c r="C21" s="2702"/>
      <c r="D21" s="2702"/>
      <c r="E21" s="2701" t="e">
        <f t="shared" si="0"/>
        <v>#DIV/0!</v>
      </c>
      <c r="F21" s="2701" t="e">
        <f t="shared" si="1"/>
        <v>#DIV/0!</v>
      </c>
      <c r="G21" s="2702"/>
      <c r="H21" s="2702"/>
      <c r="I21" s="2702"/>
      <c r="J21" s="2704"/>
    </row>
    <row r="22" spans="1:10" ht="16.5">
      <c r="A22" s="2700" t="s">
        <v>2142</v>
      </c>
      <c r="B22" s="2702"/>
      <c r="C22" s="2702"/>
      <c r="D22" s="2702"/>
      <c r="E22" s="2701" t="e">
        <f t="shared" si="0"/>
        <v>#DIV/0!</v>
      </c>
      <c r="F22" s="2701" t="e">
        <f t="shared" si="1"/>
        <v>#DIV/0!</v>
      </c>
      <c r="G22" s="2702"/>
      <c r="H22" s="2702"/>
      <c r="I22" s="2702"/>
      <c r="J22" s="2704"/>
    </row>
    <row r="23" spans="1:10" ht="16.5">
      <c r="A23" s="2700" t="s">
        <v>2143</v>
      </c>
      <c r="B23" s="2702"/>
      <c r="C23" s="2702"/>
      <c r="D23" s="2702"/>
      <c r="E23" s="2326" t="e">
        <f t="shared" si="0"/>
        <v>#DIV/0!</v>
      </c>
      <c r="F23" s="2326" t="e">
        <f t="shared" si="1"/>
        <v>#DIV/0!</v>
      </c>
      <c r="G23" s="2702"/>
      <c r="H23" s="2702"/>
      <c r="I23" s="2702"/>
      <c r="J23" s="2704"/>
    </row>
    <row r="24" spans="1:10">
      <c r="A24" s="2704"/>
      <c r="B24" s="2704"/>
      <c r="C24" s="2704"/>
      <c r="D24" s="2704"/>
      <c r="E24" s="2704"/>
      <c r="F24" s="2704"/>
      <c r="G24" s="2704"/>
      <c r="H24" s="2704"/>
      <c r="I24" s="2704"/>
      <c r="J24" s="2704"/>
    </row>
    <row r="25" spans="1:10">
      <c r="A25" s="2704"/>
      <c r="B25" s="2704"/>
      <c r="C25" s="2704"/>
      <c r="D25" s="2704"/>
      <c r="E25" s="2704"/>
      <c r="F25" s="2704"/>
      <c r="G25" s="2704"/>
      <c r="H25" s="2704"/>
      <c r="I25" s="2704"/>
      <c r="J25" s="2704"/>
    </row>
    <row r="26" spans="1:10">
      <c r="A26" s="2704"/>
      <c r="B26" s="2704"/>
      <c r="C26" s="2704"/>
      <c r="D26" s="2704"/>
      <c r="E26" s="2704"/>
      <c r="F26" s="2704"/>
      <c r="G26" s="2704"/>
      <c r="H26" s="2704"/>
      <c r="I26" s="2704"/>
      <c r="J26" s="2704"/>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F19" zoomScale="85" zoomScaleNormal="100" zoomScaleSheetLayoutView="85" zoomScalePageLayoutView="80" workbookViewId="0">
      <selection activeCell="R34" sqref="R34"/>
    </sheetView>
  </sheetViews>
  <sheetFormatPr defaultColWidth="12.625" defaultRowHeight="21.75" customHeight="1"/>
  <cols>
    <col min="1" max="2" width="12.75" style="1044" bestFit="1" customWidth="1"/>
    <col min="3" max="4" width="12.625" style="1044" customWidth="1"/>
    <col min="5" max="9" width="12.75" style="1044"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4"/>
  </cols>
  <sheetData>
    <row r="1" spans="1:22" ht="21.75" customHeight="1" thickBot="1">
      <c r="A1" s="1473" t="s">
        <v>1573</v>
      </c>
      <c r="B1" s="1474"/>
      <c r="C1" s="1499" t="s">
        <v>1574</v>
      </c>
      <c r="D1" s="1500" t="s">
        <v>3353</v>
      </c>
      <c r="E1" s="1499" t="s">
        <v>1575</v>
      </c>
      <c r="F1" s="1501" t="s">
        <v>3354</v>
      </c>
      <c r="G1" s="287"/>
      <c r="H1" s="287"/>
      <c r="I1" s="287"/>
      <c r="J1" s="1636"/>
      <c r="K1" s="1636"/>
      <c r="L1" s="1636"/>
      <c r="M1" s="1636"/>
      <c r="N1" s="1636"/>
      <c r="O1" s="1636"/>
      <c r="P1" s="1636"/>
      <c r="Q1" s="1636"/>
      <c r="R1" s="1636"/>
      <c r="S1" s="1636"/>
      <c r="T1" s="1636"/>
      <c r="U1" s="1636"/>
      <c r="V1" s="1636"/>
    </row>
    <row r="2" spans="1:22" ht="21.75" customHeight="1" thickBot="1">
      <c r="A2" s="3541" t="str">
        <f>项目基本情况!K2</f>
        <v>江苏省连云港海州区锦屏山东南侧4号地出让国有建设用地使用权</v>
      </c>
      <c r="B2" s="3542"/>
      <c r="C2" s="3543"/>
      <c r="D2" s="3543"/>
      <c r="E2" s="3543"/>
      <c r="F2" s="3543"/>
      <c r="G2" s="3542"/>
      <c r="H2" s="3542"/>
      <c r="I2" s="3544"/>
      <c r="J2" s="1643"/>
      <c r="K2" s="1636"/>
      <c r="L2" s="1636"/>
      <c r="M2" s="1636"/>
      <c r="N2" s="1636"/>
      <c r="O2" s="1636"/>
      <c r="P2" s="1636"/>
      <c r="Q2" s="1636"/>
      <c r="R2" s="1636"/>
      <c r="S2" s="1636"/>
      <c r="T2" s="1636"/>
      <c r="U2" s="1636"/>
      <c r="V2" s="1636"/>
    </row>
    <row r="3" spans="1:22" ht="14.25">
      <c r="A3" s="3552" t="s">
        <v>264</v>
      </c>
      <c r="B3" s="3553"/>
      <c r="C3" s="3553"/>
      <c r="D3" s="3553"/>
      <c r="E3" s="3553"/>
      <c r="F3" s="3553"/>
      <c r="G3" s="3553"/>
      <c r="H3" s="3553"/>
      <c r="I3" s="3553"/>
      <c r="J3" s="1643"/>
      <c r="K3" s="1636"/>
      <c r="L3" s="1636"/>
      <c r="M3" s="1636"/>
      <c r="N3" s="1636"/>
      <c r="O3" s="1636"/>
      <c r="P3" s="1636"/>
      <c r="Q3" s="1636"/>
      <c r="R3" s="1636"/>
      <c r="S3" s="1636"/>
      <c r="T3" s="1636"/>
      <c r="U3" s="1636"/>
      <c r="V3" s="1636"/>
    </row>
    <row r="4" spans="1:22" ht="14.25">
      <c r="A4" s="238" t="s">
        <v>265</v>
      </c>
      <c r="B4" s="239" t="s">
        <v>266</v>
      </c>
      <c r="C4" s="240" t="s">
        <v>3350</v>
      </c>
      <c r="D4" s="240" t="s">
        <v>3351</v>
      </c>
      <c r="E4" s="3516" t="s">
        <v>267</v>
      </c>
      <c r="F4" s="3558"/>
      <c r="G4" s="3558"/>
      <c r="H4" s="3558"/>
      <c r="I4" s="3517"/>
      <c r="J4" s="1643"/>
      <c r="K4" s="1636"/>
      <c r="L4" s="1118" t="str">
        <f>IF(ISNUMBER(FIND("比较法",C4)),"比较法",IF(ISNUMBER(FIND("成本法",C4)),"成本法",IF(ISNUMBER(FIND("剩余法",C4)),"剩余法",IF(ISNUMBER(FIND("收益法",C4)),"收益法","基准地价系数修正法"))))</f>
        <v>比较法</v>
      </c>
      <c r="M4" s="866" t="str">
        <f>IF(ISNUMBER(FIND("比较法",D4)),"比较法",IF(ISNUMBER(FIND("成本法",D4)),"成本法",IF(ISNUMBER(FIND("剩余法",D4)),"剩余法",IF(ISNUMBER(FIND("收益法",D4)),"收益法","基准地价系数修正法"))))</f>
        <v>剩余法</v>
      </c>
      <c r="N4" s="1636"/>
      <c r="O4" s="1636"/>
      <c r="P4" s="1636"/>
      <c r="Q4" s="1636"/>
      <c r="R4" s="1636"/>
      <c r="S4" s="1636"/>
      <c r="T4" s="1636"/>
      <c r="U4" s="1636"/>
      <c r="V4" s="1636"/>
    </row>
    <row r="5" spans="1:22" ht="14.25">
      <c r="A5" s="3545" t="s">
        <v>268</v>
      </c>
      <c r="B5" s="3546">
        <v>25</v>
      </c>
      <c r="C5" s="3554"/>
      <c r="D5" s="3557"/>
      <c r="E5" s="241" t="s">
        <v>269</v>
      </c>
      <c r="F5" s="242"/>
      <c r="G5" s="242"/>
      <c r="H5" s="242"/>
      <c r="I5" s="243"/>
      <c r="J5" s="1643"/>
      <c r="K5" s="1636"/>
      <c r="L5" s="1636"/>
      <c r="M5" s="1636"/>
      <c r="N5" s="1636"/>
      <c r="O5" s="1636"/>
      <c r="P5" s="1636"/>
      <c r="Q5" s="1636"/>
      <c r="R5" s="1636"/>
      <c r="S5" s="1636"/>
      <c r="T5" s="1636"/>
      <c r="U5" s="1636"/>
      <c r="V5" s="1636"/>
    </row>
    <row r="6" spans="1:22" ht="14.25">
      <c r="A6" s="3545"/>
      <c r="B6" s="3546"/>
      <c r="C6" s="3555"/>
      <c r="D6" s="3557"/>
      <c r="E6" s="241" t="s">
        <v>270</v>
      </c>
      <c r="F6" s="242"/>
      <c r="G6" s="242"/>
      <c r="H6" s="242"/>
      <c r="I6" s="243"/>
      <c r="J6" s="1643"/>
      <c r="K6" s="1636"/>
      <c r="L6" s="1636"/>
      <c r="M6" s="1636"/>
      <c r="N6" s="1636"/>
      <c r="O6" s="1636"/>
      <c r="P6" s="1636"/>
      <c r="Q6" s="1636"/>
      <c r="R6" s="1636"/>
      <c r="S6" s="1636"/>
      <c r="T6" s="1636"/>
      <c r="U6" s="1636"/>
      <c r="V6" s="1636"/>
    </row>
    <row r="7" spans="1:22" ht="14.25">
      <c r="A7" s="3545"/>
      <c r="B7" s="3546"/>
      <c r="C7" s="3556"/>
      <c r="D7" s="3557"/>
      <c r="E7" s="241" t="s">
        <v>271</v>
      </c>
      <c r="F7" s="242"/>
      <c r="G7" s="242"/>
      <c r="H7" s="242"/>
      <c r="I7" s="243"/>
      <c r="J7" s="1643"/>
      <c r="K7" s="1636"/>
      <c r="L7" s="1636"/>
      <c r="M7" s="1636"/>
      <c r="N7" s="1636"/>
      <c r="O7" s="1636"/>
      <c r="P7" s="1636"/>
      <c r="Q7" s="1636"/>
      <c r="R7" s="1636"/>
      <c r="S7" s="1636"/>
      <c r="T7" s="1636"/>
      <c r="U7" s="1636"/>
      <c r="V7" s="1636"/>
    </row>
    <row r="8" spans="1:22" ht="14.25">
      <c r="A8" s="3545" t="s">
        <v>272</v>
      </c>
      <c r="B8" s="3546">
        <v>15</v>
      </c>
      <c r="C8" s="3554"/>
      <c r="D8" s="3557"/>
      <c r="E8" s="241" t="s">
        <v>273</v>
      </c>
      <c r="F8" s="242"/>
      <c r="G8" s="242"/>
      <c r="H8" s="242"/>
      <c r="I8" s="243"/>
      <c r="J8" s="1643"/>
      <c r="K8" s="1636"/>
      <c r="L8" s="1636"/>
      <c r="M8" s="1636"/>
      <c r="N8" s="1636"/>
      <c r="O8" s="1636"/>
      <c r="P8" s="1636"/>
      <c r="Q8" s="1636"/>
      <c r="R8" s="1636"/>
      <c r="S8" s="1636"/>
      <c r="T8" s="1636"/>
      <c r="U8" s="1636"/>
      <c r="V8" s="1636"/>
    </row>
    <row r="9" spans="1:22" ht="14.25">
      <c r="A9" s="3545"/>
      <c r="B9" s="3546"/>
      <c r="C9" s="3556"/>
      <c r="D9" s="3557"/>
      <c r="E9" s="241" t="s">
        <v>274</v>
      </c>
      <c r="F9" s="242"/>
      <c r="G9" s="242"/>
      <c r="H9" s="242"/>
      <c r="I9" s="243"/>
      <c r="J9" s="1643"/>
      <c r="K9" s="1636"/>
      <c r="L9" s="1636"/>
      <c r="M9" s="1636"/>
      <c r="N9" s="1636"/>
      <c r="O9" s="1636"/>
      <c r="P9" s="1636"/>
      <c r="Q9" s="1636"/>
      <c r="R9" s="1636"/>
      <c r="S9" s="1636"/>
      <c r="T9" s="1636"/>
      <c r="U9" s="1636"/>
      <c r="V9" s="1636"/>
    </row>
    <row r="10" spans="1:22" ht="14.25">
      <c r="A10" s="3545" t="s">
        <v>275</v>
      </c>
      <c r="B10" s="3546">
        <v>15</v>
      </c>
      <c r="C10" s="3554"/>
      <c r="D10" s="3557"/>
      <c r="E10" s="241" t="s">
        <v>276</v>
      </c>
      <c r="F10" s="242"/>
      <c r="G10" s="242"/>
      <c r="H10" s="242"/>
      <c r="I10" s="243"/>
      <c r="J10" s="1643"/>
      <c r="K10" s="1636"/>
      <c r="L10" s="1636"/>
      <c r="M10" s="1636"/>
      <c r="N10" s="1636"/>
      <c r="O10" s="1636"/>
      <c r="P10" s="1636"/>
      <c r="Q10" s="1636"/>
      <c r="R10" s="1636"/>
      <c r="S10" s="1636"/>
      <c r="T10" s="1636"/>
      <c r="U10" s="1636"/>
      <c r="V10" s="1636"/>
    </row>
    <row r="11" spans="1:22" ht="14.25">
      <c r="A11" s="3545"/>
      <c r="B11" s="3546"/>
      <c r="C11" s="3556"/>
      <c r="D11" s="3557"/>
      <c r="E11" s="241" t="s">
        <v>277</v>
      </c>
      <c r="F11" s="242"/>
      <c r="G11" s="242"/>
      <c r="H11" s="242"/>
      <c r="I11" s="243"/>
      <c r="J11" s="1643"/>
      <c r="K11" s="1636"/>
      <c r="L11" s="1636"/>
      <c r="M11" s="1636"/>
      <c r="N11" s="1636"/>
      <c r="O11" s="1636"/>
      <c r="P11" s="1636"/>
      <c r="Q11" s="1636"/>
      <c r="R11" s="1636"/>
      <c r="S11" s="1636"/>
      <c r="T11" s="1636"/>
      <c r="U11" s="1636"/>
      <c r="V11" s="1636"/>
    </row>
    <row r="12" spans="1:22" ht="14.25">
      <c r="A12" s="3545" t="s">
        <v>278</v>
      </c>
      <c r="B12" s="3546">
        <v>15</v>
      </c>
      <c r="C12" s="3554"/>
      <c r="D12" s="3557"/>
      <c r="E12" s="241" t="s">
        <v>279</v>
      </c>
      <c r="F12" s="242"/>
      <c r="G12" s="242"/>
      <c r="H12" s="242"/>
      <c r="I12" s="243"/>
      <c r="J12" s="1643"/>
      <c r="K12" s="1636"/>
      <c r="L12" s="1636"/>
      <c r="M12" s="1636"/>
      <c r="N12" s="1636"/>
      <c r="O12" s="1636"/>
      <c r="P12" s="1636"/>
      <c r="Q12" s="1636"/>
      <c r="R12" s="1636"/>
      <c r="S12" s="1636"/>
      <c r="T12" s="1636"/>
      <c r="U12" s="1636"/>
      <c r="V12" s="1636"/>
    </row>
    <row r="13" spans="1:22" ht="14.25">
      <c r="A13" s="3545"/>
      <c r="B13" s="3546"/>
      <c r="C13" s="3556"/>
      <c r="D13" s="3557"/>
      <c r="E13" s="241" t="s">
        <v>280</v>
      </c>
      <c r="F13" s="242"/>
      <c r="G13" s="242"/>
      <c r="H13" s="242"/>
      <c r="I13" s="243"/>
      <c r="J13" s="1643"/>
      <c r="K13" s="1636"/>
      <c r="L13" s="1636"/>
      <c r="M13" s="1636"/>
      <c r="N13" s="1636"/>
      <c r="O13" s="1636"/>
      <c r="P13" s="1636"/>
      <c r="Q13" s="1636"/>
      <c r="R13" s="1636"/>
      <c r="S13" s="1636"/>
      <c r="T13" s="1636"/>
      <c r="U13" s="1636"/>
      <c r="V13" s="1636"/>
    </row>
    <row r="14" spans="1:22" ht="14.25">
      <c r="A14" s="3545" t="s">
        <v>281</v>
      </c>
      <c r="B14" s="3546">
        <v>30</v>
      </c>
      <c r="C14" s="3554">
        <v>3</v>
      </c>
      <c r="D14" s="3557">
        <v>7</v>
      </c>
      <c r="E14" s="241" t="s">
        <v>282</v>
      </c>
      <c r="F14" s="242"/>
      <c r="G14" s="242"/>
      <c r="H14" s="242"/>
      <c r="I14" s="243"/>
      <c r="J14" s="1643"/>
      <c r="K14" s="1636"/>
      <c r="L14" s="1636"/>
      <c r="M14" s="1636"/>
      <c r="N14" s="1636"/>
      <c r="O14" s="1636"/>
      <c r="P14" s="1636"/>
      <c r="Q14" s="1636"/>
      <c r="R14" s="1636"/>
      <c r="S14" s="1636"/>
      <c r="T14" s="1636"/>
      <c r="U14" s="1636"/>
      <c r="V14" s="1636"/>
    </row>
    <row r="15" spans="1:22" ht="14.25">
      <c r="A15" s="3545"/>
      <c r="B15" s="3546"/>
      <c r="C15" s="3555"/>
      <c r="D15" s="3557"/>
      <c r="E15" s="241" t="s">
        <v>283</v>
      </c>
      <c r="F15" s="242"/>
      <c r="G15" s="242"/>
      <c r="H15" s="242"/>
      <c r="I15" s="243"/>
      <c r="J15" s="1643"/>
      <c r="K15" s="1636"/>
      <c r="L15" s="1636"/>
      <c r="M15" s="1636"/>
      <c r="N15" s="1636"/>
      <c r="O15" s="1636"/>
      <c r="P15" s="1636"/>
      <c r="Q15" s="1636"/>
      <c r="R15" s="1636"/>
      <c r="S15" s="1636"/>
      <c r="T15" s="1636"/>
      <c r="U15" s="1636"/>
      <c r="V15" s="1636"/>
    </row>
    <row r="16" spans="1:22" ht="14.25">
      <c r="A16" s="3545"/>
      <c r="B16" s="3546"/>
      <c r="C16" s="3556"/>
      <c r="D16" s="3557"/>
      <c r="E16" s="241" t="s">
        <v>284</v>
      </c>
      <c r="F16" s="242"/>
      <c r="G16" s="242"/>
      <c r="H16" s="242"/>
      <c r="I16" s="243"/>
      <c r="J16" s="1643"/>
      <c r="K16" s="1636"/>
      <c r="L16" s="1636"/>
      <c r="M16" s="1636"/>
      <c r="N16" s="1636"/>
      <c r="O16" s="1636"/>
      <c r="P16" s="1636"/>
      <c r="Q16" s="1636"/>
      <c r="R16" s="1636"/>
      <c r="S16" s="1636"/>
      <c r="T16" s="1636"/>
      <c r="U16" s="1636"/>
      <c r="V16" s="1636"/>
    </row>
    <row r="17" spans="1:22" ht="15">
      <c r="A17" s="244" t="s">
        <v>285</v>
      </c>
      <c r="B17" s="125"/>
      <c r="C17" s="245">
        <f>SUM(C5:C16)</f>
        <v>3</v>
      </c>
      <c r="D17" s="245">
        <f>SUM(D5:D16)</f>
        <v>7</v>
      </c>
      <c r="E17" s="287"/>
      <c r="F17" s="287"/>
      <c r="G17" s="287"/>
      <c r="H17" s="287"/>
      <c r="I17" s="287"/>
      <c r="J17" s="1643"/>
      <c r="K17" s="1636"/>
      <c r="L17" s="1636"/>
      <c r="M17" s="1636"/>
      <c r="N17" s="1636"/>
      <c r="O17" s="1636"/>
      <c r="P17" s="1636"/>
      <c r="Q17" s="1636"/>
      <c r="R17" s="1636"/>
      <c r="S17" s="1636"/>
      <c r="T17" s="1636"/>
      <c r="U17" s="1636"/>
      <c r="V17" s="1636"/>
    </row>
    <row r="18" spans="1:22" ht="32.450000000000003" customHeight="1" thickBot="1">
      <c r="A18" s="246" t="s">
        <v>286</v>
      </c>
      <c r="B18" s="96"/>
      <c r="C18" s="247">
        <f>ROUND(C17/SUM(C17:D17),2)</f>
        <v>0.3</v>
      </c>
      <c r="D18" s="247">
        <f>1-C18</f>
        <v>0.7</v>
      </c>
      <c r="E18" s="3559" t="s">
        <v>2249</v>
      </c>
      <c r="F18" s="3560"/>
      <c r="G18" s="3560"/>
      <c r="H18" s="3560"/>
      <c r="I18" s="3560"/>
      <c r="J18" s="1636"/>
      <c r="K18" s="1636"/>
      <c r="L18" s="1636"/>
      <c r="M18" s="1636"/>
      <c r="N18" s="1636"/>
      <c r="O18" s="1636"/>
      <c r="P18" s="1636"/>
      <c r="Q18" s="1636"/>
      <c r="R18" s="1636"/>
      <c r="S18" s="1636"/>
      <c r="T18" s="1636"/>
      <c r="U18" s="1636"/>
      <c r="V18" s="1636"/>
    </row>
    <row r="19" spans="1:22" ht="15">
      <c r="A19" s="248" t="s">
        <v>287</v>
      </c>
      <c r="B19" s="249" t="s">
        <v>288</v>
      </c>
      <c r="C19" s="250">
        <f ca="1">SUMIF(INDIRECT("'"&amp;C4&amp;"'"&amp;"!A:A"),结果表!B19,INDIRECT("'"&amp;C4&amp;"'"&amp;"!B:B"))</f>
        <v>24490</v>
      </c>
      <c r="D19" s="251">
        <f ca="1">SUMIF(INDIRECT("'"&amp;D4&amp;"'"&amp;"!A:A"),结果表!B19,INDIRECT("'"&amp;D4&amp;"'"&amp;"!B:B"))</f>
        <v>58206</v>
      </c>
      <c r="E19" s="248" t="s">
        <v>289</v>
      </c>
      <c r="F19" s="249" t="s">
        <v>288</v>
      </c>
      <c r="G19" s="252">
        <f ca="1">ROUND(C19*$C$18+D19*$D$18,0)</f>
        <v>48091</v>
      </c>
      <c r="H19" s="253" t="s">
        <v>290</v>
      </c>
      <c r="I19" s="287"/>
      <c r="J19" s="1636"/>
      <c r="K19" s="1636">
        <v>50437</v>
      </c>
      <c r="L19" s="1636">
        <f ca="1">K19-G19</f>
        <v>2346</v>
      </c>
      <c r="M19" s="1636"/>
      <c r="N19" s="1636"/>
      <c r="O19" s="1636"/>
      <c r="P19" s="1636"/>
      <c r="Q19" s="1636"/>
      <c r="R19" s="1636"/>
      <c r="S19" s="1636"/>
      <c r="T19" s="1636"/>
      <c r="U19" s="1636"/>
      <c r="V19" s="1636"/>
    </row>
    <row r="20" spans="1:22" ht="15">
      <c r="A20" s="254"/>
      <c r="B20" s="102" t="s">
        <v>291</v>
      </c>
      <c r="C20" s="255">
        <f ca="1">SUMIF(INDIRECT("'"&amp;C4&amp;"'"&amp;"!A:A"),结果表!B20,INDIRECT("'"&amp;C4&amp;"'"&amp;"!B:B"))</f>
        <v>809</v>
      </c>
      <c r="D20" s="256">
        <f ca="1">SUMIF(INDIRECT("'"&amp;D4&amp;"'"&amp;"!A:A"),结果表!B20,INDIRECT("'"&amp;D4&amp;"'"&amp;"!B:B"))</f>
        <v>1923</v>
      </c>
      <c r="E20" s="254"/>
      <c r="F20" s="102" t="s">
        <v>291</v>
      </c>
      <c r="G20" s="257">
        <f ca="1">ROUND(C20*$C$18+D20*$D$18,0)</f>
        <v>1589</v>
      </c>
      <c r="H20" s="258" t="s">
        <v>292</v>
      </c>
      <c r="I20" s="287"/>
      <c r="J20" s="1636"/>
      <c r="K20" s="1636">
        <v>47600</v>
      </c>
      <c r="L20" s="1636"/>
      <c r="M20" s="1636"/>
      <c r="N20" s="1636"/>
      <c r="O20" s="1636"/>
      <c r="P20" s="1636"/>
      <c r="Q20" s="1636"/>
      <c r="R20" s="1636"/>
      <c r="S20" s="1636"/>
      <c r="T20" s="1636"/>
      <c r="U20" s="1636"/>
      <c r="V20" s="1636"/>
    </row>
    <row r="21" spans="1:22" ht="15" customHeight="1">
      <c r="A21" s="254"/>
      <c r="B21" s="106" t="s">
        <v>293</v>
      </c>
      <c r="C21" s="259">
        <f ca="1">SUMIF(INDIRECT("'"&amp;C4&amp;"'"&amp;"!A:A"),结果表!B21,INDIRECT("'"&amp;C4&amp;"'"&amp;"!B:B"))</f>
        <v>2831</v>
      </c>
      <c r="D21" s="135">
        <f ca="1">SUMIF(INDIRECT("'"&amp;D4&amp;"'"&amp;"!A:A"),结果表!B21,INDIRECT("'"&amp;D4&amp;"'"&amp;"!B:B"))</f>
        <v>6730</v>
      </c>
      <c r="E21" s="254"/>
      <c r="F21" s="106" t="s">
        <v>293</v>
      </c>
      <c r="G21" s="260">
        <f ca="1">ROUND(C21*$C$18+D21*$D$18,0)</f>
        <v>5560</v>
      </c>
      <c r="H21" s="258" t="s">
        <v>292</v>
      </c>
      <c r="I21" s="287"/>
      <c r="J21" s="1636"/>
      <c r="K21" s="1636"/>
      <c r="L21" s="1636"/>
      <c r="M21" s="1636"/>
      <c r="N21" s="1636"/>
      <c r="O21" s="1636"/>
      <c r="P21" s="1636"/>
      <c r="Q21" s="1636"/>
      <c r="R21" s="1636"/>
      <c r="S21" s="1636"/>
      <c r="T21" s="1636"/>
      <c r="U21" s="1636"/>
      <c r="V21" s="1636"/>
    </row>
    <row r="22" spans="1:22" ht="15.75" thickBot="1">
      <c r="A22" s="117" t="s">
        <v>294</v>
      </c>
      <c r="B22" s="1060"/>
      <c r="C22" s="241"/>
      <c r="D22" s="261">
        <f ca="1">IF(C19&lt;D19,D19/C19-1,C19/D19-1)</f>
        <v>1.3767251939567169</v>
      </c>
      <c r="E22" s="262"/>
      <c r="F22" s="263"/>
      <c r="G22" s="264">
        <f ca="1">ROUND(G19/('数据-汇总表'!D3/666.67),0)</f>
        <v>371</v>
      </c>
      <c r="H22" s="265" t="s">
        <v>295</v>
      </c>
      <c r="I22" s="287"/>
      <c r="J22" s="1636"/>
      <c r="K22" s="1636"/>
      <c r="L22" s="1636"/>
      <c r="M22" s="1636"/>
      <c r="N22" s="1636"/>
      <c r="O22" s="1636"/>
      <c r="P22" s="1636"/>
      <c r="Q22" s="1636"/>
      <c r="R22" s="1636"/>
      <c r="S22" s="1636"/>
      <c r="T22" s="1636"/>
      <c r="U22" s="1636"/>
      <c r="V22" s="1636"/>
    </row>
    <row r="23" spans="1:22" ht="13.5" thickBot="1">
      <c r="A23" s="287"/>
      <c r="B23" s="287"/>
      <c r="C23" s="287"/>
      <c r="D23" s="287"/>
      <c r="E23" s="287"/>
      <c r="F23" s="287"/>
      <c r="G23" s="287"/>
      <c r="H23" s="287"/>
      <c r="I23" s="287"/>
      <c r="J23" s="1636"/>
      <c r="K23" s="1636"/>
      <c r="L23" s="1636"/>
      <c r="M23" s="1636"/>
      <c r="N23" s="1636"/>
      <c r="O23" s="1636"/>
      <c r="P23" s="1636"/>
      <c r="Q23" s="1636"/>
      <c r="R23" s="1636"/>
      <c r="S23" s="1636"/>
      <c r="T23" s="1636"/>
      <c r="U23" s="1636"/>
      <c r="V23" s="1636"/>
    </row>
    <row r="24" spans="1:22" ht="15" thickBot="1">
      <c r="A24" s="3518" t="s">
        <v>296</v>
      </c>
      <c r="B24" s="249" t="s">
        <v>288</v>
      </c>
      <c r="C24" s="266">
        <f>IF(B30=0,0,D30)</f>
        <v>0</v>
      </c>
      <c r="D24" s="267"/>
      <c r="E24" s="287"/>
      <c r="F24" s="287"/>
      <c r="G24" s="287"/>
      <c r="H24" s="287"/>
      <c r="I24" s="287"/>
      <c r="J24" s="1636"/>
      <c r="K24" s="1636"/>
      <c r="L24" s="1636"/>
      <c r="M24" s="1636"/>
      <c r="N24" s="1636"/>
      <c r="O24" s="1636"/>
      <c r="P24" s="1636"/>
      <c r="Q24" s="1636"/>
      <c r="R24" s="1636"/>
      <c r="S24" s="1636"/>
      <c r="T24" s="1636"/>
      <c r="U24" s="1636"/>
      <c r="V24" s="1636"/>
    </row>
    <row r="25" spans="1:22" ht="18">
      <c r="A25" s="3565"/>
      <c r="B25" s="1124" t="s">
        <v>297</v>
      </c>
      <c r="C25" s="268">
        <f>IF(B30=0,0,C30)</f>
        <v>0</v>
      </c>
      <c r="D25" s="269"/>
      <c r="E25" s="287"/>
      <c r="F25" s="287"/>
      <c r="G25" s="287"/>
      <c r="H25" s="287"/>
      <c r="I25" s="287"/>
      <c r="J25" s="1636"/>
      <c r="K25" s="1061" t="str">
        <f ca="1">项目基本情况!A17&amp;"国有建设用地使用权价格："&amp;O38&amp;"万元"</f>
        <v>出让国有建设用地使用权价格：48091万元</v>
      </c>
      <c r="L25" s="1062"/>
      <c r="M25" s="1062"/>
      <c r="N25" s="1062"/>
      <c r="O25" s="1063"/>
      <c r="P25" s="1636"/>
      <c r="Q25" s="1636"/>
      <c r="R25" s="1636"/>
      <c r="S25" s="1636"/>
      <c r="T25" s="1636"/>
      <c r="U25" s="1636"/>
      <c r="V25" s="1636"/>
    </row>
    <row r="26" spans="1:22" ht="18">
      <c r="A26" s="270" t="s">
        <v>298</v>
      </c>
      <c r="B26" s="271" t="s">
        <v>299</v>
      </c>
      <c r="C26" s="271" t="s">
        <v>300</v>
      </c>
      <c r="D26" s="272" t="s">
        <v>301</v>
      </c>
      <c r="E26" s="287"/>
      <c r="F26" s="287"/>
      <c r="G26" s="287"/>
      <c r="H26" s="287"/>
      <c r="I26" s="287"/>
      <c r="J26" s="1636"/>
      <c r="K26" s="1064" t="str">
        <f ca="1">"大写金额：人民币"&amp;NUMBERSTRING(INT(O38*10000),2)&amp;"元整"</f>
        <v>大写金额：人民币肆亿捌仟零玖拾壹万元整</v>
      </c>
      <c r="L26" s="1060"/>
      <c r="M26" s="1060"/>
      <c r="N26" s="1060"/>
      <c r="O26" s="258"/>
      <c r="P26" s="1636"/>
      <c r="Q26" s="1636"/>
      <c r="R26" s="1636"/>
      <c r="S26" s="1636"/>
      <c r="T26" s="1636"/>
      <c r="U26" s="1636"/>
      <c r="V26" s="1636"/>
    </row>
    <row r="27" spans="1:22" ht="18">
      <c r="A27" s="270"/>
      <c r="B27" s="271"/>
      <c r="C27" s="271"/>
      <c r="D27" s="272"/>
      <c r="E27" s="287"/>
      <c r="F27" s="287"/>
      <c r="G27" s="287"/>
      <c r="H27" s="287"/>
      <c r="I27" s="287"/>
      <c r="J27" s="1636"/>
      <c r="K27" s="1064" t="str">
        <f ca="1">"单位面积地价："&amp;M38&amp;"元/平方米"</f>
        <v>单位面积地价：5560元/平方米</v>
      </c>
      <c r="L27" s="1060"/>
      <c r="M27" s="1060"/>
      <c r="N27" s="1060"/>
      <c r="O27" s="258"/>
      <c r="P27" s="1636"/>
      <c r="Q27" s="1636"/>
      <c r="R27" s="1636"/>
      <c r="S27" s="1636"/>
      <c r="T27" s="1636"/>
      <c r="U27" s="1636"/>
      <c r="V27" s="1636"/>
    </row>
    <row r="28" spans="1:22" ht="18.75" customHeight="1">
      <c r="A28" s="270"/>
      <c r="B28" s="271"/>
      <c r="C28" s="271"/>
      <c r="D28" s="272"/>
      <c r="E28" s="287"/>
      <c r="F28" s="287"/>
      <c r="G28" s="287"/>
      <c r="H28" s="287"/>
      <c r="I28" s="287"/>
      <c r="J28" s="1636"/>
      <c r="K28" s="1064" t="str">
        <f ca="1">"楼面地价："&amp;N38&amp;"元/平方米"</f>
        <v>楼面地价：1589元/平方米</v>
      </c>
      <c r="L28" s="1060"/>
      <c r="M28" s="1060"/>
      <c r="N28" s="1060"/>
      <c r="O28" s="258"/>
      <c r="P28" s="1636"/>
      <c r="V28" s="1636"/>
    </row>
    <row r="29" spans="1:22" ht="18">
      <c r="A29" s="270"/>
      <c r="B29" s="271"/>
      <c r="C29" s="271"/>
      <c r="D29" s="272"/>
      <c r="E29" s="287"/>
      <c r="F29" s="287"/>
      <c r="G29" s="287"/>
      <c r="H29" s="287"/>
      <c r="I29" s="287"/>
      <c r="J29" s="1636"/>
      <c r="K29" s="1064" t="str">
        <f ca="1">IF(OR(项目基本情况!E8="抵押价格",项目基本情况!E8="已注销及未注销"),"抵押价格："&amp;O39&amp;"万元","——")</f>
        <v>抵押价格：48091万元</v>
      </c>
      <c r="L29" s="1060"/>
      <c r="M29" s="1060"/>
      <c r="N29" s="1060"/>
      <c r="O29" s="258"/>
      <c r="P29" s="1636"/>
      <c r="V29" s="1636"/>
    </row>
    <row r="30" spans="1:22" ht="18.75" thickBot="1">
      <c r="A30" s="2365" t="s">
        <v>302</v>
      </c>
      <c r="B30" s="285"/>
      <c r="C30" s="285"/>
      <c r="D30" s="286"/>
      <c r="E30" s="2539" t="s">
        <v>2250</v>
      </c>
      <c r="F30" s="287"/>
      <c r="G30" s="287"/>
      <c r="H30" s="287"/>
      <c r="I30" s="287"/>
      <c r="J30" s="1636"/>
      <c r="K30" s="1064" t="str">
        <f ca="1">IF(K29="——","——","大写金额：人民币"&amp;NUMBERSTRING(INT(O39*10000),2)&amp;"元整")</f>
        <v>大写金额：人民币肆亿捌仟零玖拾壹万元整</v>
      </c>
      <c r="L30" s="1060"/>
      <c r="M30" s="1060"/>
      <c r="N30" s="1060"/>
      <c r="O30" s="258"/>
      <c r="P30" s="1636"/>
      <c r="V30" s="1636"/>
    </row>
    <row r="31" spans="1:22" ht="24" customHeight="1" thickBot="1">
      <c r="A31" s="3561" t="s">
        <v>2251</v>
      </c>
      <c r="B31" s="3561"/>
      <c r="C31" s="3561"/>
      <c r="D31" s="3561"/>
      <c r="E31" s="3561"/>
      <c r="F31" s="3561"/>
      <c r="G31" s="3561"/>
      <c r="H31" s="3561"/>
      <c r="I31" s="3561"/>
      <c r="J31" s="1636"/>
      <c r="K31" s="1980" t="str">
        <f>IF(项目基本情况!E8="抵押价格","——","抵押担保权已注销时的抵押价格："&amp;O40&amp;"万元")</f>
        <v>——</v>
      </c>
      <c r="L31" s="1977"/>
      <c r="M31" s="1977"/>
      <c r="N31" s="1977"/>
      <c r="O31" s="1978"/>
      <c r="P31" s="1636"/>
      <c r="V31" s="1636"/>
    </row>
    <row r="32" spans="1:22" ht="19.5" thickTop="1" thickBot="1">
      <c r="A32" s="254" t="s">
        <v>303</v>
      </c>
      <c r="B32" s="2540" t="s">
        <v>1221</v>
      </c>
      <c r="C32" s="246">
        <f ca="1">G19-C24</f>
        <v>48091</v>
      </c>
      <c r="D32" s="2541" t="s">
        <v>1222</v>
      </c>
      <c r="E32" s="287"/>
      <c r="F32" s="287"/>
      <c r="G32" s="287"/>
      <c r="H32" s="287"/>
      <c r="I32" s="287"/>
      <c r="J32" s="1636"/>
      <c r="K32" s="1976" t="str">
        <f>IF(K31="——","——","大写金额：人民币"&amp;NUMBERSTRING(INT(O40*10000),2)&amp;"元整")</f>
        <v>——</v>
      </c>
      <c r="L32" s="1636"/>
      <c r="M32" s="1636"/>
      <c r="N32" s="1636"/>
      <c r="O32" s="1979"/>
      <c r="P32" s="1636"/>
      <c r="V32" s="1636"/>
    </row>
    <row r="33" spans="1:22" ht="18.75" thickBot="1">
      <c r="A33" s="275" t="s">
        <v>306</v>
      </c>
      <c r="B33" s="1172" t="s">
        <v>1223</v>
      </c>
      <c r="C33" s="244">
        <f ca="1">ROUND(C32*10000/'数据-汇总表'!E3,0)</f>
        <v>1589</v>
      </c>
      <c r="D33" s="1173" t="s">
        <v>1224</v>
      </c>
      <c r="E33" s="3518" t="s">
        <v>304</v>
      </c>
      <c r="F33" s="273" t="s">
        <v>305</v>
      </c>
      <c r="G33" s="274"/>
      <c r="H33" s="894"/>
      <c r="I33" s="1065"/>
      <c r="J33" s="1636"/>
      <c r="K33" s="1064" t="str">
        <f>IF(项目基本情况!E9="——","——","抵押净值："&amp;C46&amp;"万元")</f>
        <v>——</v>
      </c>
      <c r="L33" s="1060"/>
      <c r="M33" s="1060"/>
      <c r="N33" s="1060"/>
      <c r="O33" s="258"/>
      <c r="P33" s="1636"/>
      <c r="V33" s="1636"/>
    </row>
    <row r="34" spans="1:22" ht="18.75" thickBot="1">
      <c r="A34" s="277"/>
      <c r="B34" s="98" t="s">
        <v>1225</v>
      </c>
      <c r="C34" s="244">
        <f ca="1">ROUND(C32*10000/'数据-汇总表'!D3,0)</f>
        <v>5560</v>
      </c>
      <c r="D34" s="1173" t="s">
        <v>1224</v>
      </c>
      <c r="E34" s="3519"/>
      <c r="F34" s="118" t="s">
        <v>307</v>
      </c>
      <c r="G34" s="276"/>
      <c r="H34" s="96"/>
      <c r="I34" s="287"/>
      <c r="J34" s="1636"/>
      <c r="K34" s="1067" t="str">
        <f>IF(K33="——","——","大写金额：人民币"&amp;NUMBERSTRING(INT(O41*10000),2)&amp;"元整")</f>
        <v>——</v>
      </c>
      <c r="L34" s="1068"/>
      <c r="M34" s="1068"/>
      <c r="N34" s="1068"/>
      <c r="O34" s="1069"/>
      <c r="P34" s="1636"/>
      <c r="V34" s="1636"/>
    </row>
    <row r="35" spans="1:22" ht="15.75" thickBot="1">
      <c r="A35" s="262"/>
      <c r="B35" s="1174"/>
      <c r="C35" s="1175">
        <f ca="1">ROUND(C32/('数据-汇总表'!D3/666.67),0)</f>
        <v>371</v>
      </c>
      <c r="D35" s="1176" t="s">
        <v>1226</v>
      </c>
      <c r="E35" s="3520"/>
      <c r="F35" s="278" t="s">
        <v>308</v>
      </c>
      <c r="G35" s="896"/>
      <c r="H35" s="895" t="s">
        <v>309</v>
      </c>
      <c r="I35" s="287"/>
      <c r="J35" s="1636"/>
      <c r="K35" s="3524" t="s">
        <v>316</v>
      </c>
      <c r="L35" s="3524" t="s">
        <v>317</v>
      </c>
      <c r="M35" s="1070" t="s">
        <v>318</v>
      </c>
      <c r="N35" s="3524" t="s">
        <v>319</v>
      </c>
      <c r="O35" s="3524" t="s">
        <v>320</v>
      </c>
      <c r="P35" s="1636"/>
      <c r="V35" s="1636"/>
    </row>
    <row r="36" spans="1:22" ht="16.5" customHeight="1">
      <c r="A36" s="280" t="s">
        <v>310</v>
      </c>
      <c r="B36" s="281" t="s">
        <v>299</v>
      </c>
      <c r="C36" s="282" t="s">
        <v>311</v>
      </c>
      <c r="D36" s="282" t="s">
        <v>312</v>
      </c>
      <c r="E36" s="283" t="s">
        <v>313</v>
      </c>
      <c r="F36" s="287"/>
      <c r="G36" s="287"/>
      <c r="H36" s="287"/>
      <c r="I36" s="287"/>
      <c r="J36" s="1644"/>
      <c r="K36" s="3525"/>
      <c r="L36" s="3525"/>
      <c r="M36" s="1072" t="s">
        <v>321</v>
      </c>
      <c r="N36" s="3525"/>
      <c r="O36" s="3525"/>
      <c r="P36" s="1636"/>
      <c r="V36" s="1636"/>
    </row>
    <row r="37" spans="1:22" ht="16.5" customHeight="1" thickBot="1">
      <c r="A37" s="1066" t="s">
        <v>314</v>
      </c>
      <c r="B37" s="270"/>
      <c r="C37" s="271"/>
      <c r="D37" s="271"/>
      <c r="E37" s="272"/>
      <c r="F37" s="287"/>
      <c r="G37" s="287"/>
      <c r="H37" s="287"/>
      <c r="I37" s="287"/>
      <c r="J37" s="1644"/>
      <c r="K37" s="3526"/>
      <c r="L37" s="3526"/>
      <c r="M37" s="1073"/>
      <c r="N37" s="3526"/>
      <c r="O37" s="3526"/>
      <c r="P37" s="1636"/>
      <c r="V37" s="1636"/>
    </row>
    <row r="38" spans="1:22" ht="16.5" customHeight="1" thickBot="1">
      <c r="A38" s="1066" t="s">
        <v>315</v>
      </c>
      <c r="B38" s="270"/>
      <c r="C38" s="271"/>
      <c r="D38" s="271"/>
      <c r="E38" s="272"/>
      <c r="F38" s="287"/>
      <c r="G38" s="287"/>
      <c r="H38" s="287"/>
      <c r="I38" s="287"/>
      <c r="J38" s="1644"/>
      <c r="K38" s="1074">
        <f>'数据-汇总表'!D3</f>
        <v>86493.04</v>
      </c>
      <c r="L38" s="1075">
        <f>'数据-汇总表'!E3</f>
        <v>302725.5</v>
      </c>
      <c r="M38" s="1075">
        <f ca="1">C34</f>
        <v>5560</v>
      </c>
      <c r="N38" s="1075">
        <f ca="1">C33</f>
        <v>1589</v>
      </c>
      <c r="O38" s="1076">
        <f ca="1">C32</f>
        <v>48091</v>
      </c>
      <c r="P38" s="1636"/>
      <c r="V38" s="1636"/>
    </row>
    <row r="39" spans="1:22" ht="16.5" customHeight="1" thickBot="1">
      <c r="A39" s="1071"/>
      <c r="B39" s="284"/>
      <c r="C39" s="285"/>
      <c r="D39" s="285"/>
      <c r="E39" s="286"/>
      <c r="F39" s="287"/>
      <c r="G39" s="287"/>
      <c r="H39" s="287"/>
      <c r="I39" s="287"/>
      <c r="J39" s="1644"/>
      <c r="K39" s="3537" t="str">
        <f>MID(A44,3,LEN(A44)-2)</f>
        <v>抵押价格</v>
      </c>
      <c r="L39" s="3538"/>
      <c r="M39" s="3538"/>
      <c r="N39" s="3539"/>
      <c r="O39" s="1178">
        <f ca="1">C44</f>
        <v>48091</v>
      </c>
      <c r="P39" s="1636"/>
      <c r="V39" s="1636"/>
    </row>
    <row r="40" spans="1:22" ht="19.5" thickBot="1">
      <c r="A40" s="95" t="s">
        <v>810</v>
      </c>
      <c r="B40" s="287"/>
      <c r="C40" s="287"/>
      <c r="D40" s="287"/>
      <c r="E40" s="287"/>
      <c r="F40" s="287"/>
      <c r="G40" s="287"/>
      <c r="H40" s="287"/>
      <c r="I40" s="287"/>
      <c r="J40" s="1644"/>
      <c r="K40" s="3537" t="str">
        <f>MID(A45,3,LEN(A45)-2)</f>
        <v/>
      </c>
      <c r="L40" s="3538"/>
      <c r="M40" s="3538"/>
      <c r="N40" s="3539"/>
      <c r="O40" s="1178" t="str">
        <f>C45</f>
        <v>——</v>
      </c>
      <c r="P40" s="1636"/>
      <c r="V40" s="1636"/>
    </row>
    <row r="41" spans="1:22" ht="16.5" thickBot="1">
      <c r="A41" s="288" t="s">
        <v>322</v>
      </c>
      <c r="B41" s="289"/>
      <c r="C41" s="290" t="s">
        <v>323</v>
      </c>
      <c r="D41" s="291" t="s">
        <v>324</v>
      </c>
      <c r="E41" s="291" t="s">
        <v>325</v>
      </c>
      <c r="F41" s="292" t="s">
        <v>326</v>
      </c>
      <c r="G41" s="287"/>
      <c r="H41" s="287"/>
      <c r="I41" s="287"/>
      <c r="J41" s="1644"/>
      <c r="K41" s="3537" t="str">
        <f>MID(A46,3,LEN(A46)-2)</f>
        <v/>
      </c>
      <c r="L41" s="3538"/>
      <c r="M41" s="3538"/>
      <c r="N41" s="3539"/>
      <c r="O41" s="1178" t="str">
        <f>C46</f>
        <v>——</v>
      </c>
      <c r="P41" s="1636"/>
      <c r="V41" s="1636"/>
    </row>
    <row r="42" spans="1:22" ht="29.25">
      <c r="A42" s="3566" t="s">
        <v>1585</v>
      </c>
      <c r="B42" s="3567"/>
      <c r="C42" s="244">
        <f ca="1">C32</f>
        <v>48091</v>
      </c>
      <c r="D42" s="293">
        <f ca="1">C33</f>
        <v>1589</v>
      </c>
      <c r="E42" s="293">
        <f ca="1">C34</f>
        <v>5560</v>
      </c>
      <c r="F42" s="294">
        <f ca="1">C35</f>
        <v>371</v>
      </c>
      <c r="G42" s="287"/>
      <c r="H42" s="287"/>
      <c r="I42" s="295"/>
      <c r="J42" s="1644"/>
      <c r="K42" s="1077" t="s">
        <v>327</v>
      </c>
      <c r="L42" s="1660" t="s">
        <v>328</v>
      </c>
      <c r="M42" s="1078" t="s">
        <v>329</v>
      </c>
      <c r="N42" s="1661" t="s">
        <v>330</v>
      </c>
      <c r="O42" s="1662" t="s">
        <v>331</v>
      </c>
      <c r="P42" s="1636"/>
      <c r="V42" s="1636"/>
    </row>
    <row r="43" spans="1:22" ht="30">
      <c r="A43" s="3576" t="s">
        <v>2012</v>
      </c>
      <c r="B43" s="3577"/>
      <c r="C43" s="244">
        <f>IF(H33="正常操作",G33+G34+G35,G34+G35)</f>
        <v>0</v>
      </c>
      <c r="D43" s="293" t="s">
        <v>17</v>
      </c>
      <c r="E43" s="293" t="s">
        <v>18</v>
      </c>
      <c r="F43" s="294" t="s">
        <v>18</v>
      </c>
      <c r="G43" s="2171" t="s">
        <v>877</v>
      </c>
      <c r="H43" s="287"/>
      <c r="I43" s="295"/>
      <c r="J43" s="1644"/>
      <c r="K43" s="1079" t="str">
        <f>C4</f>
        <v>比较法-住宅、综合</v>
      </c>
      <c r="L43" s="1080">
        <f ca="1">IF(L42="估价结果/万元",C19,C20)</f>
        <v>24490</v>
      </c>
      <c r="M43" s="1081">
        <f>C18</f>
        <v>0.3</v>
      </c>
      <c r="N43" s="1082">
        <f ca="1">IF(N42="测算结果/万元",G19,G20)</f>
        <v>48091</v>
      </c>
      <c r="O43" s="1083">
        <f ca="1">IF(O42="最终结果/万元",C32,C33)</f>
        <v>48091</v>
      </c>
      <c r="P43" s="1636"/>
      <c r="V43" s="1636"/>
    </row>
    <row r="44" spans="1:22" ht="30.75" thickBot="1">
      <c r="A44" s="3566" t="str">
        <f>IF(OR(项目基本情况!E8="抵押价格",项目基本情况!E8="已注销及未注销"),"3.抵押价格","——")</f>
        <v>3.抵押价格</v>
      </c>
      <c r="B44" s="3567"/>
      <c r="C44" s="244">
        <f ca="1">IF(A44="——","——",C42-C43)</f>
        <v>48091</v>
      </c>
      <c r="D44" s="293">
        <f ca="1">ROUND(C44*10000/'数据-汇总表'!E3,0)</f>
        <v>1589</v>
      </c>
      <c r="E44" s="293">
        <f ca="1">ROUND(C44*10000/'数据-汇总表'!D3,0)</f>
        <v>5560</v>
      </c>
      <c r="F44" s="294">
        <f ca="1">ROUND(C44/('数据-汇总表'!D3/666.67),0)</f>
        <v>371</v>
      </c>
      <c r="G44" s="287"/>
      <c r="H44" s="287"/>
      <c r="I44" s="295"/>
      <c r="J44" s="1644"/>
      <c r="K44" s="1084" t="str">
        <f>D4</f>
        <v>剩余法-待开发</v>
      </c>
      <c r="L44" s="1085">
        <f ca="1">IF(L42="估价结果/万元",D19,D20)</f>
        <v>58206</v>
      </c>
      <c r="M44" s="1086">
        <f>D18</f>
        <v>0.7</v>
      </c>
      <c r="N44" s="1087"/>
      <c r="O44" s="1088"/>
      <c r="P44" s="1636"/>
      <c r="V44" s="1636"/>
    </row>
    <row r="45" spans="1:22" ht="15">
      <c r="A45" s="3571" t="str">
        <f>IF(项目基本情况!E8="已注销及未注销","4.抵押担保权已注销时的抵押价格",IF(项目基本情况!E8="已注销","3.抵押担保权已注销时的抵押价格","——"))</f>
        <v>——</v>
      </c>
      <c r="B45" s="3572"/>
      <c r="C45" s="1498"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4"/>
      <c r="K45" s="1636"/>
      <c r="L45" s="1636"/>
      <c r="M45" s="1636"/>
      <c r="N45" s="1636"/>
      <c r="O45" s="1636"/>
      <c r="P45" s="1636"/>
      <c r="V45" s="1636"/>
    </row>
    <row r="46" spans="1:22" ht="15.75" thickBot="1">
      <c r="A46" s="3568" t="str">
        <f>IF(项目基本情况!E9="抵押净值",IF(A45="——","4.抵押净值","5.抵押净值"),"——")</f>
        <v>——</v>
      </c>
      <c r="B46" s="3569"/>
      <c r="C46" s="296" t="str">
        <f>IF(A46="——","——",O79)</f>
        <v>——</v>
      </c>
      <c r="D46" s="293" t="e">
        <f>ROUND(C46*10000/'数据-汇总表'!E3,0)</f>
        <v>#VALUE!</v>
      </c>
      <c r="E46" s="293" t="e">
        <f>ROUND(C46*10000/'数据-汇总表'!D3,0)</f>
        <v>#VALUE!</v>
      </c>
      <c r="F46" s="294" t="e">
        <f>ROUND(C46/('数据-汇总表'!D3/666.67),0)</f>
        <v>#VALUE!</v>
      </c>
      <c r="G46" s="287"/>
      <c r="H46" s="287"/>
      <c r="I46" s="295"/>
      <c r="J46" s="1644"/>
      <c r="K46" s="1636"/>
      <c r="L46" s="1636"/>
      <c r="M46" s="1636"/>
      <c r="N46" s="1636"/>
      <c r="O46" s="1636"/>
      <c r="P46" s="1636"/>
      <c r="Q46" s="1636"/>
      <c r="R46" s="1636"/>
      <c r="S46" s="1636"/>
      <c r="T46" s="1636"/>
      <c r="U46" s="1636"/>
      <c r="V46" s="1636"/>
    </row>
    <row r="47" spans="1:22" ht="15.75">
      <c r="A47" s="297" t="s">
        <v>332</v>
      </c>
      <c r="B47" s="1089"/>
      <c r="C47" s="298" t="s">
        <v>333</v>
      </c>
      <c r="D47" s="15"/>
      <c r="E47" s="15"/>
      <c r="F47" s="15"/>
      <c r="G47" s="299"/>
      <c r="H47" s="300"/>
      <c r="I47" s="301"/>
      <c r="J47" s="1644"/>
      <c r="K47" s="287" t="str">
        <f>IF(C43=0,"本次评估"&amp;IF(G43="设定","设定估价对象","")&amp;"不存在"&amp;MID(A43,3,LEN(A43)-2),"本次评估"&amp;IF(G43="设定","设定","")&amp;MID(A43,3,LEN(A43)-2)&amp;"为人民币"&amp;C43&amp;"万元整。")</f>
        <v>本次评估不存在估价师知悉的法定优先受偿款</v>
      </c>
      <c r="L47" s="1636"/>
      <c r="M47" s="1636"/>
      <c r="N47" s="1636"/>
      <c r="O47" s="1636"/>
      <c r="P47" s="1636"/>
      <c r="Q47" s="1636"/>
      <c r="R47" s="1636"/>
      <c r="S47" s="1636"/>
      <c r="T47" s="1636"/>
      <c r="U47" s="1636"/>
      <c r="V47" s="1636"/>
    </row>
    <row r="48" spans="1:22" ht="12.75">
      <c r="A48" s="302">
        <v>1</v>
      </c>
      <c r="B48" s="303"/>
      <c r="C48" s="303"/>
      <c r="D48" s="15"/>
      <c r="E48" s="15"/>
      <c r="F48" s="15"/>
      <c r="G48" s="15"/>
      <c r="H48" s="53"/>
      <c r="I48" s="304"/>
      <c r="J48" s="1644"/>
      <c r="K48" s="1636"/>
      <c r="L48" s="1636"/>
      <c r="M48" s="1636"/>
      <c r="N48" s="1636"/>
      <c r="O48" s="1636"/>
      <c r="P48" s="1636"/>
      <c r="Q48" s="1636"/>
      <c r="R48" s="1636"/>
      <c r="S48" s="1636"/>
      <c r="T48" s="1636"/>
      <c r="U48" s="1636"/>
      <c r="V48" s="1636"/>
    </row>
    <row r="49" spans="1:22" ht="12.75">
      <c r="A49" s="302">
        <v>2</v>
      </c>
      <c r="B49" s="303"/>
      <c r="C49" s="303"/>
      <c r="D49" s="15"/>
      <c r="E49" s="15"/>
      <c r="F49" s="15"/>
      <c r="G49" s="15"/>
      <c r="H49" s="53"/>
      <c r="I49" s="304"/>
      <c r="J49" s="1645"/>
      <c r="K49" s="1636"/>
      <c r="L49" s="1636"/>
      <c r="M49" s="1636"/>
      <c r="N49" s="1636"/>
      <c r="O49" s="1636"/>
      <c r="P49" s="1636"/>
      <c r="Q49" s="1636"/>
      <c r="R49" s="1636"/>
      <c r="S49" s="1636"/>
      <c r="T49" s="1636"/>
      <c r="U49" s="1636"/>
      <c r="V49" s="1636"/>
    </row>
    <row r="50" spans="1:22" ht="12.75">
      <c r="A50" s="302">
        <v>3</v>
      </c>
      <c r="B50" s="303"/>
      <c r="C50" s="303"/>
      <c r="D50" s="15"/>
      <c r="E50" s="15"/>
      <c r="F50" s="15"/>
      <c r="G50" s="15"/>
      <c r="H50" s="53"/>
      <c r="I50" s="304"/>
      <c r="J50" s="1645"/>
      <c r="K50" s="1636"/>
      <c r="L50" s="1636"/>
      <c r="M50" s="1636"/>
      <c r="N50" s="1636"/>
      <c r="O50" s="1636"/>
      <c r="P50" s="1636"/>
      <c r="Q50" s="1636"/>
      <c r="R50" s="1636"/>
      <c r="S50" s="1636"/>
      <c r="T50" s="1636"/>
      <c r="U50" s="1636"/>
      <c r="V50" s="1636"/>
    </row>
    <row r="51" spans="1:22" ht="12.75">
      <c r="A51" s="305"/>
      <c r="B51" s="306"/>
      <c r="C51" s="306"/>
      <c r="D51" s="307"/>
      <c r="E51" s="307"/>
      <c r="F51" s="307"/>
      <c r="G51" s="307"/>
      <c r="H51" s="308"/>
      <c r="I51" s="309"/>
      <c r="J51" s="1645"/>
      <c r="K51" s="1636"/>
      <c r="L51" s="1636"/>
      <c r="M51" s="1636"/>
      <c r="N51" s="1636"/>
      <c r="O51" s="1636"/>
      <c r="P51" s="1636"/>
      <c r="Q51" s="1636"/>
      <c r="R51" s="1636"/>
      <c r="S51" s="1636"/>
      <c r="T51" s="1636"/>
      <c r="U51" s="1636"/>
      <c r="V51" s="1636"/>
    </row>
    <row r="52" spans="1:22" ht="12.75">
      <c r="A52" s="303"/>
      <c r="B52" s="303"/>
      <c r="C52" s="303"/>
      <c r="D52" s="15"/>
      <c r="E52" s="15"/>
      <c r="F52" s="15"/>
      <c r="G52" s="15"/>
      <c r="H52" s="53"/>
      <c r="I52" s="237"/>
      <c r="J52" s="1645"/>
      <c r="K52" s="1636"/>
      <c r="L52" s="1636"/>
      <c r="M52" s="1636"/>
      <c r="N52" s="1636"/>
      <c r="O52" s="1636"/>
      <c r="P52" s="1636"/>
      <c r="Q52" s="1636"/>
      <c r="R52" s="1636"/>
      <c r="S52" s="1636"/>
      <c r="T52" s="1636"/>
      <c r="U52" s="1636"/>
      <c r="V52" s="1636"/>
    </row>
    <row r="53" spans="1:22" ht="12.75">
      <c r="A53" s="237"/>
      <c r="B53" s="237"/>
      <c r="C53" s="237"/>
      <c r="D53" s="237"/>
      <c r="E53" s="237"/>
      <c r="F53" s="310" t="s">
        <v>334</v>
      </c>
      <c r="G53" s="311"/>
      <c r="H53" s="311"/>
      <c r="I53" s="312" t="s">
        <v>335</v>
      </c>
      <c r="J53" s="1645"/>
      <c r="K53" s="1636"/>
      <c r="L53" s="1636"/>
      <c r="M53" s="1636"/>
      <c r="N53" s="1636"/>
      <c r="O53" s="1636"/>
      <c r="P53" s="1636"/>
      <c r="Q53" s="1636"/>
      <c r="R53" s="1636"/>
      <c r="S53" s="1636"/>
      <c r="T53" s="1636"/>
      <c r="U53" s="1636"/>
      <c r="V53" s="1636"/>
    </row>
    <row r="54" spans="1:22" ht="12.75">
      <c r="A54" s="237"/>
      <c r="B54" s="313" t="s">
        <v>336</v>
      </c>
      <c r="C54" s="237"/>
      <c r="D54" s="237"/>
      <c r="E54" s="237"/>
      <c r="F54" s="237"/>
      <c r="G54" s="237"/>
      <c r="H54" s="237"/>
      <c r="I54" s="237"/>
      <c r="J54" s="1645"/>
      <c r="K54" s="1636"/>
      <c r="L54" s="1636"/>
      <c r="M54" s="1636"/>
      <c r="N54" s="1636"/>
      <c r="O54" s="1636"/>
      <c r="P54" s="1636"/>
      <c r="Q54" s="1636"/>
      <c r="R54" s="1636"/>
      <c r="S54" s="1636"/>
      <c r="T54" s="1636"/>
      <c r="U54" s="1636"/>
      <c r="V54" s="1636"/>
    </row>
    <row r="55" spans="1:22" ht="12.75">
      <c r="A55" s="237"/>
      <c r="B55" s="237"/>
      <c r="C55" s="237"/>
      <c r="D55" s="237"/>
      <c r="E55" s="237"/>
      <c r="F55" s="237"/>
      <c r="G55" s="237"/>
      <c r="H55" s="237"/>
      <c r="I55" s="237"/>
      <c r="J55" s="1645"/>
      <c r="K55" s="1636"/>
      <c r="L55" s="1636"/>
      <c r="M55" s="1636"/>
      <c r="N55" s="1636"/>
      <c r="O55" s="1636"/>
      <c r="P55" s="1636"/>
      <c r="Q55" s="1636"/>
      <c r="R55" s="1636"/>
      <c r="S55" s="1636"/>
      <c r="T55" s="1636"/>
      <c r="U55" s="1636"/>
      <c r="V55" s="1636"/>
    </row>
    <row r="56" spans="1:22" ht="12.75">
      <c r="A56" s="237"/>
      <c r="B56" s="311"/>
      <c r="C56" s="311"/>
      <c r="D56" s="311"/>
      <c r="E56" s="311"/>
      <c r="F56" s="311"/>
      <c r="G56" s="311"/>
      <c r="H56" s="311"/>
      <c r="I56" s="312" t="s">
        <v>337</v>
      </c>
      <c r="J56" s="1645"/>
      <c r="K56" s="1636"/>
      <c r="L56" s="1636"/>
      <c r="M56" s="1636"/>
      <c r="N56" s="1636"/>
      <c r="O56" s="1636"/>
      <c r="P56" s="1636"/>
      <c r="Q56" s="1636"/>
      <c r="R56" s="1636"/>
      <c r="S56" s="1636"/>
      <c r="T56" s="1636"/>
      <c r="U56" s="1636"/>
      <c r="V56" s="1636"/>
    </row>
    <row r="57" spans="1:22" ht="12.75">
      <c r="A57" s="237"/>
      <c r="B57" s="313" t="s">
        <v>338</v>
      </c>
      <c r="C57" s="237"/>
      <c r="D57" s="237"/>
      <c r="E57" s="237"/>
      <c r="F57" s="237"/>
      <c r="G57" s="237"/>
      <c r="H57" s="237"/>
      <c r="I57" s="237"/>
      <c r="J57" s="1645"/>
      <c r="K57" s="1636"/>
      <c r="L57" s="1636"/>
      <c r="M57" s="1636"/>
      <c r="N57" s="1636"/>
      <c r="O57" s="1636"/>
      <c r="P57" s="1636"/>
      <c r="Q57" s="1636"/>
      <c r="R57" s="1636"/>
      <c r="S57" s="1636"/>
      <c r="T57" s="1636"/>
      <c r="U57" s="1636"/>
      <c r="V57" s="1636"/>
    </row>
    <row r="58" spans="1:22" ht="12.75">
      <c r="A58" s="237"/>
      <c r="B58" s="313"/>
      <c r="C58" s="237"/>
      <c r="D58" s="237"/>
      <c r="E58" s="237"/>
      <c r="F58" s="237"/>
      <c r="G58" s="237"/>
      <c r="H58" s="237"/>
      <c r="I58" s="237"/>
      <c r="J58" s="1645"/>
      <c r="K58" s="1636"/>
      <c r="L58" s="1636"/>
      <c r="M58" s="1636"/>
      <c r="N58" s="1636"/>
      <c r="O58" s="1636"/>
      <c r="P58" s="1636"/>
      <c r="Q58" s="1636"/>
      <c r="R58" s="1636"/>
      <c r="S58" s="1636"/>
      <c r="T58" s="1636"/>
      <c r="U58" s="1636"/>
      <c r="V58" s="1636"/>
    </row>
    <row r="59" spans="1:22" ht="12.75">
      <c r="A59" s="237"/>
      <c r="B59" s="311"/>
      <c r="C59" s="311"/>
      <c r="D59" s="311"/>
      <c r="E59" s="311"/>
      <c r="F59" s="311"/>
      <c r="G59" s="311"/>
      <c r="H59" s="311"/>
      <c r="I59" s="312" t="s">
        <v>337</v>
      </c>
      <c r="J59" s="1645"/>
      <c r="K59" s="1636"/>
      <c r="L59" s="1636"/>
      <c r="M59" s="1636"/>
      <c r="N59" s="1636"/>
      <c r="O59" s="1636"/>
      <c r="P59" s="1636"/>
      <c r="Q59" s="1636"/>
      <c r="R59" s="1636"/>
      <c r="S59" s="1636"/>
      <c r="T59" s="1636"/>
      <c r="U59" s="1636"/>
      <c r="V59" s="1636"/>
    </row>
    <row r="60" spans="1:22" ht="12.75">
      <c r="A60" s="237"/>
      <c r="B60" s="237"/>
      <c r="C60" s="237"/>
      <c r="D60" s="237"/>
      <c r="E60" s="237"/>
      <c r="F60" s="237"/>
      <c r="G60" s="237"/>
      <c r="H60" s="237"/>
      <c r="I60" s="237"/>
      <c r="J60" s="1645"/>
      <c r="K60" s="1636"/>
      <c r="L60" s="1636"/>
      <c r="M60" s="1636"/>
      <c r="N60" s="1636"/>
      <c r="O60" s="1636"/>
      <c r="P60" s="1636"/>
      <c r="Q60" s="1636"/>
      <c r="R60" s="1636"/>
      <c r="S60" s="1636"/>
      <c r="T60" s="1636"/>
      <c r="U60" s="1636"/>
      <c r="V60" s="1636"/>
    </row>
    <row r="61" spans="1:22" ht="12.75">
      <c r="A61" s="237"/>
      <c r="B61" s="313"/>
      <c r="C61" s="314"/>
      <c r="D61" s="197"/>
      <c r="E61" s="197"/>
      <c r="F61" s="234"/>
      <c r="G61" s="237"/>
      <c r="H61" s="237"/>
      <c r="I61" s="237"/>
      <c r="J61" s="1645"/>
      <c r="K61" s="1636"/>
      <c r="L61" s="1636"/>
      <c r="M61" s="1636"/>
      <c r="N61" s="1636"/>
      <c r="O61" s="1636"/>
      <c r="P61" s="1636"/>
      <c r="Q61" s="1636"/>
      <c r="R61" s="1636"/>
      <c r="S61" s="1636"/>
      <c r="T61" s="1636"/>
      <c r="U61" s="1636"/>
      <c r="V61" s="1636"/>
    </row>
    <row r="62" spans="1:22" ht="18.75">
      <c r="A62" s="11" t="s">
        <v>339</v>
      </c>
      <c r="B62" s="1090"/>
      <c r="C62" s="1090"/>
      <c r="D62" s="1091"/>
      <c r="E62" s="1091"/>
      <c r="F62" s="1092"/>
      <c r="G62" s="1092"/>
      <c r="H62" s="1092"/>
      <c r="I62" s="1092"/>
      <c r="J62" s="1646"/>
      <c r="K62" s="1636"/>
      <c r="L62" s="1636"/>
      <c r="M62" s="1636"/>
      <c r="N62" s="1636"/>
      <c r="O62" s="1636"/>
      <c r="P62" s="1636"/>
      <c r="Q62" s="1636"/>
      <c r="R62" s="1636"/>
      <c r="S62" s="1636"/>
      <c r="T62" s="1636"/>
      <c r="U62" s="1636"/>
      <c r="V62" s="1636"/>
    </row>
    <row r="63" spans="1:22" ht="14.25" customHeight="1" thickBot="1">
      <c r="A63" s="3529" t="s">
        <v>340</v>
      </c>
      <c r="B63" s="3530"/>
      <c r="C63" s="3531"/>
      <c r="D63" s="315">
        <f ca="1">ROUND(C42*F63,0)</f>
        <v>48091</v>
      </c>
      <c r="E63" s="279" t="s">
        <v>341</v>
      </c>
      <c r="F63" s="316">
        <v>1</v>
      </c>
      <c r="G63" s="317" t="s">
        <v>342</v>
      </c>
      <c r="H63" s="287"/>
      <c r="I63" s="287"/>
      <c r="J63" s="1636"/>
      <c r="K63" s="1636"/>
      <c r="L63" s="1636"/>
      <c r="M63" s="1636"/>
      <c r="N63" s="1636"/>
      <c r="O63" s="1636"/>
      <c r="P63" s="1636"/>
      <c r="Q63" s="1636"/>
      <c r="R63" s="1636"/>
      <c r="S63" s="1636"/>
      <c r="T63" s="1636"/>
      <c r="U63" s="1636"/>
      <c r="V63" s="1636"/>
    </row>
    <row r="64" spans="1:22" ht="14.25" customHeight="1">
      <c r="A64" s="3573" t="s">
        <v>344</v>
      </c>
      <c r="B64" s="3574"/>
      <c r="C64" s="3574"/>
      <c r="D64" s="3574"/>
      <c r="E64" s="3574"/>
      <c r="F64" s="3574"/>
      <c r="G64" s="3575"/>
      <c r="H64" s="1093"/>
      <c r="I64" s="866"/>
      <c r="J64" s="1638"/>
      <c r="K64" s="1301" t="s">
        <v>343</v>
      </c>
      <c r="L64" s="9"/>
      <c r="M64" s="9"/>
      <c r="N64" s="9"/>
      <c r="O64" s="9"/>
      <c r="P64" s="287"/>
      <c r="Q64" s="1636"/>
      <c r="R64" s="1636"/>
      <c r="S64" s="1636"/>
      <c r="T64" s="1636"/>
      <c r="U64" s="1636"/>
      <c r="V64" s="1636"/>
    </row>
    <row r="65" spans="1:22" ht="12" customHeight="1">
      <c r="A65" s="318" t="s">
        <v>346</v>
      </c>
      <c r="B65" s="319"/>
      <c r="C65" s="320"/>
      <c r="D65" s="321" t="s">
        <v>347</v>
      </c>
      <c r="E65" s="49" t="s">
        <v>348</v>
      </c>
      <c r="F65" s="322" t="s">
        <v>349</v>
      </c>
      <c r="G65" s="323" t="s">
        <v>350</v>
      </c>
      <c r="H65" s="1093"/>
      <c r="I65" s="866"/>
      <c r="J65" s="1638"/>
      <c r="K65" s="1094"/>
      <c r="L65" s="1095"/>
      <c r="M65" s="1095"/>
      <c r="N65" s="1125" t="s">
        <v>345</v>
      </c>
      <c r="O65" s="1126"/>
      <c r="P65" s="1127"/>
      <c r="Q65" s="1636"/>
      <c r="R65" s="1636"/>
      <c r="S65" s="1636"/>
      <c r="T65" s="1636"/>
      <c r="U65" s="1636"/>
      <c r="V65" s="1636"/>
    </row>
    <row r="66" spans="1:22" ht="25.5">
      <c r="A66" s="3570" t="s">
        <v>352</v>
      </c>
      <c r="B66" s="3536"/>
      <c r="C66" s="3536"/>
      <c r="D66" s="241" t="b">
        <f>IF(H66="情况1",0,IF(H66="情况2",D70,IF(H66="情况3",D71,IF(H66="情况4",D72))))</f>
        <v>0</v>
      </c>
      <c r="E66" s="906" t="str">
        <f>IF(H66="情况4","(销售额-原购置价)×税（费）率","销售额×税（费）率")</f>
        <v>销售额×税（费）率</v>
      </c>
      <c r="F66" s="324">
        <f>IF(H66="情况1","免征",'数据-取费表'!B41)</f>
        <v>5.6000000000000001E-2</v>
      </c>
      <c r="G66" s="325" t="s">
        <v>353</v>
      </c>
      <c r="H66" s="174"/>
      <c r="I66" s="1093"/>
      <c r="J66" s="1648"/>
      <c r="K66" s="1096">
        <v>1</v>
      </c>
      <c r="L66" s="3497" t="s">
        <v>351</v>
      </c>
      <c r="M66" s="3498"/>
      <c r="N66" s="1973"/>
      <c r="O66" s="1974"/>
      <c r="P66" s="1975"/>
      <c r="Q66" s="1636"/>
      <c r="R66" s="1636"/>
      <c r="S66" s="1636"/>
      <c r="T66" s="1636"/>
      <c r="U66" s="1636"/>
      <c r="V66" s="1636"/>
    </row>
    <row r="67" spans="1:22" ht="25.5" customHeight="1">
      <c r="A67" s="326" t="s">
        <v>355</v>
      </c>
      <c r="B67" s="3548" t="s">
        <v>356</v>
      </c>
      <c r="C67" s="3548"/>
      <c r="D67" s="327">
        <v>0</v>
      </c>
      <c r="E67" s="37" t="s">
        <v>357</v>
      </c>
      <c r="F67" s="58" t="s">
        <v>15</v>
      </c>
      <c r="G67" s="3532"/>
      <c r="H67" s="2542" t="s">
        <v>2252</v>
      </c>
      <c r="I67" s="2544"/>
      <c r="J67" s="1649"/>
      <c r="K67" s="1632">
        <v>2</v>
      </c>
      <c r="L67" s="3502" t="s">
        <v>354</v>
      </c>
      <c r="M67" s="3502"/>
      <c r="N67" s="1128">
        <f>'数据-取费表'!B2</f>
        <v>45057</v>
      </c>
      <c r="O67" s="1128"/>
      <c r="P67" s="1128"/>
      <c r="Q67" s="1636"/>
      <c r="R67" s="1636"/>
      <c r="S67" s="1636"/>
      <c r="T67" s="1636"/>
      <c r="U67" s="1636"/>
      <c r="V67" s="1636"/>
    </row>
    <row r="68" spans="1:22" ht="25.5" customHeight="1">
      <c r="A68" s="328"/>
      <c r="B68" s="3548" t="s">
        <v>359</v>
      </c>
      <c r="C68" s="3548"/>
      <c r="D68" s="329"/>
      <c r="E68" s="73"/>
      <c r="F68" s="330"/>
      <c r="G68" s="3533"/>
      <c r="H68" s="2543" t="s">
        <v>2253</v>
      </c>
      <c r="I68" s="2544"/>
      <c r="J68" s="1649"/>
      <c r="K68" s="1632">
        <v>3</v>
      </c>
      <c r="L68" s="3502" t="s">
        <v>358</v>
      </c>
      <c r="M68" s="3502"/>
      <c r="N68" s="1098">
        <f ca="1">C42</f>
        <v>48091</v>
      </c>
      <c r="O68" s="1098"/>
      <c r="P68" s="1098"/>
      <c r="Q68" s="1636"/>
      <c r="R68" s="1636"/>
      <c r="S68" s="1636"/>
      <c r="T68" s="1636"/>
      <c r="U68" s="1636"/>
      <c r="V68" s="1636"/>
    </row>
    <row r="69" spans="1:22" ht="23.45" customHeight="1">
      <c r="A69" s="331"/>
      <c r="B69" s="3548" t="s">
        <v>360</v>
      </c>
      <c r="C69" s="3548"/>
      <c r="D69" s="332"/>
      <c r="E69" s="69"/>
      <c r="F69" s="330"/>
      <c r="G69" s="3534"/>
      <c r="H69" s="2543" t="s">
        <v>2254</v>
      </c>
      <c r="I69" s="2544"/>
      <c r="J69" s="1649"/>
      <c r="K69" s="1099">
        <v>4</v>
      </c>
      <c r="L69" s="3503" t="s">
        <v>2157</v>
      </c>
      <c r="M69" s="3504"/>
      <c r="N69" s="1100">
        <f ca="1">C44</f>
        <v>48091</v>
      </c>
      <c r="O69" s="1100"/>
      <c r="P69" s="1100"/>
      <c r="Q69" s="1636"/>
      <c r="R69" s="1636"/>
      <c r="S69" s="1636"/>
      <c r="T69" s="1636"/>
      <c r="U69" s="1636"/>
      <c r="V69" s="1636"/>
    </row>
    <row r="70" spans="1:22" ht="24" customHeight="1">
      <c r="A70" s="333" t="s">
        <v>361</v>
      </c>
      <c r="B70" s="3548" t="s">
        <v>362</v>
      </c>
      <c r="C70" s="3548"/>
      <c r="D70" s="332">
        <f ca="1">ROUND(D63*'数据-取费表'!B41/(1+'数据-取费表'!C42),0)</f>
        <v>2565</v>
      </c>
      <c r="E70" s="14" t="s">
        <v>363</v>
      </c>
      <c r="F70" s="334">
        <f>'数据-取费表'!B41</f>
        <v>5.6000000000000001E-2</v>
      </c>
      <c r="G70" s="335"/>
      <c r="H70" s="287"/>
      <c r="I70" s="1097"/>
      <c r="J70" s="1649"/>
      <c r="K70" s="2333"/>
      <c r="L70" s="2334"/>
      <c r="M70" s="2334"/>
      <c r="N70" s="2335" t="s">
        <v>2161</v>
      </c>
      <c r="O70" s="2334"/>
      <c r="P70" s="2336"/>
      <c r="Q70" s="1636"/>
      <c r="R70" s="1636"/>
      <c r="S70" s="1636"/>
      <c r="T70" s="1636"/>
      <c r="U70" s="1636"/>
      <c r="V70" s="1636"/>
    </row>
    <row r="71" spans="1:22" ht="12" customHeight="1">
      <c r="A71" s="333" t="s">
        <v>369</v>
      </c>
      <c r="B71" s="3547" t="s">
        <v>2281</v>
      </c>
      <c r="C71" s="3564"/>
      <c r="D71" s="332">
        <f ca="1">ROUND(D63*'数据-取费表'!B41/(1+'数据-取费表'!C42),0)</f>
        <v>2565</v>
      </c>
      <c r="E71" s="14" t="s">
        <v>363</v>
      </c>
      <c r="F71" s="334">
        <f>'数据-取费表'!B41</f>
        <v>5.6000000000000001E-2</v>
      </c>
      <c r="G71" s="335"/>
      <c r="H71" s="287"/>
      <c r="I71" s="1097"/>
      <c r="J71" s="1649"/>
      <c r="K71" s="2332" t="s">
        <v>364</v>
      </c>
      <c r="L71" s="3505" t="s">
        <v>365</v>
      </c>
      <c r="M71" s="3505"/>
      <c r="N71" s="2332" t="s">
        <v>366</v>
      </c>
      <c r="O71" s="2332" t="s">
        <v>367</v>
      </c>
      <c r="P71" s="2332" t="s">
        <v>368</v>
      </c>
      <c r="Q71" s="1636"/>
      <c r="R71" s="1636"/>
      <c r="S71" s="1636"/>
      <c r="T71" s="1636"/>
      <c r="U71" s="1636"/>
      <c r="V71" s="1636"/>
    </row>
    <row r="72" spans="1:22" ht="12" customHeight="1">
      <c r="A72" s="333" t="s">
        <v>371</v>
      </c>
      <c r="B72" s="3547" t="s">
        <v>2282</v>
      </c>
      <c r="C72" s="3564"/>
      <c r="D72" s="332">
        <f ca="1">C86</f>
        <v>2565</v>
      </c>
      <c r="E72" s="69" t="s">
        <v>372</v>
      </c>
      <c r="F72" s="334">
        <f>'数据-取费表'!B41</f>
        <v>5.6000000000000001E-2</v>
      </c>
      <c r="G72" s="335"/>
      <c r="H72" s="1103"/>
      <c r="I72" s="1097"/>
      <c r="J72" s="1649"/>
      <c r="K72" s="1632">
        <v>1</v>
      </c>
      <c r="L72" s="3501" t="s">
        <v>370</v>
      </c>
      <c r="M72" s="3501"/>
      <c r="N72" s="1101" t="b">
        <f>D66</f>
        <v>0</v>
      </c>
      <c r="O72" s="1539" t="str">
        <f>E66</f>
        <v>销售额×税（费）率</v>
      </c>
      <c r="P72" s="1102">
        <f>F66</f>
        <v>5.6000000000000001E-2</v>
      </c>
      <c r="Q72" s="1636"/>
      <c r="R72" s="1636"/>
      <c r="S72" s="1636"/>
      <c r="T72" s="1636"/>
      <c r="U72" s="1636"/>
      <c r="V72" s="1636"/>
    </row>
    <row r="73" spans="1:22" ht="24" customHeight="1">
      <c r="A73" s="3535" t="s">
        <v>374</v>
      </c>
      <c r="B73" s="3536"/>
      <c r="C73" s="3536"/>
      <c r="D73" s="336">
        <f ca="1">IF(H73="个人住宅",0,ROUND(D63*I73,0))</f>
        <v>24</v>
      </c>
      <c r="E73" s="14" t="s">
        <v>375</v>
      </c>
      <c r="F73" s="334" t="str">
        <f>IF(H73="正常",I73,"免征")</f>
        <v>免征</v>
      </c>
      <c r="G73" s="335"/>
      <c r="H73" s="174"/>
      <c r="I73" s="334">
        <f>'数据-取费表'!B49</f>
        <v>5.0000000000000001E-4</v>
      </c>
      <c r="J73" s="1649"/>
      <c r="K73" s="1632">
        <v>2</v>
      </c>
      <c r="L73" s="3501" t="s">
        <v>373</v>
      </c>
      <c r="M73" s="3501"/>
      <c r="N73" s="1101">
        <f t="shared" ref="N73:P74" ca="1" si="0">D73</f>
        <v>24</v>
      </c>
      <c r="O73" s="1539" t="str">
        <f t="shared" si="0"/>
        <v>销售额×税（费）率</v>
      </c>
      <c r="P73" s="1102" t="str">
        <f t="shared" si="0"/>
        <v>免征</v>
      </c>
      <c r="Q73" s="1636"/>
      <c r="R73" s="1636"/>
      <c r="S73" s="1636"/>
      <c r="T73" s="1636"/>
      <c r="U73" s="1636"/>
      <c r="V73" s="1636"/>
    </row>
    <row r="74" spans="1:22" ht="24.75">
      <c r="A74" s="3535" t="s">
        <v>377</v>
      </c>
      <c r="B74" s="3536"/>
      <c r="C74" s="3536"/>
      <c r="D74" s="336">
        <f ca="1">IF(H74="个人住宅",D75,D76)</f>
        <v>27219</v>
      </c>
      <c r="E74" s="14" t="s">
        <v>378</v>
      </c>
      <c r="F74" s="334" t="str">
        <f>IF(H74="正常",F76,"免征")</f>
        <v>免征</v>
      </c>
      <c r="G74" s="897" t="s">
        <v>379</v>
      </c>
      <c r="H74" s="337"/>
      <c r="I74" s="38"/>
      <c r="J74" s="1649"/>
      <c r="K74" s="1632">
        <v>3</v>
      </c>
      <c r="L74" s="3501" t="s">
        <v>376</v>
      </c>
      <c r="M74" s="3501"/>
      <c r="N74" s="1101">
        <f t="shared" ca="1" si="0"/>
        <v>27219</v>
      </c>
      <c r="O74" s="1539" t="str">
        <f t="shared" si="0"/>
        <v>增值额×税（费）率</v>
      </c>
      <c r="P74" s="1104" t="str">
        <f t="shared" si="0"/>
        <v>免征</v>
      </c>
      <c r="Q74" s="1636"/>
      <c r="R74" s="1636"/>
      <c r="S74" s="1636"/>
      <c r="T74" s="1636"/>
      <c r="U74" s="1636"/>
      <c r="V74" s="1636"/>
    </row>
    <row r="75" spans="1:22" ht="12.75">
      <c r="A75" s="333" t="s">
        <v>380</v>
      </c>
      <c r="B75" s="3516" t="s">
        <v>381</v>
      </c>
      <c r="C75" s="3517"/>
      <c r="D75" s="338">
        <v>0</v>
      </c>
      <c r="E75" s="37" t="s">
        <v>382</v>
      </c>
      <c r="F75" s="339"/>
      <c r="G75" s="335"/>
      <c r="H75" s="38"/>
      <c r="I75" s="38"/>
      <c r="J75" s="1649"/>
      <c r="K75" s="1632">
        <f>IF(H77="非个人房产","",4)</f>
        <v>4</v>
      </c>
      <c r="L75" s="3501" t="str">
        <f>IF(H77="非个人房产","——","个人所得税")</f>
        <v>个人所得税</v>
      </c>
      <c r="M75" s="3501"/>
      <c r="N75" s="1105">
        <f>D77</f>
        <v>0</v>
      </c>
      <c r="O75" s="1540" t="str">
        <f>E77</f>
        <v>差额计税</v>
      </c>
      <c r="P75" s="1106">
        <f>F77</f>
        <v>0.01</v>
      </c>
      <c r="Q75" s="1636"/>
      <c r="R75" s="1636"/>
      <c r="S75" s="1636"/>
      <c r="T75" s="1636"/>
      <c r="U75" s="1636"/>
      <c r="V75" s="1636"/>
    </row>
    <row r="76" spans="1:22" ht="24.75">
      <c r="A76" s="333" t="s">
        <v>361</v>
      </c>
      <c r="B76" s="3516" t="s">
        <v>384</v>
      </c>
      <c r="C76" s="3558"/>
      <c r="D76" s="336">
        <f ca="1">IF(H76="转让取得",C99,C115)</f>
        <v>27219</v>
      </c>
      <c r="E76" s="14" t="s">
        <v>385</v>
      </c>
      <c r="F76" s="49" t="s">
        <v>15</v>
      </c>
      <c r="G76" s="335"/>
      <c r="H76" s="337"/>
      <c r="I76" s="38"/>
      <c r="J76" s="1649"/>
      <c r="K76" s="1632" t="str">
        <f>IF(项目基本情况!K6="上海银行",IF(K75="",4,K75+1),"")</f>
        <v/>
      </c>
      <c r="L76" s="3512" t="str">
        <f>IF(项目基本情况!K6="上海银行","其他处置费用","")</f>
        <v/>
      </c>
      <c r="M76" s="3513"/>
      <c r="N76" s="1101" t="str">
        <f>IF(项目基本情况!K6="上海银行",N89,"")</f>
        <v/>
      </c>
      <c r="O76" s="3514" t="str">
        <f>IF(项目基本情况!K6="上海银行","包含处置中涉及的律师、诉讼、拍卖、评估等费用","")</f>
        <v/>
      </c>
      <c r="P76" s="3515"/>
      <c r="Q76" s="1636"/>
      <c r="R76" s="1636"/>
      <c r="S76" s="1636"/>
      <c r="T76" s="1636"/>
      <c r="U76" s="1636"/>
      <c r="V76" s="1636"/>
    </row>
    <row r="77" spans="1:22" ht="24.75" thickBot="1">
      <c r="A77" s="3527" t="s">
        <v>387</v>
      </c>
      <c r="B77" s="3528"/>
      <c r="C77" s="3528"/>
      <c r="D77" s="2547">
        <f>IF(H77="非个人房产","——",IF(H77="个人住宅（满五唯一有凭证）",0,IF(H77="个人其他（无凭证）",ROUND(D63*F77,0),ROUND(C84*F77,0))))</f>
        <v>0</v>
      </c>
      <c r="E77" s="2548" t="str">
        <f>IF(H77="非个人房产","——",IF(H77="个人其他（无凭证）","销售额×税（费）率",IF(H77="个人住宅（满五唯一有凭证）","免征","差额计税")))</f>
        <v>差额计税</v>
      </c>
      <c r="F77" s="2549">
        <f>IF(OR(H77="非个人房产",H77="个人住宅（满五唯一有凭证）"),"——",IF(H77="个人其他（有凭证）",20%,1%))</f>
        <v>0.01</v>
      </c>
      <c r="G77" s="898" t="s">
        <v>379</v>
      </c>
      <c r="H77" s="2546"/>
      <c r="I77" s="2545" t="s">
        <v>2255</v>
      </c>
      <c r="J77" s="1649"/>
      <c r="K77" s="3523">
        <f>IF(AND(K75="",K76=""),4,IF(项目基本情况!K6="上海银行",K76+1,K75+1))</f>
        <v>5</v>
      </c>
      <c r="L77" s="3501" t="s">
        <v>2158</v>
      </c>
      <c r="M77" s="2331" t="s">
        <v>383</v>
      </c>
      <c r="N77" s="1107"/>
      <c r="O77" s="1108">
        <f ca="1">SUMIF(N72:N76,"&lt;9e307")</f>
        <v>27243</v>
      </c>
      <c r="P77" s="1109"/>
      <c r="Q77" s="2329">
        <f ca="1">O77/N69</f>
        <v>0.56648853215778416</v>
      </c>
      <c r="R77" s="1636"/>
      <c r="S77" s="1636"/>
      <c r="T77" s="1636"/>
      <c r="U77" s="1636"/>
      <c r="V77" s="1636"/>
    </row>
    <row r="78" spans="1:22" ht="12" customHeight="1">
      <c r="A78" s="1110"/>
      <c r="B78" s="287"/>
      <c r="C78" s="287"/>
      <c r="D78" s="287"/>
      <c r="E78" s="38"/>
      <c r="F78" s="38"/>
      <c r="G78" s="38"/>
      <c r="H78" s="866"/>
      <c r="I78" s="287"/>
      <c r="J78" s="1649"/>
      <c r="K78" s="3523"/>
      <c r="L78" s="3501"/>
      <c r="M78" s="2331" t="s">
        <v>386</v>
      </c>
      <c r="N78" s="1107"/>
      <c r="O78" s="1108" t="str">
        <f ca="1">NUMBERSTRING(INT(O77*10000),2)&amp;"元整"</f>
        <v>贰亿柒仟贰佰肆拾叁万元整</v>
      </c>
      <c r="P78" s="1109"/>
      <c r="Q78" s="1636"/>
      <c r="R78" s="1636"/>
      <c r="S78" s="1636"/>
      <c r="T78" s="1636"/>
      <c r="U78" s="1636"/>
      <c r="V78" s="1636"/>
    </row>
    <row r="79" spans="1:22" ht="13.5" thickBot="1">
      <c r="A79" s="3578" t="s">
        <v>388</v>
      </c>
      <c r="B79" s="3578"/>
      <c r="C79" s="3578"/>
      <c r="D79" s="3578"/>
      <c r="E79" s="3578"/>
      <c r="F79" s="38"/>
      <c r="G79" s="38"/>
      <c r="H79" s="866"/>
      <c r="I79" s="287"/>
      <c r="J79" s="1649"/>
      <c r="K79" s="3499">
        <f>K77+1</f>
        <v>6</v>
      </c>
      <c r="L79" s="3501" t="s">
        <v>2159</v>
      </c>
      <c r="M79" s="2331" t="s">
        <v>383</v>
      </c>
      <c r="N79" s="1107"/>
      <c r="O79" s="1108">
        <f ca="1">N69-O77</f>
        <v>20848</v>
      </c>
      <c r="P79" s="1109"/>
      <c r="Q79" s="1636"/>
      <c r="R79" s="1636"/>
      <c r="S79" s="1636"/>
      <c r="T79" s="1636"/>
      <c r="U79" s="1636"/>
      <c r="V79" s="1636"/>
    </row>
    <row r="80" spans="1:22" ht="25.5">
      <c r="A80" s="3509" t="s">
        <v>389</v>
      </c>
      <c r="B80" s="3510"/>
      <c r="C80" s="907"/>
      <c r="D80" s="907" t="s">
        <v>390</v>
      </c>
      <c r="E80" s="340" t="s">
        <v>391</v>
      </c>
      <c r="F80" s="38"/>
      <c r="G80" s="38"/>
      <c r="H80" s="866"/>
      <c r="I80" s="287"/>
      <c r="J80" s="1636"/>
      <c r="K80" s="3500"/>
      <c r="L80" s="3501"/>
      <c r="M80" s="2331" t="s">
        <v>386</v>
      </c>
      <c r="N80" s="1107"/>
      <c r="O80" s="1108" t="str">
        <f ca="1">NUMBERSTRING(INT(O79*10000),2)&amp;"元整"</f>
        <v>贰亿零捌佰肆拾捌万元整</v>
      </c>
      <c r="P80" s="1109"/>
      <c r="Q80" s="1636"/>
      <c r="R80" s="1636"/>
      <c r="S80" s="1636"/>
      <c r="T80" s="1636"/>
      <c r="U80" s="1636"/>
      <c r="V80" s="1636"/>
    </row>
    <row r="81" spans="1:26" ht="13.5" thickBot="1">
      <c r="A81" s="351" t="s">
        <v>1352</v>
      </c>
      <c r="B81" s="341" t="s">
        <v>392</v>
      </c>
      <c r="C81" s="342">
        <f ca="1">ROUND((C82+C83)/(1+'数据-取费表'!C42),0)</f>
        <v>45801</v>
      </c>
      <c r="D81" s="343"/>
      <c r="E81" s="344"/>
      <c r="F81" s="38"/>
      <c r="G81" s="38"/>
      <c r="H81" s="866"/>
      <c r="I81" s="287"/>
      <c r="J81" s="1636"/>
      <c r="K81" s="1632">
        <f>K79+1</f>
        <v>7</v>
      </c>
      <c r="L81" s="3521" t="s">
        <v>2160</v>
      </c>
      <c r="M81" s="3522"/>
      <c r="N81" s="1111"/>
      <c r="O81" s="1112">
        <f ca="1">ROUND(O79*10000/'数据-汇总表'!E3,0)</f>
        <v>689</v>
      </c>
      <c r="P81" s="1113"/>
      <c r="Q81" s="1636"/>
      <c r="R81" s="1636"/>
      <c r="S81" s="1636"/>
      <c r="T81" s="1636"/>
      <c r="U81" s="1636"/>
      <c r="V81" s="1636"/>
    </row>
    <row r="82" spans="1:26" ht="13.5" thickTop="1">
      <c r="A82" s="345" t="s">
        <v>1353</v>
      </c>
      <c r="B82" s="346" t="s">
        <v>393</v>
      </c>
      <c r="C82" s="347">
        <f ca="1">D63</f>
        <v>48091</v>
      </c>
      <c r="D82" s="348" t="s">
        <v>13</v>
      </c>
      <c r="E82" s="349"/>
      <c r="F82" s="38"/>
      <c r="G82" s="38"/>
      <c r="H82" s="866"/>
      <c r="I82" s="287"/>
      <c r="J82" s="1636"/>
      <c r="K82" s="1636"/>
      <c r="L82" s="1636"/>
      <c r="M82" s="1636"/>
      <c r="N82" s="1636"/>
      <c r="O82" s="1636"/>
      <c r="P82" s="1636"/>
      <c r="Q82" s="1636"/>
      <c r="R82" s="1636"/>
      <c r="S82" s="1636"/>
      <c r="T82" s="1636"/>
      <c r="U82" s="1636"/>
      <c r="V82" s="1636"/>
    </row>
    <row r="83" spans="1:26" ht="12.75">
      <c r="A83" s="345" t="s">
        <v>1354</v>
      </c>
      <c r="B83" s="346" t="s">
        <v>394</v>
      </c>
      <c r="C83" s="350"/>
      <c r="D83" s="348"/>
      <c r="E83" s="349"/>
      <c r="F83" s="38"/>
      <c r="G83" s="38"/>
      <c r="H83" s="866"/>
      <c r="I83" s="287"/>
      <c r="J83" s="1636"/>
      <c r="K83" s="3511" t="s">
        <v>2148</v>
      </c>
      <c r="L83" s="2337" t="s">
        <v>2149</v>
      </c>
      <c r="M83" s="2327">
        <f ca="1">IF(N69&gt;10000,N69*0.5%,IF(AND(N69&gt;1000,N69&lt;=10000),N69*1%,IF(AND(N69&gt;100,N69&lt;=1000),N69*3%,IF(AND(N69&gt;10,N69&lt;=100),N69*5%,N69*8%))))</f>
        <v>240.45500000000001</v>
      </c>
      <c r="N83" s="49">
        <f ca="1">ROUND(M83,1)</f>
        <v>240.5</v>
      </c>
      <c r="O83" s="2330"/>
      <c r="P83" s="1636"/>
      <c r="Q83" s="1636"/>
      <c r="R83" s="1636"/>
      <c r="S83" s="1636"/>
      <c r="T83" s="1636"/>
      <c r="U83" s="1636"/>
      <c r="V83" s="1636"/>
    </row>
    <row r="84" spans="1:26" ht="12.75">
      <c r="A84" s="351" t="s">
        <v>1355</v>
      </c>
      <c r="B84" s="352" t="s">
        <v>395</v>
      </c>
      <c r="C84" s="353"/>
      <c r="D84" s="354" t="s">
        <v>13</v>
      </c>
      <c r="E84" s="2352" t="s">
        <v>2198</v>
      </c>
      <c r="F84" s="38"/>
      <c r="G84" s="38"/>
      <c r="H84" s="866"/>
      <c r="I84" s="287"/>
      <c r="J84" s="1636"/>
      <c r="K84" s="3511"/>
      <c r="L84" s="2337" t="s">
        <v>2150</v>
      </c>
      <c r="M84" s="2327">
        <f ca="1">IF(N69&gt;2000,N69*0.5%,IF(AND(N69&gt;1000,N69&lt;=2000),N69*0.6%,IF(AND(N69&gt;500,N69&lt;=1000),N69*0.7%,IF(AND(N69&gt;200,N69&lt;=500),N69*0.8%,IF(AND(N69&gt;100,N69&lt;=200),N69*0.9%,IF(AND(N69&gt;50,N69&lt;=100),N69*1%,IF(AND(N69&gt;20,N69&lt;=50),N69*1.5%,IF(AND(N69&gt;10,N69&lt;=20),N69*2%,IF(AND(N69&gt;1,N69&lt;=10),N69*2.5%)))))))))</f>
        <v>240.45500000000001</v>
      </c>
      <c r="N84" s="49">
        <f ca="1">ROUND(M84,1)</f>
        <v>240.5</v>
      </c>
      <c r="O84" s="1636" t="s">
        <v>2151</v>
      </c>
      <c r="P84" s="1636"/>
      <c r="Q84" s="1636"/>
      <c r="R84" s="1636"/>
      <c r="S84" s="1636"/>
      <c r="T84" s="1636"/>
      <c r="U84" s="1636"/>
      <c r="V84" s="1636"/>
    </row>
    <row r="85" spans="1:26" ht="12.75">
      <c r="A85" s="351" t="s">
        <v>1356</v>
      </c>
      <c r="B85" s="352" t="s">
        <v>396</v>
      </c>
      <c r="C85" s="355">
        <f ca="1">C81-C84</f>
        <v>45801</v>
      </c>
      <c r="D85" s="348" t="s">
        <v>13</v>
      </c>
      <c r="E85" s="349"/>
      <c r="F85" s="38"/>
      <c r="G85" s="38"/>
      <c r="H85" s="866"/>
      <c r="I85" s="287"/>
      <c r="J85" s="1636"/>
      <c r="K85" s="3511"/>
      <c r="L85" s="2337" t="s">
        <v>2152</v>
      </c>
      <c r="M85" s="2327">
        <f ca="1">IF(N69&gt;1000,N69*0.1%,IF(AND(N69&gt;500,N69&lt;=1000),N69*0.5%,IF(AND(N69&gt;50,N69&lt;=500),N69*1%,IF(AND(N69&gt;1,N69&lt;=50),N69*1.5%))))</f>
        <v>48.091000000000001</v>
      </c>
      <c r="N85" s="49">
        <f ca="1">ROUND(M85,1)</f>
        <v>48.1</v>
      </c>
      <c r="O85" s="1636" t="s">
        <v>2151</v>
      </c>
      <c r="P85" s="1636"/>
      <c r="Q85" s="1636"/>
      <c r="R85" s="1636"/>
      <c r="S85" s="1636"/>
      <c r="T85" s="1636"/>
      <c r="U85" s="1636"/>
      <c r="V85" s="1636"/>
    </row>
    <row r="86" spans="1:26" ht="13.5" thickBot="1">
      <c r="A86" s="356" t="s">
        <v>1357</v>
      </c>
      <c r="B86" s="357" t="s">
        <v>397</v>
      </c>
      <c r="C86" s="358">
        <f ca="1">IF(C85&lt;=0,0,ROUND(C85*D86,0))</f>
        <v>2565</v>
      </c>
      <c r="D86" s="359">
        <f>'数据-取费表'!B41</f>
        <v>5.6000000000000001E-2</v>
      </c>
      <c r="E86" s="360"/>
      <c r="F86" s="38"/>
      <c r="G86" s="38"/>
      <c r="H86" s="866"/>
      <c r="I86" s="287"/>
      <c r="J86" s="1636"/>
      <c r="K86" s="3511"/>
      <c r="L86" s="2337" t="s">
        <v>2153</v>
      </c>
      <c r="M86" s="2327">
        <f ca="1">N69*0.5%</f>
        <v>240.45500000000001</v>
      </c>
      <c r="N86" s="49">
        <f ca="1">IF(M86&gt;0.5,0.5,ROUND(M86,0))</f>
        <v>0.5</v>
      </c>
      <c r="O86" s="1636" t="s">
        <v>2154</v>
      </c>
      <c r="P86" s="1636"/>
      <c r="Q86" s="1636"/>
      <c r="R86" s="1636"/>
      <c r="S86" s="1636"/>
      <c r="T86" s="1636"/>
      <c r="U86" s="1636"/>
      <c r="V86" s="1636"/>
    </row>
    <row r="87" spans="1:26" ht="14.25" customHeight="1">
      <c r="A87" s="1114"/>
      <c r="B87" s="1115"/>
      <c r="C87" s="1116"/>
      <c r="D87" s="1117"/>
      <c r="E87" s="1118"/>
      <c r="F87" s="38"/>
      <c r="G87" s="38"/>
      <c r="H87" s="866"/>
      <c r="I87" s="287"/>
      <c r="J87" s="1636"/>
      <c r="K87" s="3511"/>
      <c r="L87" s="2337" t="s">
        <v>2155</v>
      </c>
      <c r="M87" s="2327">
        <f ca="1">IF(N69&gt;=10000,(8.25+(N69-10000)*0.01%),IF(AND(N69&gt;=8000,N69&lt;10000),(7.85+(N69-8000)*0.02%),IF(AND(N69&gt;=5000,N69&lt;8000),(6.65+(N69-5000)*0.04%),IF(AND(N69&gt;=2000,N69&lt;5000),(4.25+(PN69-2000)*0.08%),IF(AND(N69&gt;=1000,N69&lt;2000),(2.75+(N69-1000)*0.15%),IF(AND(N69&gt;=100,N69&lt;1000),(0.5+(N69-100)*0.25%),IF(AND(N69&gt;0,N69&lt;100),N69*0.5%)))))))</f>
        <v>12.059100000000001</v>
      </c>
      <c r="N87" s="49">
        <f ca="1">ROUND(M87*0.9,1)</f>
        <v>10.9</v>
      </c>
      <c r="O87" s="2330"/>
      <c r="P87" s="1636"/>
      <c r="Q87" s="1636"/>
      <c r="R87" s="1636"/>
      <c r="S87" s="1636"/>
      <c r="T87" s="1636"/>
      <c r="U87" s="1636"/>
      <c r="V87" s="1636"/>
    </row>
    <row r="88" spans="1:26" s="1007" customFormat="1" ht="15" thickBot="1">
      <c r="A88" s="3550" t="s">
        <v>398</v>
      </c>
      <c r="B88" s="3551"/>
      <c r="C88" s="3551"/>
      <c r="D88" s="3551"/>
      <c r="E88" s="3551"/>
      <c r="F88" s="3551"/>
      <c r="G88" s="3551"/>
      <c r="H88" s="3551"/>
      <c r="I88" s="1119"/>
      <c r="J88" s="1650"/>
      <c r="K88" s="3511"/>
      <c r="L88" s="2337" t="s">
        <v>2156</v>
      </c>
      <c r="M88" s="2327">
        <f ca="1">IF(N69&gt;10000,N69*0.5%,IF(AND(N69&gt;5000,N69&lt;=10000),N69*1%,IF(AND(N69&gt;1000,N69&lt;=5000),N69*2%,IF(AND(N69&gt;200,N69&lt;=1000),N69*3%,N69*5%))))</f>
        <v>240.45500000000001</v>
      </c>
      <c r="N88" s="49">
        <f ca="1">ROUND(M88,1)</f>
        <v>240.5</v>
      </c>
      <c r="O88" s="2330"/>
      <c r="P88" s="1647"/>
      <c r="Q88" s="1647"/>
      <c r="R88" s="1647"/>
      <c r="S88" s="1647"/>
      <c r="T88" s="1647"/>
      <c r="U88" s="1647"/>
      <c r="V88" s="1647"/>
      <c r="W88" s="1651"/>
      <c r="X88" s="1651"/>
      <c r="Y88" s="1651"/>
      <c r="Z88" s="1651"/>
    </row>
    <row r="89" spans="1:26" s="1007" customFormat="1" ht="14.25">
      <c r="A89" s="3509" t="s">
        <v>389</v>
      </c>
      <c r="B89" s="3510"/>
      <c r="C89" s="907"/>
      <c r="D89" s="907" t="s">
        <v>390</v>
      </c>
      <c r="E89" s="361" t="s">
        <v>399</v>
      </c>
      <c r="F89" s="362"/>
      <c r="G89" s="362"/>
      <c r="H89" s="363"/>
      <c r="I89" s="1120"/>
      <c r="J89" s="1652"/>
      <c r="K89" s="3511"/>
      <c r="L89" s="2337" t="s">
        <v>16</v>
      </c>
      <c r="M89" s="2328"/>
      <c r="N89" s="49">
        <f ca="1">ROUND(SUM(N83:N88),0)</f>
        <v>781</v>
      </c>
      <c r="O89" s="2338">
        <f ca="1">N89/N69</f>
        <v>1.6240044914848931E-2</v>
      </c>
      <c r="P89" s="1647"/>
      <c r="Q89" s="1647"/>
      <c r="R89" s="1647"/>
      <c r="S89" s="1647"/>
      <c r="T89" s="1647"/>
      <c r="U89" s="1647"/>
      <c r="V89" s="1647"/>
      <c r="W89" s="1651"/>
      <c r="X89" s="1651"/>
      <c r="Y89" s="1651"/>
      <c r="Z89" s="1651"/>
    </row>
    <row r="90" spans="1:26" s="1007" customFormat="1" ht="14.25">
      <c r="A90" s="351" t="s">
        <v>1352</v>
      </c>
      <c r="B90" s="352" t="s">
        <v>400</v>
      </c>
      <c r="C90" s="355">
        <f ca="1">ROUND(D63/(1+'数据-取费表'!C42),0)</f>
        <v>45801</v>
      </c>
      <c r="D90" s="348" t="s">
        <v>13</v>
      </c>
      <c r="E90" s="905"/>
      <c r="F90" s="904"/>
      <c r="G90" s="904"/>
      <c r="H90" s="364"/>
      <c r="I90" s="1120"/>
      <c r="J90" s="1652"/>
      <c r="K90" s="1647"/>
      <c r="L90" s="1647"/>
      <c r="M90" s="1647"/>
      <c r="N90" s="1647"/>
      <c r="O90" s="1647"/>
      <c r="P90" s="1647"/>
      <c r="Q90" s="1647"/>
      <c r="R90" s="1647"/>
      <c r="S90" s="1647"/>
      <c r="T90" s="1647"/>
      <c r="U90" s="1647"/>
      <c r="V90" s="1647"/>
      <c r="W90" s="1651"/>
      <c r="X90" s="1651"/>
      <c r="Y90" s="1651"/>
      <c r="Z90" s="1651"/>
    </row>
    <row r="91" spans="1:26" s="1007" customFormat="1" ht="14.25">
      <c r="A91" s="351" t="s">
        <v>1358</v>
      </c>
      <c r="B91" s="322" t="s">
        <v>401</v>
      </c>
      <c r="C91" s="355">
        <f ca="1">C92+C96</f>
        <v>275</v>
      </c>
      <c r="D91" s="348" t="s">
        <v>13</v>
      </c>
      <c r="E91" s="905"/>
      <c r="F91" s="904"/>
      <c r="G91" s="904"/>
      <c r="H91" s="364"/>
      <c r="I91" s="1120"/>
      <c r="J91" s="1652"/>
      <c r="K91" s="1647"/>
      <c r="L91" s="1647"/>
      <c r="M91" s="1647"/>
      <c r="N91" s="1647"/>
      <c r="O91" s="1647"/>
      <c r="P91" s="1647"/>
      <c r="Q91" s="1647"/>
      <c r="R91" s="1647"/>
      <c r="S91" s="1647"/>
      <c r="T91" s="1647"/>
      <c r="U91" s="1647"/>
      <c r="V91" s="1647"/>
      <c r="W91" s="1651"/>
      <c r="X91" s="1651"/>
      <c r="Y91" s="1651"/>
      <c r="Z91" s="1651"/>
    </row>
    <row r="92" spans="1:26" s="1007" customFormat="1" ht="24">
      <c r="A92" s="365" t="s">
        <v>1359</v>
      </c>
      <c r="B92" s="346" t="s">
        <v>402</v>
      </c>
      <c r="C92" s="348">
        <f>ROUND(IF(G95="2016年5月1日后购买",C93/(1+'数据-取费表'!C30)+C94+C95,C93+C94+C95),0)</f>
        <v>0</v>
      </c>
      <c r="D92" s="348" t="s">
        <v>13</v>
      </c>
      <c r="E92" s="905"/>
      <c r="F92" s="904"/>
      <c r="G92" s="904"/>
      <c r="H92" s="364"/>
      <c r="I92" s="1120"/>
      <c r="J92" s="1652"/>
      <c r="K92" s="1647"/>
      <c r="L92" s="1647"/>
      <c r="M92" s="1647"/>
      <c r="N92" s="1647"/>
      <c r="O92" s="1647"/>
      <c r="P92" s="1647"/>
      <c r="Q92" s="1647"/>
      <c r="R92" s="1647"/>
      <c r="S92" s="1647"/>
      <c r="T92" s="1647"/>
      <c r="U92" s="1647"/>
      <c r="V92" s="1647"/>
      <c r="W92" s="1651"/>
      <c r="X92" s="1651"/>
      <c r="Y92" s="1651"/>
      <c r="Z92" s="1651"/>
    </row>
    <row r="93" spans="1:26" s="1007" customFormat="1" ht="14.25">
      <c r="A93" s="365" t="s">
        <v>1360</v>
      </c>
      <c r="B93" s="346" t="s">
        <v>403</v>
      </c>
      <c r="C93" s="366"/>
      <c r="D93" s="348" t="s">
        <v>13</v>
      </c>
      <c r="E93" s="367" t="s">
        <v>404</v>
      </c>
      <c r="F93" s="368"/>
      <c r="G93" s="367" t="s">
        <v>405</v>
      </c>
      <c r="H93" s="369">
        <v>5</v>
      </c>
      <c r="I93" s="9"/>
      <c r="J93" s="1647"/>
      <c r="K93" s="1647"/>
      <c r="L93" s="1647"/>
      <c r="M93" s="1647"/>
      <c r="N93" s="1647"/>
      <c r="O93" s="1647"/>
      <c r="P93" s="1647"/>
      <c r="Q93" s="1647"/>
      <c r="R93" s="1647"/>
      <c r="S93" s="1647"/>
      <c r="T93" s="1647"/>
      <c r="U93" s="1647"/>
      <c r="V93" s="1647"/>
      <c r="W93" s="1651"/>
      <c r="X93" s="1651"/>
      <c r="Y93" s="1651"/>
      <c r="Z93" s="1651"/>
    </row>
    <row r="94" spans="1:26" s="1007" customFormat="1" ht="24.75" customHeight="1">
      <c r="A94" s="365" t="s">
        <v>1361</v>
      </c>
      <c r="B94" s="370" t="s">
        <v>406</v>
      </c>
      <c r="C94" s="348">
        <f>IF(F93="购房发票",ROUND(C93*H93*5%,0),0)</f>
        <v>0</v>
      </c>
      <c r="D94" s="371">
        <v>0.05</v>
      </c>
      <c r="E94" s="3547" t="s">
        <v>407</v>
      </c>
      <c r="F94" s="3548"/>
      <c r="G94" s="3548"/>
      <c r="H94" s="3549"/>
      <c r="I94" s="1120"/>
      <c r="J94" s="1652"/>
      <c r="K94" s="1647"/>
      <c r="L94" s="1647"/>
      <c r="M94" s="1647"/>
      <c r="N94" s="1647"/>
      <c r="O94" s="1647"/>
      <c r="P94" s="1647"/>
      <c r="Q94" s="1647"/>
      <c r="R94" s="1647"/>
      <c r="S94" s="1647"/>
      <c r="T94" s="1647"/>
      <c r="U94" s="1647"/>
      <c r="V94" s="1647"/>
      <c r="W94" s="1651"/>
      <c r="X94" s="1651"/>
      <c r="Y94" s="1651"/>
      <c r="Z94" s="1651"/>
    </row>
    <row r="95" spans="1:26" s="1007"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2" t="str">
        <f>IF(G95="个人买卖住房","免征印花税"," ")</f>
        <v xml:space="preserve"> </v>
      </c>
      <c r="I95" s="1120"/>
      <c r="J95" s="1652"/>
      <c r="K95" s="1647"/>
      <c r="L95" s="1647"/>
      <c r="M95" s="1647"/>
      <c r="N95" s="1647"/>
      <c r="O95" s="1647"/>
      <c r="P95" s="1647"/>
      <c r="Q95" s="1647"/>
      <c r="R95" s="1647"/>
      <c r="S95" s="1647"/>
      <c r="T95" s="1647"/>
      <c r="U95" s="1647"/>
      <c r="V95" s="1647"/>
      <c r="W95" s="1651"/>
      <c r="X95" s="1651"/>
      <c r="Y95" s="1651"/>
      <c r="Z95" s="1651"/>
    </row>
    <row r="96" spans="1:26" s="1007" customFormat="1" ht="24.75" customHeight="1">
      <c r="A96" s="365" t="s">
        <v>1363</v>
      </c>
      <c r="B96" s="346" t="s">
        <v>410</v>
      </c>
      <c r="C96" s="375">
        <f ca="1">ROUND(D63*D96/(1+'数据-取费表'!C42),0)</f>
        <v>275</v>
      </c>
      <c r="D96" s="376">
        <f>'数据-取费表'!B43</f>
        <v>6.000000000000001E-3</v>
      </c>
      <c r="E96" s="3506" t="s">
        <v>1780</v>
      </c>
      <c r="F96" s="3507"/>
      <c r="G96" s="3507"/>
      <c r="H96" s="3508"/>
      <c r="I96" s="1121"/>
      <c r="J96" s="1653"/>
      <c r="K96" s="1647"/>
      <c r="L96" s="1647"/>
      <c r="M96" s="1647"/>
      <c r="N96" s="1647"/>
      <c r="O96" s="1647"/>
      <c r="P96" s="1647"/>
      <c r="Q96" s="1647"/>
      <c r="R96" s="1647"/>
      <c r="S96" s="1647"/>
      <c r="T96" s="1647"/>
      <c r="U96" s="1647"/>
      <c r="V96" s="1647"/>
      <c r="W96" s="1651"/>
      <c r="X96" s="1651"/>
      <c r="Y96" s="1651"/>
      <c r="Z96" s="1651"/>
    </row>
    <row r="97" spans="1:26" s="1007" customFormat="1" ht="14.25">
      <c r="A97" s="1339" t="s">
        <v>1364</v>
      </c>
      <c r="B97" s="352" t="s">
        <v>411</v>
      </c>
      <c r="C97" s="355">
        <f ca="1">C90-C91</f>
        <v>45526</v>
      </c>
      <c r="D97" s="348" t="s">
        <v>13</v>
      </c>
      <c r="E97" s="905"/>
      <c r="F97" s="904"/>
      <c r="G97" s="904"/>
      <c r="H97" s="364"/>
      <c r="I97" s="1120"/>
      <c r="J97" s="1652"/>
      <c r="K97" s="1647"/>
      <c r="L97" s="1647"/>
      <c r="M97" s="1647"/>
      <c r="N97" s="1647"/>
      <c r="O97" s="1647"/>
      <c r="P97" s="1647"/>
      <c r="Q97" s="1647"/>
      <c r="R97" s="1647"/>
      <c r="S97" s="1647"/>
      <c r="T97" s="1647"/>
      <c r="U97" s="1647"/>
      <c r="V97" s="1647"/>
      <c r="W97" s="1651"/>
      <c r="X97" s="1651"/>
      <c r="Y97" s="1651"/>
      <c r="Z97" s="1651"/>
    </row>
    <row r="98" spans="1:26" s="1007" customFormat="1" ht="24">
      <c r="A98" s="1339" t="s">
        <v>1365</v>
      </c>
      <c r="B98" s="352" t="s">
        <v>412</v>
      </c>
      <c r="C98" s="377">
        <f ca="1">IF(C97&lt;=0,0,C97/C91)</f>
        <v>165.54909090909092</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4"/>
      <c r="G98" s="904"/>
      <c r="H98" s="364"/>
      <c r="I98" s="1120"/>
      <c r="J98" s="1652"/>
      <c r="K98" s="1647"/>
      <c r="L98" s="1647"/>
      <c r="M98" s="1647"/>
      <c r="N98" s="1647"/>
      <c r="O98" s="1647"/>
      <c r="P98" s="1647"/>
      <c r="Q98" s="1647"/>
      <c r="R98" s="1647"/>
      <c r="S98" s="1647"/>
      <c r="T98" s="1647"/>
      <c r="U98" s="1647"/>
      <c r="V98" s="1647"/>
      <c r="W98" s="1651"/>
      <c r="X98" s="1651"/>
      <c r="Y98" s="1651"/>
      <c r="Z98" s="1651"/>
    </row>
    <row r="99" spans="1:26" s="1007" customFormat="1" ht="24.75" thickBot="1">
      <c r="A99" s="1340" t="s">
        <v>1366</v>
      </c>
      <c r="B99" s="357" t="s">
        <v>413</v>
      </c>
      <c r="C99" s="378">
        <f ca="1">ROUND(IF(C97&lt;=0,0,IF(C98&gt;=200%,C97*60%-C91*35%,IF(C98&gt;=100%,C97*50%-C91*15%,IF(C98&gt;=50%,C97*40%-C91*5%,IF(C98&lt;50%,C97*30%,0))))),0)</f>
        <v>27219</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0"/>
      <c r="J99" s="1652"/>
      <c r="K99" s="1647"/>
      <c r="L99" s="1647"/>
      <c r="M99" s="1647"/>
      <c r="N99" s="1647"/>
      <c r="O99" s="1647"/>
      <c r="P99" s="1647"/>
      <c r="Q99" s="1647"/>
      <c r="R99" s="1647"/>
      <c r="S99" s="1647"/>
      <c r="T99" s="1647"/>
      <c r="U99" s="1647"/>
      <c r="V99" s="1647"/>
      <c r="W99" s="1651"/>
      <c r="X99" s="1651"/>
      <c r="Y99" s="1651"/>
      <c r="Z99" s="1651"/>
    </row>
    <row r="100" spans="1:26" s="1007" customFormat="1" ht="7.5" customHeight="1">
      <c r="A100" s="9"/>
      <c r="B100" s="1122"/>
      <c r="C100" s="9"/>
      <c r="D100" s="9"/>
      <c r="E100" s="1122"/>
      <c r="F100" s="1122"/>
      <c r="G100" s="1122"/>
      <c r="H100" s="1123"/>
      <c r="I100" s="1121"/>
      <c r="J100" s="1653"/>
      <c r="K100" s="1647"/>
      <c r="L100" s="1647"/>
      <c r="M100" s="1647"/>
      <c r="N100" s="1647"/>
      <c r="O100" s="1647"/>
      <c r="P100" s="1647"/>
      <c r="Q100" s="1647"/>
      <c r="R100" s="1647"/>
      <c r="S100" s="1647"/>
      <c r="T100" s="1647"/>
      <c r="U100" s="1647"/>
      <c r="V100" s="1647"/>
      <c r="W100" s="1651"/>
      <c r="X100" s="1651"/>
      <c r="Y100" s="1651"/>
      <c r="Z100" s="1651"/>
    </row>
    <row r="101" spans="1:26" s="1007" customFormat="1" ht="15" thickBot="1">
      <c r="A101" s="3550" t="s">
        <v>414</v>
      </c>
      <c r="B101" s="3551"/>
      <c r="C101" s="3551"/>
      <c r="D101" s="3551"/>
      <c r="E101" s="3551"/>
      <c r="F101" s="3551"/>
      <c r="G101" s="3551"/>
      <c r="H101" s="3551"/>
      <c r="I101" s="9"/>
      <c r="J101" s="1647"/>
      <c r="K101" s="1647"/>
      <c r="L101" s="1647"/>
      <c r="M101" s="1647"/>
      <c r="N101" s="1647"/>
      <c r="O101" s="1647"/>
      <c r="P101" s="1647"/>
      <c r="Q101" s="1647"/>
      <c r="R101" s="1647"/>
      <c r="S101" s="1647"/>
      <c r="T101" s="1647"/>
      <c r="U101" s="1647"/>
      <c r="V101" s="1647"/>
      <c r="W101" s="1651"/>
      <c r="X101" s="1651"/>
      <c r="Y101" s="1651"/>
      <c r="Z101" s="1651"/>
    </row>
    <row r="102" spans="1:26" s="1007" customFormat="1" ht="14.25">
      <c r="A102" s="3509" t="s">
        <v>389</v>
      </c>
      <c r="B102" s="3510"/>
      <c r="C102" s="907"/>
      <c r="D102" s="907" t="s">
        <v>390</v>
      </c>
      <c r="E102" s="361" t="s">
        <v>399</v>
      </c>
      <c r="F102" s="362"/>
      <c r="G102" s="362"/>
      <c r="H102" s="383"/>
      <c r="I102" s="9"/>
      <c r="J102" s="1647"/>
      <c r="K102" s="1647"/>
      <c r="L102" s="1647"/>
      <c r="M102" s="1647"/>
      <c r="N102" s="1647"/>
      <c r="O102" s="1647"/>
      <c r="P102" s="1647"/>
      <c r="Q102" s="1647"/>
      <c r="R102" s="1647"/>
      <c r="S102" s="1647"/>
      <c r="T102" s="1647"/>
      <c r="U102" s="1647"/>
      <c r="V102" s="1647"/>
      <c r="W102" s="1651"/>
      <c r="X102" s="1651"/>
      <c r="Y102" s="1651"/>
      <c r="Z102" s="1651"/>
    </row>
    <row r="103" spans="1:26" s="1007" customFormat="1" ht="14.25">
      <c r="A103" s="351" t="s">
        <v>1352</v>
      </c>
      <c r="B103" s="352" t="s">
        <v>400</v>
      </c>
      <c r="C103" s="355">
        <f ca="1">ROUND(D63/(1+'数据-取费表'!C42),0)</f>
        <v>45801</v>
      </c>
      <c r="D103" s="348" t="s">
        <v>13</v>
      </c>
      <c r="E103" s="905"/>
      <c r="F103" s="904"/>
      <c r="G103" s="904"/>
      <c r="H103" s="384"/>
      <c r="I103" s="9"/>
      <c r="J103" s="1647"/>
      <c r="K103" s="1647"/>
      <c r="L103" s="1647"/>
      <c r="M103" s="1647"/>
      <c r="N103" s="1647"/>
      <c r="O103" s="1647"/>
      <c r="P103" s="1647"/>
      <c r="Q103" s="1647"/>
      <c r="R103" s="1647"/>
      <c r="S103" s="1647"/>
      <c r="T103" s="1647"/>
      <c r="U103" s="1647"/>
      <c r="V103" s="1647"/>
      <c r="W103" s="1651"/>
      <c r="X103" s="1651"/>
      <c r="Y103" s="1651"/>
      <c r="Z103" s="1651"/>
    </row>
    <row r="104" spans="1:26" s="1007" customFormat="1" ht="14.25">
      <c r="A104" s="351" t="s">
        <v>1358</v>
      </c>
      <c r="B104" s="322" t="s">
        <v>401</v>
      </c>
      <c r="C104" s="355">
        <f ca="1">IF(H106="仅含出让金",C105+C108+C109+C110+C111+C112,C105+C109+C110+C111+C112)</f>
        <v>275</v>
      </c>
      <c r="D104" s="385"/>
      <c r="E104" s="905"/>
      <c r="F104" s="904"/>
      <c r="G104" s="904"/>
      <c r="H104" s="384"/>
      <c r="I104" s="9"/>
      <c r="J104" s="1647"/>
      <c r="K104" s="1647"/>
      <c r="L104" s="1647"/>
      <c r="M104" s="1647"/>
      <c r="N104" s="1647"/>
      <c r="O104" s="1647"/>
      <c r="P104" s="1647"/>
      <c r="Q104" s="1647"/>
      <c r="R104" s="1647"/>
      <c r="S104" s="1647"/>
      <c r="T104" s="1647"/>
      <c r="U104" s="1647"/>
      <c r="V104" s="1647"/>
      <c r="W104" s="1651"/>
      <c r="X104" s="1651"/>
      <c r="Y104" s="1651"/>
      <c r="Z104" s="1651"/>
    </row>
    <row r="105" spans="1:26" s="1007" customFormat="1" ht="14.25">
      <c r="A105" s="365" t="s">
        <v>1359</v>
      </c>
      <c r="B105" s="346" t="s">
        <v>415</v>
      </c>
      <c r="C105" s="375">
        <f>C106+C107</f>
        <v>0</v>
      </c>
      <c r="D105" s="376"/>
      <c r="E105" s="899"/>
      <c r="F105" s="900"/>
      <c r="G105" s="900"/>
      <c r="H105" s="901"/>
      <c r="I105" s="9"/>
      <c r="J105" s="1647"/>
      <c r="K105" s="1647"/>
      <c r="L105" s="1647"/>
      <c r="M105" s="1647"/>
      <c r="N105" s="1647"/>
      <c r="O105" s="1647"/>
      <c r="P105" s="1647"/>
      <c r="Q105" s="1647"/>
      <c r="R105" s="1647"/>
      <c r="S105" s="1647"/>
      <c r="T105" s="1647"/>
      <c r="U105" s="1647"/>
      <c r="V105" s="1647"/>
      <c r="W105" s="1651"/>
      <c r="X105" s="1651"/>
      <c r="Y105" s="1651"/>
      <c r="Z105" s="1651"/>
    </row>
    <row r="106" spans="1:26" s="1007" customFormat="1" ht="14.25">
      <c r="A106" s="365" t="s">
        <v>1360</v>
      </c>
      <c r="B106" s="346" t="s">
        <v>416</v>
      </c>
      <c r="C106" s="386"/>
      <c r="D106" s="376"/>
      <c r="E106" s="387" t="s">
        <v>417</v>
      </c>
      <c r="F106" s="900"/>
      <c r="G106" s="388" t="s">
        <v>418</v>
      </c>
      <c r="H106" s="389"/>
      <c r="I106" s="9"/>
      <c r="J106" s="1647"/>
      <c r="K106" s="2745" t="s">
        <v>2275</v>
      </c>
      <c r="L106" s="1647"/>
      <c r="M106" s="1647"/>
      <c r="N106" s="1647"/>
      <c r="O106" s="1647"/>
      <c r="P106" s="1647"/>
      <c r="Q106" s="1647"/>
      <c r="R106" s="1647"/>
      <c r="S106" s="1647"/>
      <c r="T106" s="1647"/>
      <c r="U106" s="1647"/>
      <c r="V106" s="1647"/>
      <c r="W106" s="1651"/>
      <c r="X106" s="1651"/>
      <c r="Y106" s="1651"/>
      <c r="Z106" s="1651"/>
    </row>
    <row r="107" spans="1:26" s="1007" customFormat="1" ht="14.25">
      <c r="A107" s="365" t="s">
        <v>1361</v>
      </c>
      <c r="B107" s="346" t="s">
        <v>408</v>
      </c>
      <c r="C107" s="375">
        <f>ROUND(C106*D107,0)</f>
        <v>0</v>
      </c>
      <c r="D107" s="376">
        <f>'数据-取费表'!B48+'数据-取费表'!B49</f>
        <v>3.0499999999999999E-2</v>
      </c>
      <c r="E107" s="387" t="s">
        <v>419</v>
      </c>
      <c r="F107" s="900"/>
      <c r="G107" s="900"/>
      <c r="H107" s="901"/>
      <c r="I107" s="9"/>
      <c r="J107" s="1647"/>
      <c r="K107" s="1647"/>
      <c r="L107" s="1647"/>
      <c r="M107" s="1647"/>
      <c r="N107" s="1647"/>
      <c r="O107" s="1647"/>
      <c r="P107" s="1647"/>
      <c r="Q107" s="1647"/>
      <c r="R107" s="1647"/>
      <c r="S107" s="1647"/>
      <c r="T107" s="1647"/>
      <c r="U107" s="1647"/>
      <c r="V107" s="1647"/>
      <c r="W107" s="1651"/>
      <c r="X107" s="1651"/>
      <c r="Y107" s="1651"/>
      <c r="Z107" s="1651"/>
    </row>
    <row r="108" spans="1:26" s="1007" customFormat="1" ht="14.25">
      <c r="A108" s="365" t="s">
        <v>1363</v>
      </c>
      <c r="B108" s="346" t="s">
        <v>420</v>
      </c>
      <c r="C108" s="386"/>
      <c r="D108" s="376"/>
      <c r="E108" s="387" t="str">
        <f>IF(H106="-","土地取得成本中已包含该笔费用"," ")</f>
        <v xml:space="preserve"> </v>
      </c>
      <c r="F108" s="900"/>
      <c r="G108" s="3562" t="s">
        <v>2247</v>
      </c>
      <c r="H108" s="3563"/>
      <c r="I108" s="2417"/>
      <c r="J108" s="1647"/>
      <c r="K108" s="2745" t="s">
        <v>2276</v>
      </c>
      <c r="L108" s="1647"/>
      <c r="M108" s="1647"/>
      <c r="N108" s="1647"/>
      <c r="O108" s="1647"/>
      <c r="P108" s="1647"/>
      <c r="Q108" s="1647"/>
      <c r="R108" s="1647"/>
      <c r="S108" s="1647"/>
      <c r="T108" s="1647"/>
      <c r="U108" s="1647"/>
      <c r="V108" s="1647"/>
      <c r="W108" s="1651"/>
      <c r="X108" s="1651"/>
      <c r="Y108" s="1651"/>
      <c r="Z108" s="1651"/>
    </row>
    <row r="109" spans="1:26" s="1007" customFormat="1" ht="24" customHeight="1">
      <c r="A109" s="1341" t="s">
        <v>1367</v>
      </c>
      <c r="B109" s="346" t="s">
        <v>421</v>
      </c>
      <c r="C109" s="375">
        <f>IF(H109="——",IF(F1="现房",'剩余法-现房'!C18,0),I109)</f>
        <v>0</v>
      </c>
      <c r="D109" s="376"/>
      <c r="E109" s="3540" t="s">
        <v>422</v>
      </c>
      <c r="F109" s="3507"/>
      <c r="G109" s="3507"/>
      <c r="H109" s="1600" t="s">
        <v>877</v>
      </c>
      <c r="I109" s="1601"/>
      <c r="J109" s="1647"/>
      <c r="K109" s="1647"/>
      <c r="L109" s="1647"/>
      <c r="M109" s="1647"/>
      <c r="N109" s="1647"/>
      <c r="O109" s="1647"/>
      <c r="P109" s="1647"/>
      <c r="Q109" s="1647"/>
      <c r="R109" s="1647"/>
      <c r="S109" s="1647"/>
      <c r="T109" s="1647"/>
      <c r="U109" s="1647"/>
      <c r="V109" s="1647"/>
      <c r="W109" s="1651"/>
      <c r="X109" s="1651"/>
      <c r="Y109" s="1651"/>
      <c r="Z109" s="1651"/>
    </row>
    <row r="110" spans="1:26" s="1007" customFormat="1" ht="25.5" customHeight="1">
      <c r="A110" s="1341" t="s">
        <v>1368</v>
      </c>
      <c r="B110" s="346" t="s">
        <v>423</v>
      </c>
      <c r="C110" s="375">
        <f>ROUND((C105+C108+C109)*D110,0)</f>
        <v>0</v>
      </c>
      <c r="D110" s="2775">
        <v>0</v>
      </c>
      <c r="E110" s="3540" t="s">
        <v>424</v>
      </c>
      <c r="F110" s="3507"/>
      <c r="G110" s="3507"/>
      <c r="H110" s="3508"/>
      <c r="I110" s="9"/>
      <c r="J110" s="1647"/>
      <c r="K110" s="2746" t="s">
        <v>2277</v>
      </c>
      <c r="L110" s="1647"/>
      <c r="M110" s="1647"/>
      <c r="N110" s="1647"/>
      <c r="O110" s="1647"/>
      <c r="P110" s="1647"/>
      <c r="Q110" s="1647"/>
      <c r="R110" s="1647"/>
      <c r="S110" s="1647"/>
      <c r="T110" s="1647"/>
      <c r="U110" s="1647"/>
      <c r="V110" s="1647"/>
      <c r="W110" s="1651"/>
      <c r="X110" s="1651"/>
      <c r="Y110" s="1651"/>
      <c r="Z110" s="1651"/>
    </row>
    <row r="111" spans="1:26" s="1007" customFormat="1" ht="25.5" customHeight="1">
      <c r="A111" s="1341" t="s">
        <v>1369</v>
      </c>
      <c r="B111" s="346" t="s">
        <v>410</v>
      </c>
      <c r="C111" s="375">
        <f ca="1">ROUND(D63*D111/(1+'数据-取费表'!C42),0)</f>
        <v>275</v>
      </c>
      <c r="D111" s="376">
        <f>'数据-取费表'!B43</f>
        <v>6.000000000000001E-3</v>
      </c>
      <c r="E111" s="3506" t="s">
        <v>1780</v>
      </c>
      <c r="F111" s="3507"/>
      <c r="G111" s="3507"/>
      <c r="H111" s="3508"/>
      <c r="I111" s="9"/>
      <c r="J111" s="1647"/>
      <c r="K111" s="1647"/>
      <c r="L111" s="1647"/>
      <c r="M111" s="1647"/>
      <c r="N111" s="1647"/>
      <c r="O111" s="1647"/>
      <c r="P111" s="1647"/>
      <c r="Q111" s="1647"/>
      <c r="R111" s="1647"/>
      <c r="S111" s="1647"/>
      <c r="T111" s="1647"/>
      <c r="U111" s="1647"/>
      <c r="V111" s="1647"/>
      <c r="W111" s="1651"/>
      <c r="X111" s="1651"/>
      <c r="Y111" s="1651"/>
      <c r="Z111" s="1651"/>
    </row>
    <row r="112" spans="1:26" s="1007" customFormat="1" ht="25.5" customHeight="1">
      <c r="A112" s="1341" t="s">
        <v>1370</v>
      </c>
      <c r="B112" s="346" t="s">
        <v>425</v>
      </c>
      <c r="C112" s="375">
        <f>ROUND(C108*D112,0)</f>
        <v>0</v>
      </c>
      <c r="D112" s="376">
        <v>0.2</v>
      </c>
      <c r="E112" s="3540" t="s">
        <v>1799</v>
      </c>
      <c r="F112" s="3507"/>
      <c r="G112" s="3507"/>
      <c r="H112" s="3508"/>
      <c r="I112" s="9"/>
      <c r="J112" s="1647"/>
      <c r="K112" s="1647"/>
      <c r="L112" s="1647"/>
      <c r="M112" s="1647"/>
      <c r="N112" s="1647"/>
      <c r="O112" s="1647"/>
      <c r="P112" s="1647"/>
      <c r="Q112" s="1647"/>
      <c r="R112" s="1647"/>
      <c r="S112" s="1647"/>
      <c r="T112" s="1647"/>
      <c r="U112" s="1647"/>
      <c r="V112" s="1647"/>
      <c r="W112" s="1651"/>
      <c r="X112" s="1651"/>
      <c r="Y112" s="1651"/>
      <c r="Z112" s="1651"/>
    </row>
    <row r="113" spans="1:26" s="1007" customFormat="1" ht="14.25">
      <c r="A113" s="1339" t="s">
        <v>1364</v>
      </c>
      <c r="B113" s="352" t="s">
        <v>411</v>
      </c>
      <c r="C113" s="355">
        <f ca="1">ROUND(C103-C104,0)</f>
        <v>45526</v>
      </c>
      <c r="D113" s="348" t="s">
        <v>13</v>
      </c>
      <c r="E113" s="905"/>
      <c r="F113" s="904"/>
      <c r="G113" s="904"/>
      <c r="H113" s="384"/>
      <c r="I113" s="9"/>
      <c r="J113" s="1647"/>
      <c r="K113" s="1647"/>
      <c r="L113" s="1647"/>
      <c r="M113" s="1647"/>
      <c r="N113" s="1647"/>
      <c r="O113" s="1647"/>
      <c r="P113" s="1647"/>
      <c r="Q113" s="1647"/>
      <c r="R113" s="1647"/>
      <c r="S113" s="1647"/>
      <c r="T113" s="1647"/>
      <c r="U113" s="1647"/>
      <c r="V113" s="1647"/>
      <c r="W113" s="1651"/>
      <c r="X113" s="1651"/>
      <c r="Y113" s="1651"/>
      <c r="Z113" s="1651"/>
    </row>
    <row r="114" spans="1:26" s="1007" customFormat="1" ht="24">
      <c r="A114" s="1339" t="s">
        <v>1365</v>
      </c>
      <c r="B114" s="352" t="s">
        <v>412</v>
      </c>
      <c r="C114" s="377">
        <f ca="1">IF(C113&lt;=0,0,C113/C104)</f>
        <v>165.54909090909092</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4"/>
      <c r="G114" s="904"/>
      <c r="H114" s="384"/>
      <c r="I114" s="9"/>
      <c r="J114" s="1647"/>
      <c r="K114" s="1647"/>
      <c r="L114" s="1647"/>
      <c r="M114" s="1647"/>
      <c r="N114" s="1647"/>
      <c r="O114" s="1647"/>
      <c r="P114" s="1647"/>
      <c r="Q114" s="1647"/>
      <c r="R114" s="1647"/>
      <c r="S114" s="1647"/>
      <c r="T114" s="1647"/>
      <c r="U114" s="1647"/>
      <c r="V114" s="1647"/>
      <c r="W114" s="1651"/>
      <c r="X114" s="1651"/>
      <c r="Y114" s="1651"/>
      <c r="Z114" s="1651"/>
    </row>
    <row r="115" spans="1:26" s="1007" customFormat="1" ht="24.75" thickBot="1">
      <c r="A115" s="1340" t="s">
        <v>1366</v>
      </c>
      <c r="B115" s="357" t="s">
        <v>413</v>
      </c>
      <c r="C115" s="378">
        <f ca="1">ROUND(IF(C113&lt;=0,0,IF(C114&gt;=200%,C113*60%-C104*35%,IF(C114&gt;=100%,C113*50%-C104*15%,IF(C114&gt;=50%,C113*40%-C104*5%,IF(C114&lt;50%,C113*30%,0))))),0)</f>
        <v>27219</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7"/>
      <c r="K115" s="1647"/>
      <c r="L115" s="1647"/>
      <c r="M115" s="1647"/>
      <c r="N115" s="1647"/>
      <c r="O115" s="1647"/>
      <c r="P115" s="1647"/>
      <c r="Q115" s="1647"/>
      <c r="R115" s="1647"/>
      <c r="S115" s="1647"/>
      <c r="T115" s="1647"/>
      <c r="U115" s="1647"/>
      <c r="V115" s="1647"/>
      <c r="W115" s="1651"/>
      <c r="X115" s="1651"/>
      <c r="Y115" s="1651"/>
      <c r="Z115" s="1651"/>
    </row>
    <row r="116" spans="1:26" s="1654" customFormat="1" ht="21.75" customHeight="1">
      <c r="K116" s="1636"/>
      <c r="L116" s="1636"/>
      <c r="M116" s="1636"/>
      <c r="N116" s="1636"/>
      <c r="O116" s="1636"/>
    </row>
    <row r="117" spans="1:26" s="1654" customFormat="1" ht="21.75" customHeight="1"/>
    <row r="118" spans="1:26" s="1654" customFormat="1" ht="21.75" customHeight="1"/>
    <row r="119" spans="1:26" s="1654" customFormat="1" ht="21.75" customHeight="1"/>
    <row r="120" spans="1:26" s="1654" customFormat="1" ht="21.75" customHeight="1"/>
    <row r="121" spans="1:26" s="1654" customFormat="1" ht="21.75" customHeight="1"/>
    <row r="122" spans="1:26" s="1654" customFormat="1" ht="21.75" customHeight="1">
      <c r="J122" s="1655"/>
    </row>
    <row r="123" spans="1:26" s="1654" customFormat="1" ht="21.75" customHeight="1"/>
    <row r="124" spans="1:26" s="1654" customFormat="1" ht="21.75" customHeight="1"/>
    <row r="125" spans="1:26" s="1654" customFormat="1" ht="21.75" customHeight="1">
      <c r="J125" s="1655"/>
    </row>
    <row r="126" spans="1:26" s="1654" customFormat="1" ht="21.75" customHeight="1"/>
    <row r="127" spans="1:26" s="1654" customFormat="1" ht="21.75" customHeight="1"/>
    <row r="128" spans="1:26" s="1654" customFormat="1" ht="21.75" customHeight="1">
      <c r="J128" s="1655"/>
    </row>
    <row r="129" spans="2:6" s="1654" customFormat="1" ht="21.75" customHeight="1"/>
    <row r="130" spans="2:6" s="1654" customFormat="1" ht="21.75" customHeight="1">
      <c r="B130" s="1656"/>
      <c r="C130" s="1657"/>
      <c r="D130" s="1658"/>
      <c r="E130" s="1658"/>
      <c r="F130" s="1659"/>
    </row>
    <row r="131" spans="2:6" s="1654" customFormat="1" ht="21.75" customHeight="1"/>
    <row r="132" spans="2:6" s="1654" customFormat="1" ht="21.75" customHeight="1"/>
    <row r="133" spans="2:6" s="1654" customFormat="1" ht="21.75" customHeight="1"/>
    <row r="134" spans="2:6" s="1654" customFormat="1" ht="21.75" customHeight="1"/>
    <row r="135" spans="2:6" s="1654" customFormat="1" ht="21.75" customHeight="1"/>
    <row r="136" spans="2:6" s="1654" customFormat="1" ht="21.75" customHeight="1"/>
    <row r="137" spans="2:6" s="1654" customFormat="1" ht="21.75" customHeight="1"/>
    <row r="138" spans="2:6" s="1654" customFormat="1" ht="21.75" customHeight="1"/>
    <row r="139" spans="2:6" s="1654" customFormat="1" ht="21.75" customHeight="1"/>
    <row r="140" spans="2:6" s="1654" customFormat="1" ht="21.75" customHeight="1"/>
    <row r="141" spans="2:6" s="1654" customFormat="1" ht="21.75" customHeight="1"/>
    <row r="142" spans="2:6" s="1654" customFormat="1" ht="21.75" customHeight="1"/>
    <row r="143" spans="2:6" s="1654" customFormat="1" ht="21.75" customHeight="1"/>
    <row r="144" spans="2:6" s="1654" customFormat="1" ht="21.75" customHeight="1"/>
    <row r="145" s="1654" customFormat="1" ht="21.75" customHeight="1"/>
    <row r="146" s="1654" customFormat="1" ht="21.75" customHeight="1"/>
    <row r="147" s="1654" customFormat="1" ht="21.75" customHeight="1"/>
    <row r="148" s="1654" customFormat="1" ht="21.75" customHeight="1"/>
    <row r="149" s="1654" customFormat="1" ht="21.75" customHeight="1"/>
    <row r="150" s="1654" customFormat="1" ht="21.75" customHeight="1"/>
    <row r="151" s="1654" customFormat="1" ht="21.75" customHeight="1"/>
    <row r="152" s="1654" customFormat="1" ht="21.75" customHeight="1"/>
    <row r="153" s="1654" customFormat="1" ht="21.75" customHeight="1"/>
    <row r="154" s="1654" customFormat="1" ht="21.75" customHeight="1"/>
    <row r="155" s="1654" customFormat="1" ht="21.75" customHeight="1"/>
    <row r="156" s="1654" customFormat="1" ht="21.75" customHeight="1"/>
    <row r="157" s="1654" customFormat="1" ht="21.75" customHeight="1"/>
    <row r="158" s="1654" customFormat="1" ht="21.75" customHeight="1"/>
    <row r="159" s="1654" customFormat="1" ht="21.75" customHeight="1"/>
    <row r="160" s="1654" customFormat="1" ht="21.75" customHeight="1"/>
    <row r="161" s="1654" customFormat="1" ht="21.75" customHeight="1"/>
    <row r="162" s="1654" customFormat="1" ht="21.75" customHeight="1"/>
    <row r="163" s="1654" customFormat="1" ht="21.75" customHeight="1"/>
    <row r="164" s="1654" customFormat="1" ht="21.75" customHeight="1"/>
    <row r="165" s="1654" customFormat="1" ht="21.75" customHeight="1"/>
    <row r="166" s="1654" customFormat="1" ht="21.75" customHeight="1"/>
    <row r="167" s="1654" customFormat="1" ht="21.75" customHeight="1"/>
    <row r="168" s="1654" customFormat="1" ht="21.75" customHeight="1"/>
    <row r="169" s="1654" customFormat="1" ht="21.75" customHeight="1"/>
    <row r="170" s="1654" customFormat="1" ht="21.75" customHeight="1"/>
    <row r="171" s="1654" customFormat="1" ht="21.75" customHeight="1"/>
    <row r="172" s="1654" customFormat="1" ht="21.75" customHeight="1"/>
    <row r="173" s="1654" customFormat="1" ht="21.75" customHeight="1"/>
    <row r="174" s="1654" customFormat="1" ht="21.75" customHeight="1"/>
    <row r="175" s="1654" customFormat="1" ht="21.75" customHeight="1"/>
    <row r="176" s="1654" customFormat="1" ht="21.75" customHeight="1"/>
    <row r="177" spans="11:15" s="1654" customFormat="1" ht="21.75" customHeight="1"/>
    <row r="178" spans="11:15" s="1654" customFormat="1" ht="21.75" customHeight="1"/>
    <row r="179" spans="11:15" s="1654" customFormat="1" ht="21.75" customHeight="1"/>
    <row r="180" spans="11:15" s="1654" customFormat="1" ht="21.75" customHeight="1"/>
    <row r="181" spans="11:15" s="1654" customFormat="1" ht="21.75" customHeight="1"/>
    <row r="182" spans="11:15" s="1654" customFormat="1" ht="21.75" customHeight="1"/>
    <row r="183" spans="11:15" s="1654" customFormat="1" ht="21.75" customHeight="1"/>
    <row r="184" spans="11:15" s="1654" customFormat="1" ht="21.75" customHeight="1"/>
    <row r="185" spans="11:15" s="237" customFormat="1" ht="21.75" customHeight="1">
      <c r="K185" s="1654"/>
      <c r="L185" s="1654"/>
      <c r="M185" s="1654"/>
      <c r="N185" s="1654"/>
      <c r="O185" s="1654"/>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tabColor rgb="FF92D050"/>
    <pageSetUpPr fitToPage="1"/>
  </sheetPr>
  <dimension ref="A1:AC258"/>
  <sheetViews>
    <sheetView tabSelected="1" view="pageBreakPreview" topLeftCell="A13" zoomScale="85" zoomScaleNormal="95" zoomScaleSheetLayoutView="85" workbookViewId="0">
      <selection activeCell="I12" sqref="I12"/>
    </sheetView>
  </sheetViews>
  <sheetFormatPr defaultColWidth="9" defaultRowHeight="14.25"/>
  <cols>
    <col min="1" max="1" width="15.625" style="1131" customWidth="1"/>
    <col min="2" max="2" width="15.75" style="1131" customWidth="1"/>
    <col min="3" max="3" width="15.25" style="1131" customWidth="1"/>
    <col min="4" max="4" width="12.25" style="1131" customWidth="1"/>
    <col min="5" max="5" width="16.125" style="1131" customWidth="1"/>
    <col min="6" max="6" width="12.25" style="1131" customWidth="1"/>
    <col min="7" max="7" width="15.625" style="1131" customWidth="1"/>
    <col min="8" max="8" width="12.25" style="1131" customWidth="1"/>
    <col min="9" max="9" width="15.62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465</v>
      </c>
      <c r="B1" s="454"/>
      <c r="C1" s="455" t="s">
        <v>466</v>
      </c>
      <c r="D1" s="456" t="s">
        <v>467</v>
      </c>
      <c r="E1" s="457"/>
      <c r="F1" s="398"/>
      <c r="G1" s="457"/>
      <c r="H1" s="457"/>
      <c r="I1" s="457"/>
      <c r="J1" s="457"/>
      <c r="K1" s="458"/>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427</v>
      </c>
      <c r="B2" s="459">
        <f>F67</f>
        <v>24490</v>
      </c>
      <c r="C2" s="2727"/>
      <c r="D2" s="2727"/>
      <c r="E2" s="2729"/>
      <c r="F2" s="2730"/>
      <c r="G2" s="2729"/>
      <c r="H2" s="2729"/>
      <c r="I2" s="2729"/>
      <c r="J2" s="2729"/>
      <c r="K2" s="2731"/>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c r="A3" s="1170" t="s">
        <v>1217</v>
      </c>
      <c r="B3" s="461">
        <f>ROUND(B2*10000/'数据-汇总表'!E3,0)</f>
        <v>809</v>
      </c>
      <c r="C3" s="2728"/>
      <c r="D3" s="2732"/>
      <c r="E3" s="2728"/>
      <c r="F3" s="2728"/>
      <c r="G3" s="2729"/>
      <c r="H3" s="2729"/>
      <c r="I3" s="2729"/>
      <c r="J3" s="2729"/>
      <c r="K3" s="2731"/>
      <c r="L3" s="1739"/>
      <c r="M3" s="1740"/>
      <c r="N3" s="1740"/>
      <c r="O3" s="1740"/>
      <c r="P3" s="1740"/>
      <c r="Q3" s="1740"/>
      <c r="R3" s="1740"/>
      <c r="S3" s="1740"/>
      <c r="T3" s="1740"/>
      <c r="U3" s="1740"/>
      <c r="V3" s="1740"/>
      <c r="W3" s="1740"/>
      <c r="X3" s="1740"/>
      <c r="Y3" s="1740"/>
      <c r="Z3" s="1740"/>
      <c r="AA3" s="1740"/>
      <c r="AB3" s="2720"/>
      <c r="AC3" s="1674"/>
    </row>
    <row r="4" spans="1:29" s="1130" customFormat="1" ht="28.5" customHeight="1">
      <c r="A4" s="462" t="s">
        <v>469</v>
      </c>
      <c r="B4" s="397">
        <f>IF(B48="单位面积地价",C50,ROUND(B2*10000/'数据-汇总表'!D3,0))</f>
        <v>2831</v>
      </c>
      <c r="C4" s="2728"/>
      <c r="D4" s="2732"/>
      <c r="E4" s="2728"/>
      <c r="F4" s="2728"/>
      <c r="G4" s="2729"/>
      <c r="H4" s="2729"/>
      <c r="I4" s="2729"/>
      <c r="J4" s="2729"/>
      <c r="K4" s="2731"/>
      <c r="L4" s="1739"/>
      <c r="M4" s="1740"/>
      <c r="N4" s="1740"/>
      <c r="O4" s="1740"/>
      <c r="P4" s="1740"/>
      <c r="Q4" s="1740"/>
      <c r="R4" s="1740"/>
      <c r="S4" s="1740"/>
      <c r="T4" s="1740"/>
      <c r="U4" s="1740"/>
      <c r="V4" s="1740"/>
      <c r="W4" s="1740"/>
      <c r="X4" s="1740"/>
      <c r="Y4" s="1740"/>
      <c r="Z4" s="1740"/>
      <c r="AA4" s="1740"/>
      <c r="AB4" s="1740"/>
      <c r="AC4" s="1674"/>
    </row>
    <row r="5" spans="1:29" s="1130" customFormat="1" ht="28.5" customHeight="1" thickBot="1">
      <c r="A5" s="399"/>
      <c r="B5" s="400">
        <f>ROUND(B2/('数据-汇总表'!D3/666.67),0)</f>
        <v>189</v>
      </c>
      <c r="C5" s="401" t="s">
        <v>429</v>
      </c>
      <c r="D5" s="2728"/>
      <c r="E5" s="2728"/>
      <c r="F5" s="2728"/>
      <c r="G5" s="2729"/>
      <c r="H5" s="2729"/>
      <c r="I5" s="2729"/>
      <c r="J5" s="2729"/>
      <c r="K5" s="2731"/>
      <c r="L5" s="1739"/>
      <c r="M5" s="1740"/>
      <c r="N5" s="1740"/>
      <c r="O5" s="1740"/>
      <c r="P5" s="1740"/>
      <c r="Q5" s="1740"/>
      <c r="R5" s="1740"/>
      <c r="S5" s="1740"/>
      <c r="T5" s="1740"/>
      <c r="U5" s="1740"/>
      <c r="V5" s="1740"/>
      <c r="W5" s="1740"/>
      <c r="X5" s="1740"/>
      <c r="Y5" s="1740"/>
      <c r="Z5" s="1740"/>
      <c r="AA5" s="1740"/>
      <c r="AB5" s="1740"/>
      <c r="AC5" s="1674"/>
    </row>
    <row r="6" spans="1:29" ht="20.25">
      <c r="A6" s="463" t="s">
        <v>470</v>
      </c>
      <c r="B6" s="464"/>
      <c r="C6" s="3602" t="s">
        <v>471</v>
      </c>
      <c r="D6" s="3603"/>
      <c r="E6" s="3602" t="s">
        <v>472</v>
      </c>
      <c r="F6" s="3603"/>
      <c r="G6" s="3602" t="s">
        <v>473</v>
      </c>
      <c r="H6" s="3603"/>
      <c r="I6" s="3602" t="s">
        <v>474</v>
      </c>
      <c r="J6" s="3603"/>
      <c r="K6" s="465" t="s">
        <v>475</v>
      </c>
      <c r="L6" s="1741"/>
      <c r="M6" s="1740"/>
      <c r="N6" s="1740"/>
      <c r="O6" s="1742"/>
      <c r="P6" s="3604" t="s">
        <v>476</v>
      </c>
      <c r="Q6" s="3605"/>
      <c r="R6" s="3588" t="s">
        <v>472</v>
      </c>
      <c r="S6" s="3589"/>
      <c r="T6" s="3588" t="s">
        <v>473</v>
      </c>
      <c r="U6" s="3589"/>
      <c r="V6" s="3610" t="s">
        <v>474</v>
      </c>
      <c r="W6" s="3610"/>
      <c r="X6" s="1302"/>
      <c r="Y6" s="3588" t="s">
        <v>476</v>
      </c>
      <c r="Z6" s="3589"/>
      <c r="AA6" s="3583" t="s">
        <v>472</v>
      </c>
      <c r="AB6" s="3584" t="s">
        <v>473</v>
      </c>
      <c r="AC6" s="3583" t="s">
        <v>474</v>
      </c>
    </row>
    <row r="7" spans="1:29" ht="20.25">
      <c r="A7" s="466"/>
      <c r="B7" s="467"/>
      <c r="C7" s="3613" t="s">
        <v>2187</v>
      </c>
      <c r="D7" s="3614"/>
      <c r="E7" s="3613" t="str">
        <f>Sheet1!A2</f>
        <v>海州区香海湖路北、为民路东</v>
      </c>
      <c r="F7" s="3614"/>
      <c r="G7" s="3613" t="s">
        <v>3442</v>
      </c>
      <c r="H7" s="3614"/>
      <c r="I7" s="3613" t="s">
        <v>3443</v>
      </c>
      <c r="J7" s="3614"/>
      <c r="K7" s="465"/>
      <c r="L7" s="1741"/>
      <c r="M7" s="1740"/>
      <c r="N7" s="1740"/>
      <c r="O7" s="1742"/>
      <c r="P7" s="3606"/>
      <c r="Q7" s="3607"/>
      <c r="R7" s="3590"/>
      <c r="S7" s="3591"/>
      <c r="T7" s="3590"/>
      <c r="U7" s="3591"/>
      <c r="V7" s="3610"/>
      <c r="W7" s="3610"/>
      <c r="X7" s="1302"/>
      <c r="Y7" s="3590"/>
      <c r="Z7" s="3591"/>
      <c r="AA7" s="3584"/>
      <c r="AB7" s="3584"/>
      <c r="AC7" s="3584"/>
    </row>
    <row r="8" spans="1:29" ht="21" thickBot="1">
      <c r="A8" s="466"/>
      <c r="B8" s="467"/>
      <c r="C8" s="3615" t="s">
        <v>2191</v>
      </c>
      <c r="D8" s="3616"/>
      <c r="E8" s="3615" t="s">
        <v>2191</v>
      </c>
      <c r="F8" s="3616"/>
      <c r="G8" s="3611" t="s">
        <v>2191</v>
      </c>
      <c r="H8" s="3612"/>
      <c r="I8" s="3611" t="s">
        <v>2191</v>
      </c>
      <c r="J8" s="3612"/>
      <c r="K8" s="465" t="s">
        <v>477</v>
      </c>
      <c r="L8" s="1741"/>
      <c r="M8" s="1740"/>
      <c r="N8" s="1740"/>
      <c r="O8" s="1742"/>
      <c r="P8" s="3608"/>
      <c r="Q8" s="3609"/>
      <c r="R8" s="3590"/>
      <c r="S8" s="3591"/>
      <c r="T8" s="3592"/>
      <c r="U8" s="3593"/>
      <c r="V8" s="3610"/>
      <c r="W8" s="3610"/>
      <c r="X8" s="1302"/>
      <c r="Y8" s="3592"/>
      <c r="Z8" s="3593"/>
      <c r="AA8" s="3585"/>
      <c r="AB8" s="3585"/>
      <c r="AC8" s="3585"/>
    </row>
    <row r="9" spans="1:29" s="1059" customFormat="1" ht="21" thickBot="1">
      <c r="A9" s="2209"/>
      <c r="B9" s="2216" t="s">
        <v>478</v>
      </c>
      <c r="C9" s="2208">
        <f>'数据-取费表'!B2</f>
        <v>45057</v>
      </c>
      <c r="D9" s="471">
        <v>100</v>
      </c>
      <c r="E9" s="472" t="str">
        <f>Sheet1!S2</f>
        <v>2020-09-11</v>
      </c>
      <c r="F9" s="473">
        <f>SUMIF(71:71,YEAR(E9)&amp;"-"&amp;INT((MONTH(E9)+2)/3),72:72)</f>
        <v>98.900000000000063</v>
      </c>
      <c r="G9" s="474">
        <f>Sheet1!AC7</f>
        <v>44988.000497685185</v>
      </c>
      <c r="H9" s="471">
        <f>SUMIF(71:71,YEAR(G9)&amp;"-"&amp;INT((MONTH(G9)+2)/3),72:72)</f>
        <v>99.9</v>
      </c>
      <c r="I9" s="474">
        <f>Sheet1!AC8</f>
        <v>44988.000497685185</v>
      </c>
      <c r="J9" s="471">
        <f>SUMIF(71:71,YEAR(I9)&amp;"-"&amp;INT((MONTH(I9)+2)/3),72:72)</f>
        <v>99.9</v>
      </c>
      <c r="K9" s="88"/>
      <c r="L9" s="1743"/>
      <c r="M9" s="1740"/>
      <c r="N9" s="1740"/>
      <c r="O9" s="1640"/>
      <c r="P9" s="3586" t="s">
        <v>479</v>
      </c>
      <c r="Q9" s="3595"/>
      <c r="R9" s="1303" t="s">
        <v>5</v>
      </c>
      <c r="S9" s="1304">
        <f t="shared" ref="S9:S17" si="0">F9</f>
        <v>98.900000000000063</v>
      </c>
      <c r="T9" s="1303" t="s">
        <v>5</v>
      </c>
      <c r="U9" s="1304">
        <f t="shared" ref="U9:U17" si="1">H9</f>
        <v>99.9</v>
      </c>
      <c r="V9" s="1303" t="s">
        <v>5</v>
      </c>
      <c r="W9" s="1304">
        <f t="shared" ref="W9:W17" si="2">J9</f>
        <v>99.9</v>
      </c>
      <c r="X9" s="1305"/>
      <c r="Y9" s="3586" t="s">
        <v>479</v>
      </c>
      <c r="Z9" s="3587"/>
      <c r="AA9" s="996">
        <f>D9/F9</f>
        <v>1.0111223458038416</v>
      </c>
      <c r="AB9" s="996">
        <f>D9/H9</f>
        <v>1.0010010010010009</v>
      </c>
      <c r="AC9" s="996">
        <f>D9/J9</f>
        <v>1.0010010010010009</v>
      </c>
    </row>
    <row r="10" spans="1:29" s="1059" customFormat="1" ht="21" thickBot="1">
      <c r="A10" s="2210"/>
      <c r="B10" s="2217" t="s">
        <v>480</v>
      </c>
      <c r="C10" s="790" t="s">
        <v>481</v>
      </c>
      <c r="D10" s="471">
        <v>100</v>
      </c>
      <c r="E10" s="790" t="s">
        <v>481</v>
      </c>
      <c r="F10" s="473">
        <f>SUMIF(74:74,E10,75:75)-SUMIF(74:74,C10,75:75)+100</f>
        <v>100</v>
      </c>
      <c r="G10" s="790" t="s">
        <v>481</v>
      </c>
      <c r="H10" s="471">
        <f>SUMIF(74:74,G10,75:75)-SUMIF(74:74,C10,75:75)+100</f>
        <v>100</v>
      </c>
      <c r="I10" s="790" t="s">
        <v>481</v>
      </c>
      <c r="J10" s="471">
        <f>SUMIF(74:74,I10,75:75)-SUMIF(74:74,C10,75:75)+100</f>
        <v>100</v>
      </c>
      <c r="K10" s="88"/>
      <c r="L10" s="1743"/>
      <c r="M10" s="1740"/>
      <c r="N10" s="1740"/>
      <c r="O10" s="1640"/>
      <c r="P10" s="3586" t="s">
        <v>482</v>
      </c>
      <c r="Q10" s="3587"/>
      <c r="R10" s="1303" t="s">
        <v>5</v>
      </c>
      <c r="S10" s="1304">
        <f t="shared" si="0"/>
        <v>100</v>
      </c>
      <c r="T10" s="1303" t="s">
        <v>5</v>
      </c>
      <c r="U10" s="1304">
        <f t="shared" si="1"/>
        <v>100</v>
      </c>
      <c r="V10" s="1303" t="s">
        <v>5</v>
      </c>
      <c r="W10" s="1304">
        <f t="shared" si="2"/>
        <v>100</v>
      </c>
      <c r="X10" s="1305"/>
      <c r="Y10" s="3586" t="s">
        <v>482</v>
      </c>
      <c r="Z10" s="3587"/>
      <c r="AA10" s="996">
        <f t="shared" ref="AA10:AA47" si="3">D10/F10</f>
        <v>1</v>
      </c>
      <c r="AB10" s="996">
        <f t="shared" ref="AB10:AB47" si="4">D10/H10</f>
        <v>1</v>
      </c>
      <c r="AC10" s="996">
        <f t="shared" ref="AC10:AC47" si="5">D10/J10</f>
        <v>1</v>
      </c>
    </row>
    <row r="11" spans="1:29" s="1059" customFormat="1" ht="20.25">
      <c r="A11" s="2211"/>
      <c r="B11" s="2218" t="s">
        <v>2038</v>
      </c>
      <c r="C11" s="2205" t="s">
        <v>2736</v>
      </c>
      <c r="D11" s="154">
        <v>100</v>
      </c>
      <c r="E11" s="2205" t="s">
        <v>2736</v>
      </c>
      <c r="F11" s="154">
        <f>SUMIF(76:76,E11,77:77)-SUMIF(76:76,C11,77:77)+100</f>
        <v>100</v>
      </c>
      <c r="G11" s="2205" t="s">
        <v>2736</v>
      </c>
      <c r="H11" s="154">
        <f>SUMIF(76:76,G11,77:77)-SUMIF(76:76,C11,77:77)+100</f>
        <v>100</v>
      </c>
      <c r="I11" s="2205" t="s">
        <v>2736</v>
      </c>
      <c r="J11" s="154">
        <f>SUMIF(76:76,I11,77:77)-SUMIF(76:76,C11,77:77)+100</f>
        <v>100</v>
      </c>
      <c r="K11" s="88"/>
      <c r="L11" s="1743"/>
      <c r="M11" s="1740"/>
      <c r="N11" s="1740"/>
      <c r="O11" s="1744"/>
      <c r="P11" s="3594" t="s">
        <v>484</v>
      </c>
      <c r="Q11" s="818" t="str">
        <f t="shared" ref="Q11:Q17" si="6">B11</f>
        <v>用途</v>
      </c>
      <c r="R11" s="1303" t="s">
        <v>5</v>
      </c>
      <c r="S11" s="1304">
        <f t="shared" si="0"/>
        <v>100</v>
      </c>
      <c r="T11" s="1303" t="s">
        <v>5</v>
      </c>
      <c r="U11" s="1304">
        <f t="shared" si="1"/>
        <v>100</v>
      </c>
      <c r="V11" s="1303" t="s">
        <v>5</v>
      </c>
      <c r="W11" s="1304">
        <f t="shared" si="2"/>
        <v>100</v>
      </c>
      <c r="X11" s="1305"/>
      <c r="Y11" s="3546" t="s">
        <v>485</v>
      </c>
      <c r="Z11" s="996" t="str">
        <f t="shared" ref="Z11:Z17" si="7">Q11</f>
        <v>用途</v>
      </c>
      <c r="AA11" s="996">
        <f t="shared" si="3"/>
        <v>1</v>
      </c>
      <c r="AB11" s="996">
        <f t="shared" si="4"/>
        <v>1</v>
      </c>
      <c r="AC11" s="996">
        <f t="shared" si="5"/>
        <v>1</v>
      </c>
    </row>
    <row r="12" spans="1:29" s="1132" customFormat="1" ht="27">
      <c r="A12" s="2212"/>
      <c r="B12" s="2217" t="s">
        <v>2039</v>
      </c>
      <c r="C12" s="832"/>
      <c r="D12" s="235">
        <v>100</v>
      </c>
      <c r="E12" s="479"/>
      <c r="F12" s="235">
        <f>ROUND(100/'数据-取费表'!G16,0)</f>
        <v>111</v>
      </c>
      <c r="G12" s="480"/>
      <c r="H12" s="235">
        <f>ROUND(100/'数据-取费表'!G16,0)</f>
        <v>111</v>
      </c>
      <c r="I12" s="480"/>
      <c r="J12" s="235">
        <f>ROUND(100/'数据-取费表'!G16,0)</f>
        <v>111</v>
      </c>
      <c r="K12" s="481"/>
      <c r="L12" s="1745"/>
      <c r="M12" s="1740"/>
      <c r="N12" s="1740"/>
      <c r="O12" s="1746"/>
      <c r="P12" s="3594"/>
      <c r="Q12" s="818" t="str">
        <f t="shared" si="6"/>
        <v>土地使用年限（年）</v>
      </c>
      <c r="R12" s="1303" t="s">
        <v>5</v>
      </c>
      <c r="S12" s="1304">
        <f t="shared" si="0"/>
        <v>111</v>
      </c>
      <c r="T12" s="1303" t="s">
        <v>5</v>
      </c>
      <c r="U12" s="1304">
        <f t="shared" si="1"/>
        <v>111</v>
      </c>
      <c r="V12" s="1303" t="s">
        <v>5</v>
      </c>
      <c r="W12" s="1304">
        <f t="shared" si="2"/>
        <v>111</v>
      </c>
      <c r="X12" s="1305"/>
      <c r="Y12" s="3546"/>
      <c r="Z12" s="996" t="str">
        <f t="shared" si="7"/>
        <v>土地使用年限（年）</v>
      </c>
      <c r="AA12" s="996">
        <f t="shared" si="3"/>
        <v>0.90090090090090091</v>
      </c>
      <c r="AB12" s="996">
        <f t="shared" si="4"/>
        <v>0.90090090090090091</v>
      </c>
      <c r="AC12" s="996">
        <f t="shared" si="5"/>
        <v>0.90090090090090091</v>
      </c>
    </row>
    <row r="13" spans="1:29" ht="20.25">
      <c r="A13" s="2213"/>
      <c r="B13" s="2217" t="s">
        <v>2040</v>
      </c>
      <c r="C13" s="484">
        <f>'数据-汇总表'!I6</f>
        <v>3.5</v>
      </c>
      <c r="D13" s="235">
        <v>100</v>
      </c>
      <c r="E13" s="483">
        <v>1.5</v>
      </c>
      <c r="F13" s="235">
        <f>LOOKUP(E13,81:81,82:82)-LOOKUP(C13,81:81,82:82)+100</f>
        <v>104</v>
      </c>
      <c r="G13" s="483">
        <v>1.5</v>
      </c>
      <c r="H13" s="235">
        <f>LOOKUP(G13,81:81,82:82)-LOOKUP(C13,81:81,82:82)+100</f>
        <v>104</v>
      </c>
      <c r="I13" s="483">
        <v>2</v>
      </c>
      <c r="J13" s="235">
        <f>LOOKUP(I13,81:81,82:82)-LOOKUP(C13,81:81,82:82)+100</f>
        <v>102</v>
      </c>
      <c r="K13" s="3398">
        <v>2</v>
      </c>
      <c r="L13" s="1747"/>
      <c r="M13" s="1740"/>
      <c r="N13" s="1740"/>
      <c r="O13" s="1748"/>
      <c r="P13" s="3594"/>
      <c r="Q13" s="818" t="str">
        <f t="shared" si="6"/>
        <v>容积率</v>
      </c>
      <c r="R13" s="1303" t="s">
        <v>5</v>
      </c>
      <c r="S13" s="1304">
        <f t="shared" si="0"/>
        <v>104</v>
      </c>
      <c r="T13" s="1303" t="s">
        <v>5</v>
      </c>
      <c r="U13" s="1304">
        <f t="shared" si="1"/>
        <v>104</v>
      </c>
      <c r="V13" s="1303" t="s">
        <v>5</v>
      </c>
      <c r="W13" s="1304">
        <f t="shared" si="2"/>
        <v>102</v>
      </c>
      <c r="X13" s="1305"/>
      <c r="Y13" s="3546"/>
      <c r="Z13" s="996" t="str">
        <f t="shared" si="7"/>
        <v>容积率</v>
      </c>
      <c r="AA13" s="996">
        <f t="shared" si="3"/>
        <v>0.96153846153846156</v>
      </c>
      <c r="AB13" s="996">
        <f t="shared" si="4"/>
        <v>0.96153846153846156</v>
      </c>
      <c r="AC13" s="996">
        <f t="shared" si="5"/>
        <v>0.98039215686274506</v>
      </c>
    </row>
    <row r="14" spans="1:29" s="1059" customFormat="1" ht="20.25">
      <c r="A14" s="2210"/>
      <c r="B14" s="2219" t="s">
        <v>2041</v>
      </c>
      <c r="C14" s="2206"/>
      <c r="D14" s="488">
        <v>100</v>
      </c>
      <c r="E14" s="1165"/>
      <c r="F14" s="235">
        <f>SUMIF(83:83,E14,84:84)-SUMIF(83:83,C14,84:84)+100</f>
        <v>100</v>
      </c>
      <c r="G14" s="480"/>
      <c r="H14" s="235">
        <f>SUMIF(83:83,G14,84:84)-SUMIF(83:83,C14,84:84)+100</f>
        <v>100</v>
      </c>
      <c r="I14" s="479"/>
      <c r="J14" s="235">
        <f>SUMIF(83:83,I14,84:84)-SUMIF(83:83,C14,84:84)+100</f>
        <v>100</v>
      </c>
      <c r="K14" s="481"/>
      <c r="L14" s="1743"/>
      <c r="M14" s="1740"/>
      <c r="N14" s="1740"/>
      <c r="O14" s="1744"/>
      <c r="P14" s="3594"/>
      <c r="Q14" s="818" t="str">
        <f t="shared" si="6"/>
        <v>配建</v>
      </c>
      <c r="R14" s="1303" t="s">
        <v>5</v>
      </c>
      <c r="S14" s="1304">
        <f t="shared" si="0"/>
        <v>100</v>
      </c>
      <c r="T14" s="1303" t="s">
        <v>5</v>
      </c>
      <c r="U14" s="1304">
        <f t="shared" si="1"/>
        <v>100</v>
      </c>
      <c r="V14" s="1303" t="s">
        <v>5</v>
      </c>
      <c r="W14" s="1304">
        <f t="shared" si="2"/>
        <v>100</v>
      </c>
      <c r="X14" s="1305"/>
      <c r="Y14" s="3546"/>
      <c r="Z14" s="996" t="str">
        <f t="shared" si="7"/>
        <v>配建</v>
      </c>
      <c r="AA14" s="996">
        <f>D14/F14</f>
        <v>1</v>
      </c>
      <c r="AB14" s="996">
        <f>D14/H14</f>
        <v>1</v>
      </c>
      <c r="AC14" s="996">
        <f>D14/J14</f>
        <v>1</v>
      </c>
    </row>
    <row r="15" spans="1:29" ht="20.25">
      <c r="A15" s="2214"/>
      <c r="B15" s="2220">
        <v>111</v>
      </c>
      <c r="C15" s="834"/>
      <c r="D15" s="490">
        <v>100</v>
      </c>
      <c r="E15" s="491"/>
      <c r="F15" s="235">
        <f>SUMIF(85:85,E15,86:86)-SUMIF(85:85,C15,86:86)+100</f>
        <v>100</v>
      </c>
      <c r="G15" s="492"/>
      <c r="H15" s="490">
        <f>SUMIF(85:85,G15,86:86)-SUMIF(85:85,C15,86:86)+100</f>
        <v>100</v>
      </c>
      <c r="I15" s="492"/>
      <c r="J15" s="490">
        <f>SUMIF(85:85,I15,86:86)-SUMIF(85:85,C15,86:86)+100</f>
        <v>100</v>
      </c>
      <c r="K15" s="481"/>
      <c r="L15" s="1749"/>
      <c r="M15" s="1740"/>
      <c r="N15" s="1740"/>
      <c r="O15" s="1748"/>
      <c r="P15" s="3594"/>
      <c r="Q15" s="818">
        <f t="shared" si="6"/>
        <v>111</v>
      </c>
      <c r="R15" s="1303" t="s">
        <v>5</v>
      </c>
      <c r="S15" s="1304">
        <f t="shared" si="0"/>
        <v>100</v>
      </c>
      <c r="T15" s="1303" t="s">
        <v>5</v>
      </c>
      <c r="U15" s="1304">
        <f t="shared" si="1"/>
        <v>100</v>
      </c>
      <c r="V15" s="1303" t="s">
        <v>5</v>
      </c>
      <c r="W15" s="1304">
        <f t="shared" si="2"/>
        <v>100</v>
      </c>
      <c r="X15" s="1305"/>
      <c r="Y15" s="3546"/>
      <c r="Z15" s="996">
        <f t="shared" si="7"/>
        <v>111</v>
      </c>
      <c r="AA15" s="996">
        <f>D15/F15</f>
        <v>1</v>
      </c>
      <c r="AB15" s="996">
        <f>D15/H15</f>
        <v>1</v>
      </c>
      <c r="AC15" s="996">
        <f>D15/J15</f>
        <v>1</v>
      </c>
    </row>
    <row r="16" spans="1:29" ht="21" thickBot="1">
      <c r="A16" s="2215"/>
      <c r="B16" s="2221">
        <v>111</v>
      </c>
      <c r="C16" s="837"/>
      <c r="D16" s="496">
        <v>100</v>
      </c>
      <c r="E16" s="491"/>
      <c r="F16" s="496">
        <f>SUMIF(87:87,E16,88:88)-SUMIF(87:87,C16,88:88)+100</f>
        <v>100</v>
      </c>
      <c r="G16" s="492"/>
      <c r="H16" s="496">
        <f>SUMIF(87:87,G16,88:88)-SUMIF(87:87,C16,88:88)+100</f>
        <v>100</v>
      </c>
      <c r="I16" s="492"/>
      <c r="J16" s="496">
        <f>SUMIF(87:87,I16,88:88)-SUMIF(87:87,C16,88:88)+100</f>
        <v>100</v>
      </c>
      <c r="K16" s="481"/>
      <c r="L16" s="1749"/>
      <c r="M16" s="1740"/>
      <c r="N16" s="1740"/>
      <c r="O16" s="1748"/>
      <c r="P16" s="3594"/>
      <c r="Q16" s="818">
        <f t="shared" si="6"/>
        <v>111</v>
      </c>
      <c r="R16" s="1303" t="s">
        <v>5</v>
      </c>
      <c r="S16" s="1304">
        <f t="shared" si="0"/>
        <v>100</v>
      </c>
      <c r="T16" s="1303" t="s">
        <v>5</v>
      </c>
      <c r="U16" s="1304">
        <f t="shared" si="1"/>
        <v>100</v>
      </c>
      <c r="V16" s="1303" t="s">
        <v>5</v>
      </c>
      <c r="W16" s="1304">
        <f t="shared" si="2"/>
        <v>100</v>
      </c>
      <c r="X16" s="1305"/>
      <c r="Y16" s="3546"/>
      <c r="Z16" s="996">
        <f t="shared" si="7"/>
        <v>111</v>
      </c>
      <c r="AA16" s="996">
        <f>D16/F16</f>
        <v>1</v>
      </c>
      <c r="AB16" s="996">
        <f>D16/H16</f>
        <v>1</v>
      </c>
      <c r="AC16" s="996">
        <f>D16/J16</f>
        <v>1</v>
      </c>
    </row>
    <row r="17" spans="1:29" ht="18.75" customHeight="1">
      <c r="A17" s="2207" t="s">
        <v>2036</v>
      </c>
      <c r="B17" s="528" t="s">
        <v>261</v>
      </c>
      <c r="C17" s="498">
        <f>估价对象房地状况!C15</f>
        <v>0</v>
      </c>
      <c r="D17" s="501">
        <v>100</v>
      </c>
      <c r="E17" s="502"/>
      <c r="F17" s="499">
        <f>SUMIF(89:89,E18,90:90)-SUMIF(89:89,C18,90:90)+100</f>
        <v>100</v>
      </c>
      <c r="G17" s="500"/>
      <c r="H17" s="499">
        <f>SUMIF(89:89,G18,90:90)-SUMIF(89:89,C18,90:90)+100</f>
        <v>100</v>
      </c>
      <c r="I17" s="502"/>
      <c r="J17" s="499">
        <f>SUMIF(89:89,I18,90:90)-SUMIF(89:89,C18,90:90)+100</f>
        <v>100</v>
      </c>
      <c r="K17" s="485"/>
      <c r="L17" s="1749"/>
      <c r="M17" s="1740"/>
      <c r="N17" s="1740"/>
      <c r="O17" s="1748"/>
      <c r="P17" s="3596" t="s">
        <v>489</v>
      </c>
      <c r="Q17" s="1306" t="str">
        <f t="shared" si="6"/>
        <v>居住社区成熟度</v>
      </c>
      <c r="R17" s="1307" t="s">
        <v>5</v>
      </c>
      <c r="S17" s="1308">
        <f t="shared" si="0"/>
        <v>100</v>
      </c>
      <c r="T17" s="1307" t="s">
        <v>5</v>
      </c>
      <c r="U17" s="1308">
        <f t="shared" si="1"/>
        <v>100</v>
      </c>
      <c r="V17" s="1307" t="s">
        <v>5</v>
      </c>
      <c r="W17" s="1308">
        <f t="shared" si="2"/>
        <v>100</v>
      </c>
      <c r="X17" s="1302"/>
      <c r="Y17" s="3596" t="s">
        <v>489</v>
      </c>
      <c r="Z17" s="1309" t="str">
        <f t="shared" si="7"/>
        <v>居住社区成熟度</v>
      </c>
      <c r="AA17" s="1309">
        <f t="shared" si="3"/>
        <v>1</v>
      </c>
      <c r="AB17" s="1309">
        <f t="shared" si="4"/>
        <v>1</v>
      </c>
      <c r="AC17" s="1309">
        <f t="shared" si="5"/>
        <v>1</v>
      </c>
    </row>
    <row r="18" spans="1:29" ht="20.25">
      <c r="A18" s="482"/>
      <c r="B18" s="503"/>
      <c r="C18" s="504"/>
      <c r="D18" s="507"/>
      <c r="E18" s="508"/>
      <c r="F18" s="505"/>
      <c r="G18" s="506"/>
      <c r="H18" s="509"/>
      <c r="I18" s="508"/>
      <c r="J18" s="505"/>
      <c r="K18" s="481"/>
      <c r="L18" s="1749"/>
      <c r="M18" s="1740"/>
      <c r="N18" s="1740"/>
      <c r="O18" s="1748"/>
      <c r="P18" s="3597"/>
      <c r="Q18" s="1306"/>
      <c r="R18" s="1307"/>
      <c r="S18" s="1308"/>
      <c r="T18" s="1307"/>
      <c r="U18" s="1308"/>
      <c r="V18" s="1307"/>
      <c r="W18" s="1308"/>
      <c r="X18" s="1302"/>
      <c r="Y18" s="3597"/>
      <c r="Z18" s="1309"/>
      <c r="AA18" s="1309">
        <v>1</v>
      </c>
      <c r="AB18" s="1309">
        <v>1</v>
      </c>
      <c r="AC18" s="1309">
        <v>1</v>
      </c>
    </row>
    <row r="19" spans="1:29" ht="85.5">
      <c r="A19" s="482"/>
      <c r="B19" s="510" t="s">
        <v>490</v>
      </c>
      <c r="C19" s="511" t="str">
        <f>估价对象房地状况!C16</f>
        <v>估价对象周边商业氛围成熟度较差，人流量较少，住宅底商为主，商业繁华度较差</v>
      </c>
      <c r="D19" s="513">
        <v>100</v>
      </c>
      <c r="E19" s="514"/>
      <c r="F19" s="509">
        <f>SUMIF(91:91,E20,92:92)-SUMIF(91:91,C20,92:92)+100</f>
        <v>100</v>
      </c>
      <c r="G19" s="512"/>
      <c r="H19" s="515">
        <f>SUMIF(91:91,G20,92:92)-SUMIF(91:91,C20,92:92)+100</f>
        <v>105</v>
      </c>
      <c r="I19" s="514"/>
      <c r="J19" s="515">
        <f>SUMIF(91:91,I20,92:92)-SUMIF(91:91,C20,92:92)+100</f>
        <v>100</v>
      </c>
      <c r="K19" s="485">
        <v>5</v>
      </c>
      <c r="L19" s="1749"/>
      <c r="M19" s="1740"/>
      <c r="N19" s="1740"/>
      <c r="O19" s="1748"/>
      <c r="P19" s="3597"/>
      <c r="Q19" s="1306" t="str">
        <f>B19</f>
        <v>商业繁华度</v>
      </c>
      <c r="R19" s="1307" t="s">
        <v>5</v>
      </c>
      <c r="S19" s="1308">
        <f>F19</f>
        <v>100</v>
      </c>
      <c r="T19" s="1307" t="s">
        <v>5</v>
      </c>
      <c r="U19" s="1308">
        <f>H19</f>
        <v>105</v>
      </c>
      <c r="V19" s="1307" t="s">
        <v>5</v>
      </c>
      <c r="W19" s="1308">
        <f>J19</f>
        <v>100</v>
      </c>
      <c r="X19" s="1302"/>
      <c r="Y19" s="3597"/>
      <c r="Z19" s="1309" t="str">
        <f>Q19</f>
        <v>商业繁华度</v>
      </c>
      <c r="AA19" s="1309">
        <f t="shared" si="3"/>
        <v>1</v>
      </c>
      <c r="AB19" s="1309">
        <f t="shared" si="4"/>
        <v>0.95238095238095233</v>
      </c>
      <c r="AC19" s="1309">
        <f t="shared" si="5"/>
        <v>1</v>
      </c>
    </row>
    <row r="20" spans="1:29" ht="20.25">
      <c r="A20" s="482"/>
      <c r="B20" s="516"/>
      <c r="C20" s="517" t="s">
        <v>3360</v>
      </c>
      <c r="D20" s="513"/>
      <c r="E20" s="517" t="s">
        <v>3360</v>
      </c>
      <c r="F20" s="509"/>
      <c r="G20" s="517" t="s">
        <v>3340</v>
      </c>
      <c r="H20" s="505"/>
      <c r="I20" s="517" t="s">
        <v>3360</v>
      </c>
      <c r="J20" s="505"/>
      <c r="K20" s="481"/>
      <c r="L20" s="1749"/>
      <c r="M20" s="1740"/>
      <c r="N20" s="1740"/>
      <c r="O20" s="1748"/>
      <c r="P20" s="3597"/>
      <c r="Q20" s="1306"/>
      <c r="R20" s="1307"/>
      <c r="S20" s="1308"/>
      <c r="T20" s="1307"/>
      <c r="U20" s="1308"/>
      <c r="V20" s="1307"/>
      <c r="W20" s="1308"/>
      <c r="X20" s="1302"/>
      <c r="Y20" s="3597"/>
      <c r="Z20" s="1309"/>
      <c r="AA20" s="1309">
        <v>1</v>
      </c>
      <c r="AB20" s="1309">
        <v>1</v>
      </c>
      <c r="AC20" s="1309">
        <v>1</v>
      </c>
    </row>
    <row r="21" spans="1:29" ht="20.25">
      <c r="A21" s="482"/>
      <c r="B21" s="510" t="s">
        <v>491</v>
      </c>
      <c r="C21" s="511">
        <f>估价对象房地状况!C17</f>
        <v>0</v>
      </c>
      <c r="D21" s="521">
        <v>100</v>
      </c>
      <c r="E21" s="522"/>
      <c r="F21" s="515">
        <f>SUMIF(93:93,E22,94:94)-SUMIF(93:93,C22,94:94)+100</f>
        <v>100</v>
      </c>
      <c r="G21" s="520"/>
      <c r="H21" s="509">
        <f>SUMIF(93:93,G22,94:94)-SUMIF(93:93,C22,94:94)+100</f>
        <v>100</v>
      </c>
      <c r="I21" s="522"/>
      <c r="J21" s="509">
        <f>SUMIF(93:93,I22,94:94)-SUMIF(93:93,C22,94:94)+100</f>
        <v>100</v>
      </c>
      <c r="K21" s="485"/>
      <c r="L21" s="1749"/>
      <c r="M21" s="1740"/>
      <c r="N21" s="1740"/>
      <c r="O21" s="1748"/>
      <c r="P21" s="3597"/>
      <c r="Q21" s="1306" t="str">
        <f>B21</f>
        <v>办公集聚程度</v>
      </c>
      <c r="R21" s="1307" t="s">
        <v>5</v>
      </c>
      <c r="S21" s="1308">
        <f>F21</f>
        <v>100</v>
      </c>
      <c r="T21" s="1307" t="s">
        <v>5</v>
      </c>
      <c r="U21" s="1308">
        <f>H21</f>
        <v>100</v>
      </c>
      <c r="V21" s="1307" t="s">
        <v>5</v>
      </c>
      <c r="W21" s="1308">
        <f>J21</f>
        <v>100</v>
      </c>
      <c r="X21" s="1302"/>
      <c r="Y21" s="3597"/>
      <c r="Z21" s="1309" t="str">
        <f>Q21</f>
        <v>办公集聚程度</v>
      </c>
      <c r="AA21" s="1309">
        <f t="shared" si="3"/>
        <v>1</v>
      </c>
      <c r="AB21" s="1309">
        <f t="shared" si="4"/>
        <v>1</v>
      </c>
      <c r="AC21" s="1309">
        <f t="shared" si="5"/>
        <v>1</v>
      </c>
    </row>
    <row r="22" spans="1:29" ht="20.25">
      <c r="A22" s="482"/>
      <c r="B22" s="516"/>
      <c r="C22" s="504"/>
      <c r="D22" s="507"/>
      <c r="E22" s="508"/>
      <c r="F22" s="505"/>
      <c r="G22" s="506"/>
      <c r="H22" s="505"/>
      <c r="I22" s="508"/>
      <c r="J22" s="505"/>
      <c r="K22" s="481"/>
      <c r="L22" s="1749"/>
      <c r="M22" s="1740"/>
      <c r="N22" s="1740"/>
      <c r="O22" s="1748"/>
      <c r="P22" s="3597"/>
      <c r="Q22" s="1306"/>
      <c r="R22" s="1307"/>
      <c r="S22" s="1308"/>
      <c r="T22" s="1307"/>
      <c r="U22" s="1308"/>
      <c r="V22" s="1307"/>
      <c r="W22" s="1308"/>
      <c r="X22" s="1302"/>
      <c r="Y22" s="3597"/>
      <c r="Z22" s="1309"/>
      <c r="AA22" s="1309">
        <v>1</v>
      </c>
      <c r="AB22" s="1309">
        <v>1</v>
      </c>
      <c r="AC22" s="1309">
        <v>1</v>
      </c>
    </row>
    <row r="23" spans="1:29" ht="114">
      <c r="A23" s="482"/>
      <c r="B23" s="510" t="s">
        <v>492</v>
      </c>
      <c r="C23" s="523" t="str">
        <f>估价对象房地状况!C18</f>
        <v>估价对象周边道路状况一般、公共交通通达情况较差，有5、122路经过、停车便捷程度，综合评价交通便捷度一般</v>
      </c>
      <c r="D23" s="513">
        <v>100</v>
      </c>
      <c r="E23" s="514"/>
      <c r="F23" s="515">
        <f>SUMIF(95:95,E24,96:96)-SUMIF(95:95,C24,96:96)+100</f>
        <v>100</v>
      </c>
      <c r="G23" s="512"/>
      <c r="H23" s="509">
        <f>SUMIF(95:95,G24,96:96)-SUMIF(95:95,C24,96:96)+100</f>
        <v>100</v>
      </c>
      <c r="I23" s="514"/>
      <c r="J23" s="509">
        <f>SUMIF(95:95,I24,96:96)-SUMIF(95:95,C24,96:96)+100</f>
        <v>100</v>
      </c>
      <c r="K23" s="485">
        <v>3</v>
      </c>
      <c r="L23" s="1749"/>
      <c r="M23" s="1740"/>
      <c r="N23" s="1740"/>
      <c r="O23" s="1748"/>
      <c r="P23" s="3597"/>
      <c r="Q23" s="1306" t="str">
        <f>B23</f>
        <v>交通便捷度</v>
      </c>
      <c r="R23" s="1307" t="s">
        <v>5</v>
      </c>
      <c r="S23" s="1308">
        <f>F23</f>
        <v>100</v>
      </c>
      <c r="T23" s="1307" t="s">
        <v>5</v>
      </c>
      <c r="U23" s="1308">
        <f>H23</f>
        <v>100</v>
      </c>
      <c r="V23" s="1307" t="s">
        <v>5</v>
      </c>
      <c r="W23" s="1308">
        <f>J23</f>
        <v>100</v>
      </c>
      <c r="X23" s="1302"/>
      <c r="Y23" s="3597"/>
      <c r="Z23" s="1309" t="str">
        <f>Q23</f>
        <v>交通便捷度</v>
      </c>
      <c r="AA23" s="1309">
        <f t="shared" si="3"/>
        <v>1</v>
      </c>
      <c r="AB23" s="1309">
        <f t="shared" si="4"/>
        <v>1</v>
      </c>
      <c r="AC23" s="1309">
        <f t="shared" si="5"/>
        <v>1</v>
      </c>
    </row>
    <row r="24" spans="1:29" ht="20.25">
      <c r="A24" s="482"/>
      <c r="B24" s="528"/>
      <c r="C24" s="504" t="s">
        <v>3340</v>
      </c>
      <c r="D24" s="507"/>
      <c r="E24" s="504" t="s">
        <v>3340</v>
      </c>
      <c r="F24" s="505"/>
      <c r="G24" s="504" t="s">
        <v>3340</v>
      </c>
      <c r="H24" s="505"/>
      <c r="I24" s="504" t="s">
        <v>3340</v>
      </c>
      <c r="J24" s="505"/>
      <c r="K24" s="481"/>
      <c r="L24" s="1749"/>
      <c r="M24" s="1740"/>
      <c r="N24" s="1740"/>
      <c r="O24" s="1748"/>
      <c r="P24" s="3597"/>
      <c r="Q24" s="1306"/>
      <c r="R24" s="1307"/>
      <c r="S24" s="1308"/>
      <c r="T24" s="1307"/>
      <c r="U24" s="1308"/>
      <c r="V24" s="1307"/>
      <c r="W24" s="1308"/>
      <c r="X24" s="1302"/>
      <c r="Y24" s="3597"/>
      <c r="Z24" s="1309"/>
      <c r="AA24" s="1309">
        <v>1</v>
      </c>
      <c r="AB24" s="1309">
        <v>1</v>
      </c>
      <c r="AC24" s="1309">
        <v>1</v>
      </c>
    </row>
    <row r="25" spans="1:29" ht="27">
      <c r="A25" s="466"/>
      <c r="B25" s="239" t="s">
        <v>493</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v>2</v>
      </c>
      <c r="L25" s="1749"/>
      <c r="M25" s="1740"/>
      <c r="N25" s="1740"/>
      <c r="O25" s="1748"/>
      <c r="P25" s="3597"/>
      <c r="Q25" s="1306" t="str">
        <f t="shared" ref="Q25:Q39" si="8">B25</f>
        <v>区域土地利用方向</v>
      </c>
      <c r="R25" s="1307" t="s">
        <v>5</v>
      </c>
      <c r="S25" s="1308">
        <f>F25</f>
        <v>100</v>
      </c>
      <c r="T25" s="1307" t="s">
        <v>5</v>
      </c>
      <c r="U25" s="1308">
        <f>H25</f>
        <v>100</v>
      </c>
      <c r="V25" s="1307" t="s">
        <v>5</v>
      </c>
      <c r="W25" s="1308">
        <f>J25</f>
        <v>100</v>
      </c>
      <c r="X25" s="1302"/>
      <c r="Y25" s="3597"/>
      <c r="Z25" s="1309" t="str">
        <f>Q25</f>
        <v>区域土地利用方向</v>
      </c>
      <c r="AA25" s="1309">
        <f t="shared" si="3"/>
        <v>1</v>
      </c>
      <c r="AB25" s="1309">
        <f t="shared" si="4"/>
        <v>1</v>
      </c>
      <c r="AC25" s="1309">
        <f t="shared" si="5"/>
        <v>1</v>
      </c>
    </row>
    <row r="26" spans="1:29" ht="20.25">
      <c r="A26" s="466"/>
      <c r="B26" s="918"/>
      <c r="C26" s="504"/>
      <c r="D26" s="507"/>
      <c r="E26" s="508"/>
      <c r="F26" s="505"/>
      <c r="G26" s="506"/>
      <c r="H26" s="505"/>
      <c r="I26" s="508"/>
      <c r="J26" s="505"/>
      <c r="K26" s="481"/>
      <c r="L26" s="1749"/>
      <c r="M26" s="1740"/>
      <c r="N26" s="1740"/>
      <c r="O26" s="1748"/>
      <c r="P26" s="3597"/>
      <c r="Q26" s="1306"/>
      <c r="R26" s="1307"/>
      <c r="S26" s="1308"/>
      <c r="T26" s="1307"/>
      <c r="U26" s="1308"/>
      <c r="V26" s="1307"/>
      <c r="W26" s="1308"/>
      <c r="X26" s="1302"/>
      <c r="Y26" s="3597"/>
      <c r="Z26" s="1309"/>
      <c r="AA26" s="1309"/>
      <c r="AB26" s="1309"/>
      <c r="AC26" s="1309"/>
    </row>
    <row r="27" spans="1:29" ht="57">
      <c r="A27" s="466"/>
      <c r="B27" s="528" t="s">
        <v>494</v>
      </c>
      <c r="C27" s="511" t="str">
        <f>估价对象房地状况!C20</f>
        <v>区域自然环境：；人文环境；综合评价环境状况较好</v>
      </c>
      <c r="D27" s="513">
        <v>100</v>
      </c>
      <c r="E27" s="514"/>
      <c r="F27" s="509">
        <f>SUMIF(99:99,E28,100:100)-SUMIF(99:99,C28,100:100)+100</f>
        <v>97</v>
      </c>
      <c r="G27" s="512"/>
      <c r="H27" s="509">
        <f>SUMIF(99:99,G28,100:100)-SUMIF(99:99,C28,100:100)+100</f>
        <v>97</v>
      </c>
      <c r="I27" s="514"/>
      <c r="J27" s="509">
        <f>SUMIF(99:99,I28,100:100)-SUMIF(99:99,C28,100:100)+100</f>
        <v>97</v>
      </c>
      <c r="K27" s="485">
        <v>3</v>
      </c>
      <c r="L27" s="1749"/>
      <c r="M27" s="1740"/>
      <c r="N27" s="1740"/>
      <c r="O27" s="1748"/>
      <c r="P27" s="3597"/>
      <c r="Q27" s="1306" t="str">
        <f t="shared" si="8"/>
        <v>自然及人文环境状况</v>
      </c>
      <c r="R27" s="1307" t="s">
        <v>5</v>
      </c>
      <c r="S27" s="1308">
        <f>F27</f>
        <v>97</v>
      </c>
      <c r="T27" s="1307" t="s">
        <v>5</v>
      </c>
      <c r="U27" s="1308">
        <f>H27</f>
        <v>97</v>
      </c>
      <c r="V27" s="1307" t="s">
        <v>5</v>
      </c>
      <c r="W27" s="1308">
        <f>J27</f>
        <v>97</v>
      </c>
      <c r="X27" s="1302"/>
      <c r="Y27" s="3597"/>
      <c r="Z27" s="1309" t="str">
        <f>Q27</f>
        <v>自然及人文环境状况</v>
      </c>
      <c r="AA27" s="1309">
        <f t="shared" si="3"/>
        <v>1.0309278350515463</v>
      </c>
      <c r="AB27" s="1309">
        <f t="shared" si="4"/>
        <v>1.0309278350515463</v>
      </c>
      <c r="AC27" s="1309">
        <f t="shared" si="5"/>
        <v>1.0309278350515463</v>
      </c>
    </row>
    <row r="28" spans="1:29" ht="20.25">
      <c r="A28" s="466"/>
      <c r="B28" s="516"/>
      <c r="C28" s="504" t="s">
        <v>3345</v>
      </c>
      <c r="D28" s="507"/>
      <c r="E28" s="526" t="s">
        <v>3340</v>
      </c>
      <c r="F28" s="505"/>
      <c r="G28" s="526" t="s">
        <v>3340</v>
      </c>
      <c r="H28" s="505"/>
      <c r="I28" s="526" t="s">
        <v>3340</v>
      </c>
      <c r="J28" s="505"/>
      <c r="K28" s="481"/>
      <c r="L28" s="1749"/>
      <c r="M28" s="1740"/>
      <c r="N28" s="1740"/>
      <c r="O28" s="1748"/>
      <c r="P28" s="3597"/>
      <c r="Q28" s="1306"/>
      <c r="R28" s="1307"/>
      <c r="S28" s="1308"/>
      <c r="T28" s="1307"/>
      <c r="U28" s="1308"/>
      <c r="V28" s="1307"/>
      <c r="W28" s="1308"/>
      <c r="X28" s="1302"/>
      <c r="Y28" s="3597"/>
      <c r="Z28" s="1309"/>
      <c r="AA28" s="1309">
        <v>1</v>
      </c>
      <c r="AB28" s="1309">
        <v>1</v>
      </c>
      <c r="AC28" s="1309">
        <v>1</v>
      </c>
    </row>
    <row r="29" spans="1:29" s="1059" customFormat="1" ht="42.75">
      <c r="A29" s="527"/>
      <c r="B29" s="2050" t="s">
        <v>1831</v>
      </c>
      <c r="C29" s="523" t="str">
        <f>估价对象房地状况!C21</f>
        <v>估价对象所在区域公共配套设施齐备情况较差</v>
      </c>
      <c r="D29" s="513">
        <v>100</v>
      </c>
      <c r="E29" s="514"/>
      <c r="F29" s="509">
        <f>SUMIF(101:101,E30,102:102)-SUMIF(101:101,C30,102:102)+100</f>
        <v>100</v>
      </c>
      <c r="G29" s="512"/>
      <c r="H29" s="509">
        <f>SUMIF(101:101,G30,102:102)-SUMIF(101:101,C30,102:102)+100</f>
        <v>100</v>
      </c>
      <c r="I29" s="514"/>
      <c r="J29" s="509">
        <f>SUMIF(101:101,I30,102:102)-SUMIF(101:101,C30,102:102)+100</f>
        <v>100</v>
      </c>
      <c r="K29" s="485"/>
      <c r="L29" s="1743"/>
      <c r="M29" s="1740"/>
      <c r="N29" s="1740"/>
      <c r="O29" s="1744"/>
      <c r="P29" s="3597"/>
      <c r="Q29" s="818" t="str">
        <f t="shared" si="8"/>
        <v>公共配套设施</v>
      </c>
      <c r="R29" s="1303" t="s">
        <v>5</v>
      </c>
      <c r="S29" s="1304">
        <f>F29</f>
        <v>100</v>
      </c>
      <c r="T29" s="1303" t="s">
        <v>5</v>
      </c>
      <c r="U29" s="1304">
        <f>H29</f>
        <v>100</v>
      </c>
      <c r="V29" s="1303" t="s">
        <v>5</v>
      </c>
      <c r="W29" s="1304">
        <f>J29</f>
        <v>100</v>
      </c>
      <c r="X29" s="1305"/>
      <c r="Y29" s="3597"/>
      <c r="Z29" s="996" t="str">
        <f>Q29</f>
        <v>公共配套设施</v>
      </c>
      <c r="AA29" s="1309">
        <f>D29/F29</f>
        <v>1</v>
      </c>
      <c r="AB29" s="1309">
        <f>D29/H29</f>
        <v>1</v>
      </c>
      <c r="AC29" s="1309">
        <f>D29/J29</f>
        <v>1</v>
      </c>
    </row>
    <row r="30" spans="1:29" s="1059" customFormat="1" ht="20.25">
      <c r="A30" s="527"/>
      <c r="B30" s="516"/>
      <c r="C30" s="529" t="s">
        <v>3360</v>
      </c>
      <c r="D30" s="507"/>
      <c r="E30" s="529" t="s">
        <v>3360</v>
      </c>
      <c r="F30" s="505"/>
      <c r="G30" s="529" t="s">
        <v>3360</v>
      </c>
      <c r="H30" s="505"/>
      <c r="I30" s="529" t="s">
        <v>3360</v>
      </c>
      <c r="J30" s="505"/>
      <c r="K30" s="481"/>
      <c r="L30" s="1743"/>
      <c r="M30" s="1740"/>
      <c r="N30" s="1740"/>
      <c r="O30" s="1744"/>
      <c r="P30" s="3597"/>
      <c r="Q30" s="818"/>
      <c r="R30" s="1303"/>
      <c r="S30" s="1304"/>
      <c r="T30" s="1303"/>
      <c r="U30" s="1304"/>
      <c r="V30" s="1303"/>
      <c r="W30" s="1304"/>
      <c r="X30" s="1305"/>
      <c r="Y30" s="3597"/>
      <c r="Z30" s="996"/>
      <c r="AA30" s="1309">
        <v>1</v>
      </c>
      <c r="AB30" s="1309">
        <v>1</v>
      </c>
      <c r="AC30" s="1309">
        <v>1</v>
      </c>
    </row>
    <row r="31" spans="1:29" s="1059" customFormat="1" ht="20.25">
      <c r="A31" s="527"/>
      <c r="B31" s="2050" t="s">
        <v>1832</v>
      </c>
      <c r="C31" s="523" t="str">
        <f>估价对象房地状况!C22</f>
        <v>六通</v>
      </c>
      <c r="D31" s="513">
        <v>100</v>
      </c>
      <c r="E31" s="514"/>
      <c r="F31" s="509">
        <f>SUMIF(103:103,E32,104:104)-SUMIF(103:103,C32,104:104)+100</f>
        <v>100</v>
      </c>
      <c r="G31" s="512"/>
      <c r="H31" s="509">
        <f>SUMIF(103:103,G32,104:104)-SUMIF(103:103,C32,104:104)+100</f>
        <v>100</v>
      </c>
      <c r="I31" s="514"/>
      <c r="J31" s="509">
        <f>SUMIF(103:103,I32,104:104)-SUMIF(103:103,C32,104:104)+100</f>
        <v>100</v>
      </c>
      <c r="K31" s="485">
        <v>1</v>
      </c>
      <c r="L31" s="1743"/>
      <c r="M31" s="1740"/>
      <c r="N31" s="1740"/>
      <c r="O31" s="1744"/>
      <c r="P31" s="3597"/>
      <c r="Q31" s="818" t="str">
        <f>B31</f>
        <v>基础设施水平</v>
      </c>
      <c r="R31" s="1303" t="s">
        <v>5</v>
      </c>
      <c r="S31" s="1304">
        <f>F31</f>
        <v>100</v>
      </c>
      <c r="T31" s="1303" t="s">
        <v>5</v>
      </c>
      <c r="U31" s="1304">
        <f>H31</f>
        <v>100</v>
      </c>
      <c r="V31" s="1303" t="s">
        <v>5</v>
      </c>
      <c r="W31" s="1304">
        <f>J31</f>
        <v>100</v>
      </c>
      <c r="X31" s="1305"/>
      <c r="Y31" s="3597"/>
      <c r="Z31" s="996" t="str">
        <f>Q31</f>
        <v>基础设施水平</v>
      </c>
      <c r="AA31" s="1309">
        <f>D31/F31</f>
        <v>1</v>
      </c>
      <c r="AB31" s="1309">
        <f>D31/H31</f>
        <v>1</v>
      </c>
      <c r="AC31" s="1309">
        <f>D31/J31</f>
        <v>1</v>
      </c>
    </row>
    <row r="32" spans="1:29" s="1059" customFormat="1" ht="20.25">
      <c r="A32" s="527"/>
      <c r="B32" s="516"/>
      <c r="C32" s="529" t="s">
        <v>3361</v>
      </c>
      <c r="D32" s="507"/>
      <c r="E32" s="529" t="s">
        <v>3361</v>
      </c>
      <c r="F32" s="505"/>
      <c r="G32" s="529" t="s">
        <v>3361</v>
      </c>
      <c r="H32" s="505"/>
      <c r="I32" s="529" t="s">
        <v>3361</v>
      </c>
      <c r="J32" s="505"/>
      <c r="K32" s="481"/>
      <c r="L32" s="1743"/>
      <c r="M32" s="1740"/>
      <c r="N32" s="1740"/>
      <c r="O32" s="1744"/>
      <c r="P32" s="3597"/>
      <c r="Q32" s="818"/>
      <c r="R32" s="1303"/>
      <c r="S32" s="1304"/>
      <c r="T32" s="1303"/>
      <c r="U32" s="1304"/>
      <c r="V32" s="1303"/>
      <c r="W32" s="1304"/>
      <c r="X32" s="1305"/>
      <c r="Y32" s="3597"/>
      <c r="Z32" s="996"/>
      <c r="AA32" s="1309">
        <v>1</v>
      </c>
      <c r="AB32" s="1309">
        <v>1</v>
      </c>
      <c r="AC32" s="1309">
        <v>1</v>
      </c>
    </row>
    <row r="33" spans="1:29" ht="20.25">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9"/>
      <c r="M33" s="1740"/>
      <c r="N33" s="1740"/>
      <c r="O33" s="1748"/>
      <c r="P33" s="3597"/>
      <c r="Q33" s="1306" t="str">
        <f t="shared" si="8"/>
        <v>临街状况</v>
      </c>
      <c r="R33" s="1307" t="s">
        <v>5</v>
      </c>
      <c r="S33" s="1308">
        <f t="shared" ref="S33:S47" si="9">F33</f>
        <v>100</v>
      </c>
      <c r="T33" s="1307" t="s">
        <v>5</v>
      </c>
      <c r="U33" s="1308">
        <f t="shared" ref="U33:U47" si="10">H33</f>
        <v>100</v>
      </c>
      <c r="V33" s="1307" t="s">
        <v>5</v>
      </c>
      <c r="W33" s="1308">
        <f t="shared" ref="W33:W47" si="11">J33</f>
        <v>100</v>
      </c>
      <c r="X33" s="1302"/>
      <c r="Y33" s="3597"/>
      <c r="Z33" s="1309" t="str">
        <f t="shared" ref="Z33:Z47" si="12">Q33</f>
        <v>临街状况</v>
      </c>
      <c r="AA33" s="1309">
        <f t="shared" si="3"/>
        <v>1</v>
      </c>
      <c r="AB33" s="1309">
        <f t="shared" si="4"/>
        <v>1</v>
      </c>
      <c r="AC33" s="1309">
        <f t="shared" si="5"/>
        <v>1</v>
      </c>
    </row>
    <row r="34" spans="1:29" ht="28.5">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9"/>
      <c r="M34" s="1740"/>
      <c r="N34" s="1740"/>
      <c r="O34" s="1748"/>
      <c r="P34" s="3597"/>
      <c r="Q34" s="1306" t="str">
        <f t="shared" si="8"/>
        <v>毗邻道路的类型与等级</v>
      </c>
      <c r="R34" s="1307" t="s">
        <v>5</v>
      </c>
      <c r="S34" s="1308">
        <f t="shared" si="9"/>
        <v>100</v>
      </c>
      <c r="T34" s="1307" t="s">
        <v>5</v>
      </c>
      <c r="U34" s="1308">
        <f t="shared" si="10"/>
        <v>100</v>
      </c>
      <c r="V34" s="1307" t="s">
        <v>5</v>
      </c>
      <c r="W34" s="1308">
        <f t="shared" si="11"/>
        <v>100</v>
      </c>
      <c r="X34" s="1302"/>
      <c r="Y34" s="3597"/>
      <c r="Z34" s="1309" t="str">
        <f t="shared" si="12"/>
        <v>毗邻道路的类型与等级</v>
      </c>
      <c r="AA34" s="1309">
        <f t="shared" si="3"/>
        <v>1</v>
      </c>
      <c r="AB34" s="1309">
        <f t="shared" si="4"/>
        <v>1</v>
      </c>
      <c r="AC34" s="1309">
        <f t="shared" si="5"/>
        <v>1</v>
      </c>
    </row>
    <row r="35" spans="1:29" ht="20.25">
      <c r="A35" s="482"/>
      <c r="B35" s="516"/>
      <c r="C35" s="504"/>
      <c r="D35" s="507"/>
      <c r="E35" s="526"/>
      <c r="F35" s="505"/>
      <c r="G35" s="504"/>
      <c r="H35" s="505"/>
      <c r="I35" s="526"/>
      <c r="J35" s="505"/>
      <c r="K35" s="531"/>
      <c r="L35" s="1749"/>
      <c r="M35" s="1740"/>
      <c r="N35" s="1740"/>
      <c r="O35" s="1748"/>
      <c r="P35" s="3597"/>
      <c r="Q35" s="1306"/>
      <c r="R35" s="1307"/>
      <c r="S35" s="1308"/>
      <c r="T35" s="1307"/>
      <c r="U35" s="1308"/>
      <c r="V35" s="1307"/>
      <c r="W35" s="1308"/>
      <c r="X35" s="1302"/>
      <c r="Y35" s="3597"/>
      <c r="Z35" s="1309"/>
      <c r="AA35" s="1309">
        <v>1</v>
      </c>
      <c r="AB35" s="1309">
        <v>1</v>
      </c>
      <c r="AC35" s="1309">
        <v>1</v>
      </c>
    </row>
    <row r="36" spans="1:29" ht="20.25">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9"/>
      <c r="M36" s="1740"/>
      <c r="N36" s="1740"/>
      <c r="O36" s="1748"/>
      <c r="P36" s="3597"/>
      <c r="Q36" s="1306" t="str">
        <f t="shared" si="8"/>
        <v>土地级别</v>
      </c>
      <c r="R36" s="1307" t="s">
        <v>5</v>
      </c>
      <c r="S36" s="1308">
        <f t="shared" si="9"/>
        <v>100</v>
      </c>
      <c r="T36" s="1307" t="s">
        <v>5</v>
      </c>
      <c r="U36" s="1308">
        <f t="shared" si="10"/>
        <v>100</v>
      </c>
      <c r="V36" s="1307" t="s">
        <v>5</v>
      </c>
      <c r="W36" s="1308">
        <f t="shared" si="11"/>
        <v>100</v>
      </c>
      <c r="X36" s="1302"/>
      <c r="Y36" s="3597"/>
      <c r="Z36" s="1309" t="str">
        <f t="shared" si="12"/>
        <v>土地级别</v>
      </c>
      <c r="AA36" s="1309">
        <f t="shared" si="3"/>
        <v>1</v>
      </c>
      <c r="AB36" s="1309">
        <f t="shared" si="4"/>
        <v>1</v>
      </c>
      <c r="AC36" s="1309">
        <f t="shared" si="5"/>
        <v>1</v>
      </c>
    </row>
    <row r="37" spans="1:29" ht="20.25">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9"/>
      <c r="M37" s="1740"/>
      <c r="N37" s="1740"/>
      <c r="O37" s="1748"/>
      <c r="P37" s="3597"/>
      <c r="Q37" s="1306">
        <f t="shared" si="8"/>
        <v>111</v>
      </c>
      <c r="R37" s="1307" t="s">
        <v>5</v>
      </c>
      <c r="S37" s="1308">
        <f t="shared" si="9"/>
        <v>100</v>
      </c>
      <c r="T37" s="1307" t="s">
        <v>5</v>
      </c>
      <c r="U37" s="1308">
        <f t="shared" si="10"/>
        <v>100</v>
      </c>
      <c r="V37" s="1307" t="s">
        <v>5</v>
      </c>
      <c r="W37" s="1308">
        <f t="shared" si="11"/>
        <v>100</v>
      </c>
      <c r="X37" s="1302"/>
      <c r="Y37" s="3597"/>
      <c r="Z37" s="1309">
        <f t="shared" si="12"/>
        <v>111</v>
      </c>
      <c r="AA37" s="1309">
        <f t="shared" si="3"/>
        <v>1</v>
      </c>
      <c r="AB37" s="1309">
        <f t="shared" si="4"/>
        <v>1</v>
      </c>
      <c r="AC37" s="1309">
        <f t="shared" si="5"/>
        <v>1</v>
      </c>
    </row>
    <row r="38" spans="1:29" ht="20.25">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9"/>
      <c r="M38" s="1740"/>
      <c r="N38" s="1740"/>
      <c r="O38" s="1748"/>
      <c r="P38" s="3598" t="s">
        <v>499</v>
      </c>
      <c r="Q38" s="1306">
        <f t="shared" si="8"/>
        <v>111</v>
      </c>
      <c r="R38" s="1307" t="s">
        <v>5</v>
      </c>
      <c r="S38" s="1308">
        <f t="shared" si="9"/>
        <v>100</v>
      </c>
      <c r="T38" s="1307" t="s">
        <v>5</v>
      </c>
      <c r="U38" s="1308">
        <f t="shared" si="10"/>
        <v>100</v>
      </c>
      <c r="V38" s="1307" t="s">
        <v>5</v>
      </c>
      <c r="W38" s="1308">
        <f t="shared" si="11"/>
        <v>100</v>
      </c>
      <c r="X38" s="1302"/>
      <c r="Y38" s="3599" t="s">
        <v>499</v>
      </c>
      <c r="Z38" s="1309">
        <f t="shared" si="12"/>
        <v>111</v>
      </c>
      <c r="AA38" s="1309">
        <f t="shared" si="3"/>
        <v>1</v>
      </c>
      <c r="AB38" s="1309">
        <f t="shared" si="4"/>
        <v>1</v>
      </c>
      <c r="AC38" s="1309">
        <f t="shared" si="5"/>
        <v>1</v>
      </c>
    </row>
    <row r="39" spans="1:29" s="1133" customFormat="1" ht="2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7"/>
      <c r="M39" s="1740"/>
      <c r="N39" s="1740"/>
      <c r="O39" s="1750"/>
      <c r="P39" s="3599"/>
      <c r="Q39" s="1306">
        <f t="shared" si="8"/>
        <v>111</v>
      </c>
      <c r="R39" s="1310" t="s">
        <v>5</v>
      </c>
      <c r="S39" s="1311">
        <f t="shared" si="9"/>
        <v>100</v>
      </c>
      <c r="T39" s="1310" t="s">
        <v>5</v>
      </c>
      <c r="U39" s="1311">
        <f t="shared" si="10"/>
        <v>100</v>
      </c>
      <c r="V39" s="1310" t="s">
        <v>5</v>
      </c>
      <c r="W39" s="1311">
        <f t="shared" si="11"/>
        <v>100</v>
      </c>
      <c r="X39" s="1312"/>
      <c r="Y39" s="3599"/>
      <c r="Z39" s="1313">
        <f t="shared" si="12"/>
        <v>111</v>
      </c>
      <c r="AA39" s="1309">
        <f t="shared" si="3"/>
        <v>1</v>
      </c>
      <c r="AB39" s="1309">
        <f t="shared" si="4"/>
        <v>1</v>
      </c>
      <c r="AC39" s="1309">
        <f t="shared" si="5"/>
        <v>1</v>
      </c>
    </row>
    <row r="40" spans="1:29" ht="20.25">
      <c r="A40" s="2204" t="s">
        <v>2037</v>
      </c>
      <c r="B40" s="544" t="s">
        <v>501</v>
      </c>
      <c r="C40" s="545">
        <f>'数据-汇总表'!D3</f>
        <v>86493.04</v>
      </c>
      <c r="D40" s="546">
        <v>100</v>
      </c>
      <c r="E40" s="545">
        <f>Sheet1!J2</f>
        <v>43392</v>
      </c>
      <c r="F40" s="546">
        <f>LOOKUP(E40,118:118,119:119)-LOOKUP(C40,118:118,119:119)+100</f>
        <v>97</v>
      </c>
      <c r="G40" s="545">
        <f>Sheet1!I7</f>
        <v>16787</v>
      </c>
      <c r="H40" s="546">
        <f>LOOKUP(G40,118:118,119:119)-LOOKUP(C40,118:118,119:119)+100</f>
        <v>94</v>
      </c>
      <c r="I40" s="547">
        <f>Sheet1!I8</f>
        <v>28857</v>
      </c>
      <c r="J40" s="546">
        <f>LOOKUP(I40,118:118,119:119)-LOOKUP(C40,118:118,119:119)+100</f>
        <v>94</v>
      </c>
      <c r="K40" s="531"/>
      <c r="L40" s="1749"/>
      <c r="M40" s="1740"/>
      <c r="N40" s="1740"/>
      <c r="O40" s="1748"/>
      <c r="P40" s="3599"/>
      <c r="Q40" s="1306" t="str">
        <f>B40</f>
        <v>宗地面积</v>
      </c>
      <c r="R40" s="1307" t="s">
        <v>5</v>
      </c>
      <c r="S40" s="1308">
        <f t="shared" si="9"/>
        <v>97</v>
      </c>
      <c r="T40" s="1307" t="s">
        <v>5</v>
      </c>
      <c r="U40" s="1308">
        <f t="shared" si="10"/>
        <v>94</v>
      </c>
      <c r="V40" s="1307" t="s">
        <v>5</v>
      </c>
      <c r="W40" s="1308">
        <f t="shared" si="11"/>
        <v>94</v>
      </c>
      <c r="X40" s="1302"/>
      <c r="Y40" s="3599"/>
      <c r="Z40" s="1309" t="str">
        <f t="shared" si="12"/>
        <v>宗地面积</v>
      </c>
      <c r="AA40" s="1309">
        <f t="shared" si="3"/>
        <v>1.0309278350515463</v>
      </c>
      <c r="AB40" s="1309">
        <f t="shared" si="4"/>
        <v>1.0638297872340425</v>
      </c>
      <c r="AC40" s="1309">
        <f t="shared" si="5"/>
        <v>1.0638297872340425</v>
      </c>
    </row>
    <row r="41" spans="1:29" ht="20.25">
      <c r="A41" s="543"/>
      <c r="B41" s="477" t="s">
        <v>502</v>
      </c>
      <c r="C41" s="548"/>
      <c r="D41" s="490">
        <v>100</v>
      </c>
      <c r="E41" s="548"/>
      <c r="F41" s="490">
        <f>SUMIF(120:120,E41,121:121)-SUMIF(120:120,C41,121:121)+100</f>
        <v>100</v>
      </c>
      <c r="G41" s="548"/>
      <c r="H41" s="490">
        <f>SUMIF(120:120,G41,121:121)-SUMIF(120:120,C41,121:121)+100</f>
        <v>100</v>
      </c>
      <c r="I41" s="548"/>
      <c r="J41" s="490">
        <f>SUMIF(120:120,I41,121:121)-SUMIF(120:120,C41,121:121)+100</f>
        <v>100</v>
      </c>
      <c r="K41" s="533"/>
      <c r="L41" s="1749"/>
      <c r="M41" s="1740"/>
      <c r="N41" s="1740"/>
      <c r="O41" s="1748"/>
      <c r="P41" s="3599"/>
      <c r="Q41" s="1306" t="str">
        <f t="shared" ref="Q41:Q47" si="13">B41</f>
        <v>宗地形状</v>
      </c>
      <c r="R41" s="1307" t="s">
        <v>5</v>
      </c>
      <c r="S41" s="1308">
        <f t="shared" si="9"/>
        <v>100</v>
      </c>
      <c r="T41" s="1307" t="s">
        <v>5</v>
      </c>
      <c r="U41" s="1308">
        <f t="shared" si="10"/>
        <v>100</v>
      </c>
      <c r="V41" s="1307" t="s">
        <v>5</v>
      </c>
      <c r="W41" s="1308">
        <f t="shared" si="11"/>
        <v>100</v>
      </c>
      <c r="X41" s="1302"/>
      <c r="Y41" s="3599"/>
      <c r="Z41" s="1309" t="str">
        <f t="shared" si="12"/>
        <v>宗地形状</v>
      </c>
      <c r="AA41" s="1309">
        <f t="shared" si="3"/>
        <v>1</v>
      </c>
      <c r="AB41" s="1309">
        <f t="shared" si="4"/>
        <v>1</v>
      </c>
      <c r="AC41" s="1309">
        <f t="shared" si="5"/>
        <v>1</v>
      </c>
    </row>
    <row r="42" spans="1:29" ht="20.25">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49"/>
      <c r="M42" s="1740"/>
      <c r="N42" s="1740"/>
      <c r="O42" s="1748"/>
      <c r="P42" s="3599"/>
      <c r="Q42" s="1306" t="str">
        <f t="shared" si="13"/>
        <v>临街宽度及深度</v>
      </c>
      <c r="R42" s="1307" t="s">
        <v>5</v>
      </c>
      <c r="S42" s="1308">
        <f t="shared" si="9"/>
        <v>100</v>
      </c>
      <c r="T42" s="1307" t="s">
        <v>5</v>
      </c>
      <c r="U42" s="1308">
        <f t="shared" si="10"/>
        <v>100</v>
      </c>
      <c r="V42" s="1307" t="s">
        <v>5</v>
      </c>
      <c r="W42" s="1308">
        <f t="shared" si="11"/>
        <v>100</v>
      </c>
      <c r="X42" s="1302"/>
      <c r="Y42" s="3599"/>
      <c r="Z42" s="1309" t="str">
        <f t="shared" si="12"/>
        <v>临街宽度及深度</v>
      </c>
      <c r="AA42" s="1309">
        <f t="shared" si="3"/>
        <v>1</v>
      </c>
      <c r="AB42" s="1309">
        <f t="shared" si="4"/>
        <v>1</v>
      </c>
      <c r="AC42" s="1309">
        <f t="shared" si="5"/>
        <v>1</v>
      </c>
    </row>
    <row r="43" spans="1:29" s="1059" customFormat="1" ht="20.25">
      <c r="A43" s="549"/>
      <c r="B43" s="1554" t="s">
        <v>1776</v>
      </c>
      <c r="C43" s="550" t="s">
        <v>3389</v>
      </c>
      <c r="D43" s="235">
        <v>100</v>
      </c>
      <c r="E43" s="550" t="s">
        <v>3389</v>
      </c>
      <c r="F43" s="490">
        <f>SUMIF(124:124,E43,125:125)-SUMIF(124:124,C43,125:125)+100</f>
        <v>100</v>
      </c>
      <c r="G43" s="550" t="s">
        <v>3389</v>
      </c>
      <c r="H43" s="490">
        <f>SUMIF(124:124,G43,125:125)-SUMIF(124:124,C43,125:125)+100</f>
        <v>100</v>
      </c>
      <c r="I43" s="550" t="s">
        <v>3389</v>
      </c>
      <c r="J43" s="490">
        <f>SUMIF(124:124,I43,125:125)-SUMIF(124:124,C43,125:125)+100</f>
        <v>100</v>
      </c>
      <c r="K43" s="533">
        <v>1</v>
      </c>
      <c r="L43" s="1743"/>
      <c r="M43" s="1740"/>
      <c r="N43" s="1740"/>
      <c r="O43" s="1744"/>
      <c r="P43" s="3599"/>
      <c r="Q43" s="1306" t="str">
        <f t="shared" si="13"/>
        <v>宗地开发程度</v>
      </c>
      <c r="R43" s="1303" t="s">
        <v>5</v>
      </c>
      <c r="S43" s="1304">
        <f t="shared" si="9"/>
        <v>100</v>
      </c>
      <c r="T43" s="1303" t="s">
        <v>5</v>
      </c>
      <c r="U43" s="1304">
        <f t="shared" si="10"/>
        <v>100</v>
      </c>
      <c r="V43" s="1303" t="s">
        <v>5</v>
      </c>
      <c r="W43" s="1304">
        <f t="shared" si="11"/>
        <v>100</v>
      </c>
      <c r="X43" s="1305"/>
      <c r="Y43" s="3599"/>
      <c r="Z43" s="996" t="str">
        <f t="shared" si="12"/>
        <v>宗地开发程度</v>
      </c>
      <c r="AA43" s="996">
        <f t="shared" si="3"/>
        <v>1</v>
      </c>
      <c r="AB43" s="996">
        <f t="shared" si="4"/>
        <v>1</v>
      </c>
      <c r="AC43" s="996">
        <f t="shared" si="5"/>
        <v>1</v>
      </c>
    </row>
    <row r="44" spans="1:29" ht="20.25">
      <c r="A44" s="543"/>
      <c r="B44" s="477" t="s">
        <v>504</v>
      </c>
      <c r="C44" s="548" t="s">
        <v>3345</v>
      </c>
      <c r="D44" s="490">
        <v>100</v>
      </c>
      <c r="E44" s="548" t="s">
        <v>3345</v>
      </c>
      <c r="F44" s="490">
        <f>SUMIF(126:126,E44,127:127)-SUMIF(126:126,C44,127:127)+100</f>
        <v>100</v>
      </c>
      <c r="G44" s="548" t="s">
        <v>3345</v>
      </c>
      <c r="H44" s="490">
        <f>SUMIF(126:126,G44,127:127)-SUMIF(126:126,C44,127:127)+100</f>
        <v>100</v>
      </c>
      <c r="I44" s="548" t="s">
        <v>3345</v>
      </c>
      <c r="J44" s="490">
        <f>SUMIF(126:126,I44,127:127)-SUMIF(126:126,C44,127:127)+100</f>
        <v>100</v>
      </c>
      <c r="K44" s="533">
        <v>2</v>
      </c>
      <c r="L44" s="1749"/>
      <c r="M44" s="1740"/>
      <c r="N44" s="1740"/>
      <c r="O44" s="1748"/>
      <c r="P44" s="3599" t="s">
        <v>499</v>
      </c>
      <c r="Q44" s="1306" t="str">
        <f t="shared" si="13"/>
        <v>工程地质条件</v>
      </c>
      <c r="R44" s="1307" t="s">
        <v>5</v>
      </c>
      <c r="S44" s="1308">
        <f t="shared" si="9"/>
        <v>100</v>
      </c>
      <c r="T44" s="1307" t="s">
        <v>5</v>
      </c>
      <c r="U44" s="1308">
        <f t="shared" si="10"/>
        <v>100</v>
      </c>
      <c r="V44" s="1307" t="s">
        <v>5</v>
      </c>
      <c r="W44" s="1308">
        <f t="shared" si="11"/>
        <v>100</v>
      </c>
      <c r="X44" s="1302"/>
      <c r="Y44" s="3599" t="s">
        <v>499</v>
      </c>
      <c r="Z44" s="1309" t="str">
        <f t="shared" si="12"/>
        <v>工程地质条件</v>
      </c>
      <c r="AA44" s="1309">
        <f t="shared" si="3"/>
        <v>1</v>
      </c>
      <c r="AB44" s="1309">
        <f t="shared" si="4"/>
        <v>1</v>
      </c>
      <c r="AC44" s="1309">
        <f t="shared" si="5"/>
        <v>1</v>
      </c>
    </row>
    <row r="45" spans="1:29" ht="20.25">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9"/>
      <c r="M45" s="1740"/>
      <c r="N45" s="1740"/>
      <c r="O45" s="1748"/>
      <c r="P45" s="3599"/>
      <c r="Q45" s="1306">
        <f t="shared" si="13"/>
        <v>111</v>
      </c>
      <c r="R45" s="1307" t="s">
        <v>5</v>
      </c>
      <c r="S45" s="1308">
        <f t="shared" si="9"/>
        <v>100</v>
      </c>
      <c r="T45" s="1307" t="s">
        <v>5</v>
      </c>
      <c r="U45" s="1308">
        <f t="shared" si="10"/>
        <v>100</v>
      </c>
      <c r="V45" s="1307" t="s">
        <v>5</v>
      </c>
      <c r="W45" s="1308">
        <f t="shared" si="11"/>
        <v>100</v>
      </c>
      <c r="X45" s="1302"/>
      <c r="Y45" s="3599"/>
      <c r="Z45" s="1309">
        <f t="shared" si="12"/>
        <v>111</v>
      </c>
      <c r="AA45" s="1309">
        <f t="shared" si="3"/>
        <v>1</v>
      </c>
      <c r="AB45" s="1309">
        <f t="shared" si="4"/>
        <v>1</v>
      </c>
      <c r="AC45" s="1309">
        <f t="shared" si="5"/>
        <v>1</v>
      </c>
    </row>
    <row r="46" spans="1:29" ht="20.25">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9"/>
      <c r="M46" s="1740"/>
      <c r="N46" s="1740"/>
      <c r="O46" s="1748"/>
      <c r="P46" s="3599"/>
      <c r="Q46" s="1306">
        <f t="shared" si="13"/>
        <v>111</v>
      </c>
      <c r="R46" s="1307" t="s">
        <v>5</v>
      </c>
      <c r="S46" s="1308">
        <f t="shared" si="9"/>
        <v>100</v>
      </c>
      <c r="T46" s="1307" t="s">
        <v>5</v>
      </c>
      <c r="U46" s="1308">
        <f t="shared" si="10"/>
        <v>100</v>
      </c>
      <c r="V46" s="1307" t="s">
        <v>5</v>
      </c>
      <c r="W46" s="1308">
        <f t="shared" si="11"/>
        <v>100</v>
      </c>
      <c r="X46" s="1302"/>
      <c r="Y46" s="3599"/>
      <c r="Z46" s="1309">
        <f t="shared" si="12"/>
        <v>111</v>
      </c>
      <c r="AA46" s="1309">
        <f t="shared" si="3"/>
        <v>1</v>
      </c>
      <c r="AB46" s="1309">
        <f t="shared" si="4"/>
        <v>1</v>
      </c>
      <c r="AC46" s="1309">
        <f t="shared" si="5"/>
        <v>1</v>
      </c>
    </row>
    <row r="47" spans="1:29" s="1133" customFormat="1" ht="2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7"/>
      <c r="M47" s="1740"/>
      <c r="N47" s="1740"/>
      <c r="O47" s="1750"/>
      <c r="P47" s="3599"/>
      <c r="Q47" s="1306">
        <f t="shared" si="13"/>
        <v>111</v>
      </c>
      <c r="R47" s="1310" t="s">
        <v>5</v>
      </c>
      <c r="S47" s="1311">
        <f t="shared" si="9"/>
        <v>100</v>
      </c>
      <c r="T47" s="1310" t="s">
        <v>5</v>
      </c>
      <c r="U47" s="1311">
        <f t="shared" si="10"/>
        <v>100</v>
      </c>
      <c r="V47" s="1310" t="s">
        <v>5</v>
      </c>
      <c r="W47" s="1311">
        <f t="shared" si="11"/>
        <v>100</v>
      </c>
      <c r="X47" s="1312"/>
      <c r="Y47" s="3599"/>
      <c r="Z47" s="1313">
        <f t="shared" si="12"/>
        <v>111</v>
      </c>
      <c r="AA47" s="1309">
        <f t="shared" si="3"/>
        <v>1</v>
      </c>
      <c r="AB47" s="1309">
        <f t="shared" si="4"/>
        <v>1</v>
      </c>
      <c r="AC47" s="1309">
        <f t="shared" si="5"/>
        <v>1</v>
      </c>
    </row>
    <row r="48" spans="1:29" ht="20.25">
      <c r="A48" s="556" t="s">
        <v>505</v>
      </c>
      <c r="B48" s="557" t="s">
        <v>3352</v>
      </c>
      <c r="C48" s="558" t="s">
        <v>0</v>
      </c>
      <c r="D48" s="559"/>
      <c r="E48" s="560">
        <f>ROUND(Sheet1!AC2,0)</f>
        <v>851</v>
      </c>
      <c r="F48" s="561"/>
      <c r="G48" s="560">
        <f>Sheet1!AP7</f>
        <v>1001</v>
      </c>
      <c r="H48" s="563"/>
      <c r="I48" s="560">
        <f>Sheet1!AP8</f>
        <v>750</v>
      </c>
      <c r="J48" s="563"/>
      <c r="K48" s="1134"/>
      <c r="L48" s="1751"/>
      <c r="M48" s="1740"/>
      <c r="N48" s="1740"/>
      <c r="O48" s="1742"/>
      <c r="P48" s="3594" t="str">
        <f>A48</f>
        <v>成交单价</v>
      </c>
      <c r="Q48" s="3594"/>
      <c r="R48" s="3610">
        <f>E48</f>
        <v>851</v>
      </c>
      <c r="S48" s="3610"/>
      <c r="T48" s="3610">
        <f>G48</f>
        <v>1001</v>
      </c>
      <c r="U48" s="3610"/>
      <c r="V48" s="3610">
        <f>I48</f>
        <v>750</v>
      </c>
      <c r="W48" s="3610"/>
      <c r="X48" s="799"/>
      <c r="Y48" s="1314"/>
      <c r="Z48" s="799"/>
      <c r="AA48" s="799"/>
      <c r="AB48" s="799"/>
      <c r="AC48" s="799"/>
    </row>
    <row r="49" spans="1:29" ht="21" thickBot="1">
      <c r="A49" s="564" t="s">
        <v>1975</v>
      </c>
      <c r="B49" s="565"/>
      <c r="C49" s="566">
        <f>R50</f>
        <v>809</v>
      </c>
      <c r="D49" s="2550" t="s">
        <v>2256</v>
      </c>
      <c r="E49" s="566">
        <f>R49</f>
        <v>792</v>
      </c>
      <c r="F49" s="2551"/>
      <c r="G49" s="567">
        <f>T49</f>
        <v>907</v>
      </c>
      <c r="H49" s="2551"/>
      <c r="I49" s="566">
        <f>V49</f>
        <v>727</v>
      </c>
      <c r="J49" s="2551"/>
      <c r="K49" s="2552">
        <f>F49+H49+J49</f>
        <v>0</v>
      </c>
      <c r="L49" s="1751"/>
      <c r="M49" s="1740"/>
      <c r="N49" s="1740"/>
      <c r="O49" s="1742"/>
      <c r="P49" s="3594" t="str">
        <f>A49</f>
        <v>比较价格（元/平方米）</v>
      </c>
      <c r="Q49" s="3594"/>
      <c r="R49" s="3618">
        <f>ROUND(PRODUCT(R48,AA9:AA47),0)</f>
        <v>792</v>
      </c>
      <c r="S49" s="3618"/>
      <c r="T49" s="3618">
        <f>ROUND(PRODUCT(T48,AB9:AB47),0)</f>
        <v>907</v>
      </c>
      <c r="U49" s="3618"/>
      <c r="V49" s="3618">
        <f>ROUND(PRODUCT(V48,AC9:AC47),0)</f>
        <v>727</v>
      </c>
      <c r="W49" s="3618"/>
      <c r="X49" s="799"/>
      <c r="Y49" s="799"/>
      <c r="Z49" s="799"/>
      <c r="AA49" s="799"/>
      <c r="AB49" s="799"/>
      <c r="AC49" s="799"/>
    </row>
    <row r="50" spans="1:29" ht="21" thickBot="1">
      <c r="A50" s="568" t="s">
        <v>2193</v>
      </c>
      <c r="B50" s="569"/>
      <c r="C50" s="570">
        <f>R50</f>
        <v>809</v>
      </c>
      <c r="D50" s="570"/>
      <c r="E50" s="570"/>
      <c r="F50" s="570"/>
      <c r="G50" s="570"/>
      <c r="H50" s="570"/>
      <c r="I50" s="570"/>
      <c r="J50" s="570"/>
      <c r="K50" s="1135"/>
      <c r="L50" s="1751"/>
      <c r="M50" s="1740"/>
      <c r="N50" s="1740"/>
      <c r="O50" s="1742"/>
      <c r="P50" s="3600" t="str">
        <f>A50</f>
        <v>估价对象XX用房的比较价格（楼面单价，元/平方米）</v>
      </c>
      <c r="Q50" s="3601"/>
      <c r="R50" s="3617">
        <f>ROUND(IF(D49="简单平均",AVERAGE(R49:W49),R49*F49+T49*H49+V49*J49),0)</f>
        <v>809</v>
      </c>
      <c r="S50" s="3617"/>
      <c r="T50" s="3617"/>
      <c r="U50" s="3617"/>
      <c r="V50" s="3617"/>
      <c r="W50" s="3617"/>
      <c r="X50" s="799"/>
      <c r="Y50" s="799"/>
      <c r="Z50" s="799"/>
      <c r="AA50" s="799"/>
      <c r="AB50" s="799"/>
      <c r="AC50" s="799"/>
    </row>
    <row r="51" spans="1:29" ht="20.25">
      <c r="A51" s="2721"/>
      <c r="B51" s="2721"/>
      <c r="C51" s="2721"/>
      <c r="D51" s="2721"/>
      <c r="E51" s="2721"/>
      <c r="F51" s="2721"/>
      <c r="G51" s="2723"/>
      <c r="H51" s="2721"/>
      <c r="I51" s="2721"/>
      <c r="J51" s="2721"/>
      <c r="K51" s="2724"/>
      <c r="L51" s="1755"/>
      <c r="M51" s="1740"/>
      <c r="N51" s="1740"/>
      <c r="O51" s="1742"/>
      <c r="P51" s="1742"/>
      <c r="Q51" s="1742"/>
      <c r="R51" s="1742"/>
      <c r="S51" s="1742"/>
      <c r="T51" s="1742"/>
      <c r="U51" s="1742"/>
      <c r="V51" s="1742"/>
      <c r="W51" s="1742"/>
      <c r="X51" s="1742"/>
      <c r="Y51" s="1742"/>
      <c r="Z51" s="1742"/>
      <c r="AA51" s="1742"/>
      <c r="AB51" s="1742"/>
      <c r="AC51" s="1742"/>
    </row>
    <row r="52" spans="1:29" ht="20.25">
      <c r="A52" s="2721"/>
      <c r="B52" s="2721"/>
      <c r="C52" s="2721"/>
      <c r="D52" s="2721"/>
      <c r="E52" s="2721"/>
      <c r="F52" s="2721"/>
      <c r="G52" s="2721"/>
      <c r="H52" s="2721"/>
      <c r="I52" s="2721"/>
      <c r="J52" s="2721"/>
      <c r="K52" s="2724"/>
      <c r="L52" s="1755"/>
      <c r="M52" s="1740"/>
      <c r="N52" s="1740"/>
      <c r="O52" s="1742"/>
      <c r="P52" s="1742"/>
      <c r="Q52" s="1742"/>
      <c r="R52" s="1742"/>
      <c r="S52" s="1742"/>
      <c r="T52" s="1742"/>
      <c r="U52" s="1742"/>
      <c r="V52" s="1742"/>
      <c r="W52" s="1742"/>
      <c r="X52" s="1742"/>
      <c r="Y52" s="1742"/>
      <c r="Z52" s="1742"/>
      <c r="AA52" s="1742"/>
      <c r="AB52" s="1742"/>
      <c r="AC52" s="1742"/>
    </row>
    <row r="53" spans="1:29" ht="13.5" customHeight="1">
      <c r="A53" s="2721"/>
      <c r="B53" s="2721"/>
      <c r="C53" s="571" t="s">
        <v>506</v>
      </c>
      <c r="D53" s="572"/>
      <c r="E53" s="573">
        <f>IF(E48&lt;E49,E49/E48-1,E48/E49-1)</f>
        <v>7.4494949494949392E-2</v>
      </c>
      <c r="F53" s="574" t="str">
        <f>IF(OR(E53&gt;=0.3,E53&lt;=-0.3),"超过30%","")</f>
        <v/>
      </c>
      <c r="G53" s="573">
        <f>IF(G48&lt;G49,G49/G48-1,G48/G49-1)</f>
        <v>0.10363836824696793</v>
      </c>
      <c r="H53" s="574" t="str">
        <f>IF(OR(G53&gt;=0.3,G53&lt;=-0.3),"超过30%","")</f>
        <v/>
      </c>
      <c r="I53" s="573">
        <f>IF(I48&lt;I49,I49/I48-1,I48/I49-1)</f>
        <v>3.1636863823933936E-2</v>
      </c>
      <c r="J53" s="574" t="str">
        <f>IF(OR(I53&gt;=0.3,I53&lt;=-0.3),"超过30%","")</f>
        <v/>
      </c>
      <c r="K53" s="2724"/>
      <c r="L53" s="1755"/>
      <c r="M53" s="1740"/>
      <c r="N53" s="1740"/>
      <c r="O53" s="1742"/>
      <c r="P53" s="1742"/>
      <c r="Q53" s="1742"/>
      <c r="R53" s="1742"/>
      <c r="S53" s="1742"/>
      <c r="T53" s="1742"/>
      <c r="U53" s="1742"/>
      <c r="V53" s="1742"/>
      <c r="W53" s="1742"/>
      <c r="X53" s="1742"/>
      <c r="Y53" s="1742"/>
      <c r="Z53" s="1742"/>
      <c r="AA53" s="1742"/>
      <c r="AB53" s="1742"/>
      <c r="AC53" s="1742"/>
    </row>
    <row r="54" spans="1:29" ht="13.5" customHeight="1">
      <c r="A54" s="2721"/>
      <c r="B54" s="2721"/>
      <c r="C54" s="571" t="s">
        <v>507</v>
      </c>
      <c r="D54" s="575"/>
      <c r="E54" s="573">
        <f>IF(E49&lt;G49,G49/E49-1,E49/G49-1)</f>
        <v>0.14520202020202011</v>
      </c>
      <c r="F54" s="574" t="str">
        <f>IF(OR(E54&gt;=0.2,E54&lt;=-0.2),"超过20%","")</f>
        <v/>
      </c>
      <c r="G54" s="573">
        <f>IF(G49&lt;I49,I49/G49-1,G49/I49-1)</f>
        <v>0.24759284731774422</v>
      </c>
      <c r="H54" s="574" t="str">
        <f>IF(OR(G54&gt;=0.2,G54&lt;=-0.2),"超过20%","")</f>
        <v>超过20%</v>
      </c>
      <c r="I54" s="573">
        <f>IF(I49&lt;E49,E49/I49-1,I49/E49-1)</f>
        <v>8.9408528198074322E-2</v>
      </c>
      <c r="J54" s="574" t="str">
        <f>IF(OR(I54&gt;=0.2,I54&lt;=-0.2),"超过20%","")</f>
        <v/>
      </c>
      <c r="K54" s="2724"/>
      <c r="L54" s="1755"/>
      <c r="M54" s="1740"/>
      <c r="N54" s="1740"/>
      <c r="O54" s="1742"/>
      <c r="P54" s="1742"/>
      <c r="Q54" s="1742"/>
      <c r="R54" s="1742"/>
      <c r="S54" s="1742"/>
      <c r="T54" s="1742"/>
      <c r="U54" s="1742"/>
      <c r="V54" s="1742"/>
      <c r="W54" s="1742"/>
      <c r="X54" s="1742"/>
      <c r="Y54" s="1742"/>
      <c r="Z54" s="1742"/>
      <c r="AA54" s="1742"/>
      <c r="AB54" s="1742"/>
      <c r="AC54" s="1742"/>
    </row>
    <row r="55" spans="1:29" s="1138" customFormat="1" ht="13.5" customHeight="1">
      <c r="A55" s="2722"/>
      <c r="B55" s="2722"/>
      <c r="C55" s="571" t="s">
        <v>508</v>
      </c>
      <c r="D55" s="575"/>
      <c r="E55" s="573">
        <f>IF(E48&lt;G48,G48/E48-1,E48/G48-1)</f>
        <v>0.17626321974148063</v>
      </c>
      <c r="F55" s="574" t="str">
        <f>IF(OR(E55&gt;=0.3,E55&lt;=-0.3),"超过30%","")</f>
        <v/>
      </c>
      <c r="G55" s="573">
        <f>IF(G48&lt;I48,I48/G48-1,G48/I48-1)</f>
        <v>0.33466666666666667</v>
      </c>
      <c r="H55" s="574" t="str">
        <f>IF(OR(G55&gt;=0.3,G55&lt;=-0.3),"超过30%","")</f>
        <v>超过30%</v>
      </c>
      <c r="I55" s="573">
        <f>IF(I48&lt;E48,E48/I48-1,I48/E48-1)</f>
        <v>0.13466666666666671</v>
      </c>
      <c r="J55" s="574" t="str">
        <f>IF(OR(I55&gt;=0.3,I55&lt;=-0.3),"超过30%","")</f>
        <v/>
      </c>
      <c r="K55" s="2725"/>
      <c r="L55" s="1758"/>
      <c r="M55" s="1740"/>
      <c r="N55" s="1740"/>
      <c r="O55" s="1752"/>
      <c r="P55" s="1752"/>
      <c r="Q55" s="1752"/>
      <c r="R55" s="1752"/>
      <c r="S55" s="1752"/>
      <c r="T55" s="1752"/>
      <c r="U55" s="1752"/>
      <c r="V55" s="1752"/>
      <c r="W55" s="1752"/>
      <c r="X55" s="1752"/>
      <c r="Y55" s="1752"/>
      <c r="Z55" s="1752"/>
      <c r="AA55" s="1752"/>
      <c r="AB55" s="1752"/>
      <c r="AC55" s="1752"/>
    </row>
    <row r="56" spans="1:29" s="1138" customFormat="1" ht="21" thickBot="1">
      <c r="A56" s="1752"/>
      <c r="B56" s="1753"/>
      <c r="C56" s="1756"/>
      <c r="D56" s="1752"/>
      <c r="E56" s="1752"/>
      <c r="F56" s="1752"/>
      <c r="G56" s="1752"/>
      <c r="H56" s="1752"/>
      <c r="I56" s="1752"/>
      <c r="J56" s="1752"/>
      <c r="K56" s="2725"/>
      <c r="L56" s="1758"/>
      <c r="M56" s="1740"/>
      <c r="N56" s="1740"/>
      <c r="O56" s="1752"/>
      <c r="P56" s="1752"/>
      <c r="Q56" s="1752"/>
      <c r="R56" s="1752"/>
      <c r="S56" s="1752"/>
      <c r="T56" s="1752"/>
      <c r="U56" s="1752"/>
      <c r="V56" s="1752"/>
      <c r="W56" s="1752"/>
      <c r="X56" s="1752"/>
      <c r="Y56" s="1752"/>
      <c r="Z56" s="1752"/>
      <c r="AA56" s="1752"/>
      <c r="AB56" s="1752"/>
      <c r="AC56" s="1752"/>
    </row>
    <row r="57" spans="1:29" ht="26.25" customHeight="1">
      <c r="A57" s="576" t="s">
        <v>509</v>
      </c>
      <c r="B57" s="577" t="s">
        <v>510</v>
      </c>
      <c r="C57" s="1300" t="s">
        <v>1253</v>
      </c>
      <c r="D57" s="1821" t="s">
        <v>1650</v>
      </c>
      <c r="E57" s="578" t="s">
        <v>511</v>
      </c>
      <c r="F57" s="579" t="s">
        <v>512</v>
      </c>
      <c r="G57" s="3579" t="s">
        <v>1639</v>
      </c>
      <c r="H57" s="3580"/>
      <c r="I57" s="1297" t="s">
        <v>1251</v>
      </c>
      <c r="J57" s="1297" t="str">
        <f>项目基本情况!F41</f>
        <v>江苏省</v>
      </c>
      <c r="K57" s="1759" t="s">
        <v>1252</v>
      </c>
      <c r="L57" s="1755"/>
      <c r="M57" s="1742"/>
      <c r="N57" s="1742"/>
      <c r="O57" s="1742"/>
      <c r="P57" s="1742"/>
      <c r="Q57" s="1742"/>
      <c r="R57" s="1742"/>
      <c r="S57" s="1742"/>
      <c r="T57" s="1742"/>
      <c r="U57" s="1742"/>
      <c r="V57" s="1742"/>
      <c r="W57" s="1742"/>
      <c r="X57" s="1742"/>
      <c r="Y57" s="1742"/>
      <c r="Z57" s="1742"/>
      <c r="AA57" s="1742"/>
      <c r="AB57" s="1742"/>
      <c r="AC57" s="1742"/>
    </row>
    <row r="58" spans="1:29" s="1139" customFormat="1" ht="12.75">
      <c r="A58" s="580" t="s">
        <v>513</v>
      </c>
      <c r="B58" s="581">
        <f>C50</f>
        <v>809</v>
      </c>
      <c r="C58" s="582">
        <v>1</v>
      </c>
      <c r="D58" s="1822">
        <v>1</v>
      </c>
      <c r="E58" s="582">
        <f>'数据-汇总表'!E8+'数据-汇总表'!E9</f>
        <v>302725.5</v>
      </c>
      <c r="F58" s="583">
        <f t="shared" ref="F58:F66" si="14">ROUND(B58*E58/10000,0)</f>
        <v>24490</v>
      </c>
      <c r="G58" s="3581"/>
      <c r="H58" s="3582"/>
      <c r="I58" s="1298">
        <v>1</v>
      </c>
      <c r="J58" s="1298">
        <v>1</v>
      </c>
      <c r="K58" s="2726"/>
      <c r="L58" s="1760"/>
      <c r="M58" s="1760"/>
      <c r="N58" s="1760"/>
      <c r="O58" s="1760"/>
      <c r="P58" s="1760"/>
      <c r="Q58" s="1760"/>
      <c r="R58" s="1760"/>
      <c r="S58" s="1760"/>
      <c r="T58" s="1760"/>
      <c r="U58" s="1760"/>
      <c r="V58" s="1760"/>
      <c r="W58" s="1760"/>
      <c r="X58" s="1760"/>
      <c r="Y58" s="1760"/>
      <c r="Z58" s="1760"/>
      <c r="AA58" s="1760"/>
      <c r="AB58" s="1760"/>
      <c r="AC58" s="1760"/>
    </row>
    <row r="59" spans="1:29" s="1139" customFormat="1" ht="12.75">
      <c r="A59" s="584" t="s">
        <v>514</v>
      </c>
      <c r="B59" s="585">
        <f>ROUND($C$50*C59*D59,0)</f>
        <v>0</v>
      </c>
      <c r="C59" s="348">
        <f t="shared" ref="C59:C66" si="15">IF($C$57="北京市系数",I59,J59)</f>
        <v>0</v>
      </c>
      <c r="D59" s="1823">
        <v>0.25</v>
      </c>
      <c r="E59" s="586">
        <v>0</v>
      </c>
      <c r="F59" s="583">
        <f t="shared" si="14"/>
        <v>0</v>
      </c>
      <c r="G59" s="3028" t="s">
        <v>1640</v>
      </c>
      <c r="H59" s="1607">
        <f>项目基本情况!B43</f>
        <v>0</v>
      </c>
      <c r="I59" s="1298">
        <f>SUMIF(修正!$A$57:$A$68,H59,修正!B57:B68)</f>
        <v>0</v>
      </c>
      <c r="J59" s="1299"/>
      <c r="K59" s="2726"/>
      <c r="L59" s="1760"/>
      <c r="M59" s="1760"/>
      <c r="N59" s="1760"/>
      <c r="O59" s="1760"/>
      <c r="P59" s="1760"/>
      <c r="Q59" s="1760"/>
      <c r="R59" s="1760"/>
      <c r="S59" s="1760"/>
      <c r="T59" s="1760"/>
      <c r="U59" s="1760"/>
      <c r="V59" s="1760"/>
      <c r="W59" s="1760"/>
      <c r="X59" s="1760"/>
      <c r="Y59" s="1760"/>
      <c r="Z59" s="1760"/>
      <c r="AA59" s="1760"/>
      <c r="AB59" s="1760"/>
      <c r="AC59" s="1760"/>
    </row>
    <row r="60" spans="1:29" s="1139" customFormat="1" ht="12.75">
      <c r="A60" s="584" t="s">
        <v>515</v>
      </c>
      <c r="B60" s="585">
        <f t="shared" ref="B60:B66" si="16">ROUND($C$50*C60*D60,0)</f>
        <v>0</v>
      </c>
      <c r="C60" s="348">
        <f t="shared" si="15"/>
        <v>0</v>
      </c>
      <c r="D60" s="1823">
        <v>0.25</v>
      </c>
      <c r="E60" s="586">
        <v>0</v>
      </c>
      <c r="F60" s="583">
        <f t="shared" si="14"/>
        <v>0</v>
      </c>
      <c r="G60" s="3029"/>
      <c r="H60" s="1607">
        <f>项目基本情况!B43</f>
        <v>0</v>
      </c>
      <c r="I60" s="1298">
        <f>SUMIF(修正!$A$57:$A$68,H60,修正!C57:C68)</f>
        <v>0</v>
      </c>
      <c r="J60" s="1299"/>
      <c r="K60" s="2726"/>
      <c r="L60" s="1760"/>
      <c r="M60" s="1760"/>
      <c r="N60" s="1760"/>
      <c r="O60" s="1760"/>
      <c r="P60" s="1760"/>
      <c r="Q60" s="1760"/>
      <c r="R60" s="1760"/>
      <c r="S60" s="1760"/>
      <c r="T60" s="1760"/>
      <c r="U60" s="1760"/>
      <c r="V60" s="1760"/>
      <c r="W60" s="1760"/>
      <c r="X60" s="1760"/>
      <c r="Y60" s="1760"/>
      <c r="Z60" s="1760"/>
      <c r="AA60" s="1760"/>
      <c r="AB60" s="1760"/>
      <c r="AC60" s="1760"/>
    </row>
    <row r="61" spans="1:29" s="1139" customFormat="1" ht="12.75">
      <c r="A61" s="584" t="s">
        <v>516</v>
      </c>
      <c r="B61" s="585">
        <f t="shared" si="16"/>
        <v>0</v>
      </c>
      <c r="C61" s="348">
        <f t="shared" si="15"/>
        <v>0</v>
      </c>
      <c r="D61" s="1823">
        <v>0.25</v>
      </c>
      <c r="E61" s="586">
        <v>0</v>
      </c>
      <c r="F61" s="583">
        <f t="shared" si="14"/>
        <v>0</v>
      </c>
      <c r="G61" s="3029"/>
      <c r="H61" s="1607">
        <f>项目基本情况!B43</f>
        <v>0</v>
      </c>
      <c r="I61" s="1298">
        <f>SUMIF(修正!$A$57:$A$68,H61,修正!D57:D68)</f>
        <v>0</v>
      </c>
      <c r="J61" s="1299"/>
      <c r="K61" s="2726"/>
      <c r="L61" s="1760"/>
      <c r="M61" s="1760"/>
      <c r="N61" s="1760"/>
      <c r="O61" s="1760"/>
      <c r="P61" s="1760"/>
      <c r="Q61" s="1760"/>
      <c r="R61" s="1760"/>
      <c r="S61" s="1760"/>
      <c r="T61" s="1760"/>
      <c r="U61" s="1760"/>
      <c r="V61" s="1760"/>
      <c r="W61" s="1760"/>
      <c r="X61" s="1760"/>
      <c r="Y61" s="1760"/>
      <c r="Z61" s="1760"/>
      <c r="AA61" s="1760"/>
      <c r="AB61" s="1760"/>
      <c r="AC61" s="1760"/>
    </row>
    <row r="62" spans="1:29" s="1139" customFormat="1" ht="12.75">
      <c r="A62" s="1919" t="s">
        <v>1685</v>
      </c>
      <c r="B62" s="585">
        <f t="shared" si="16"/>
        <v>0</v>
      </c>
      <c r="C62" s="348">
        <f t="shared" si="15"/>
        <v>0</v>
      </c>
      <c r="D62" s="1823">
        <v>0.25</v>
      </c>
      <c r="E62" s="588">
        <f>'数据-汇总表'!E11</f>
        <v>0</v>
      </c>
      <c r="F62" s="583">
        <f t="shared" si="14"/>
        <v>0</v>
      </c>
      <c r="G62" s="1604" t="s">
        <v>1641</v>
      </c>
      <c r="H62" s="1607">
        <f>项目基本情况!C43</f>
        <v>0</v>
      </c>
      <c r="I62" s="1298">
        <f>SUMIF(修正!$A$57:$A$68,H62,修正!E57:E68)</f>
        <v>0</v>
      </c>
      <c r="J62" s="1299"/>
      <c r="K62" s="2726"/>
      <c r="L62" s="1760"/>
      <c r="M62" s="1760"/>
      <c r="N62" s="1760"/>
      <c r="O62" s="1760"/>
      <c r="P62" s="1760"/>
      <c r="Q62" s="1760"/>
      <c r="R62" s="1760"/>
      <c r="S62" s="1760"/>
      <c r="T62" s="1760"/>
      <c r="U62" s="1760"/>
      <c r="V62" s="1760"/>
      <c r="W62" s="1760"/>
      <c r="X62" s="1760"/>
      <c r="Y62" s="1760"/>
      <c r="Z62" s="1760"/>
      <c r="AA62" s="1760"/>
      <c r="AB62" s="1760"/>
      <c r="AC62" s="1760"/>
    </row>
    <row r="63" spans="1:29" s="1139" customFormat="1" ht="12.75">
      <c r="A63" s="584" t="s">
        <v>517</v>
      </c>
      <c r="B63" s="585">
        <f t="shared" si="16"/>
        <v>0</v>
      </c>
      <c r="C63" s="348">
        <f t="shared" si="15"/>
        <v>0</v>
      </c>
      <c r="D63" s="1823">
        <v>0.25</v>
      </c>
      <c r="E63" s="588">
        <f>'数据-汇总表'!E12</f>
        <v>0</v>
      </c>
      <c r="F63" s="583">
        <f t="shared" si="14"/>
        <v>0</v>
      </c>
      <c r="G63" s="1605" t="s">
        <v>1212</v>
      </c>
      <c r="H63" s="1603">
        <f>IF(G63="商业",项目基本情况!B43,IF(G63="办公",项目基本情况!C43,IF(G63="住宅",项目基本情况!D43,项目基本情况!E43)))</f>
        <v>0</v>
      </c>
      <c r="I63" s="1298">
        <f>SUMIF(修正!$A$57:$A$68,H63,修正!F57:F68)</f>
        <v>0</v>
      </c>
      <c r="J63" s="1299"/>
      <c r="K63" s="2726"/>
      <c r="L63" s="1760"/>
      <c r="M63" s="1760"/>
      <c r="N63" s="1760"/>
      <c r="O63" s="1760"/>
      <c r="P63" s="1760"/>
      <c r="Q63" s="1760"/>
      <c r="R63" s="1760"/>
      <c r="S63" s="1760"/>
      <c r="T63" s="1760"/>
      <c r="U63" s="1760"/>
      <c r="V63" s="1760"/>
      <c r="W63" s="1760"/>
      <c r="X63" s="1760"/>
      <c r="Y63" s="1760"/>
      <c r="Z63" s="1760"/>
      <c r="AA63" s="1760"/>
      <c r="AB63" s="1760"/>
      <c r="AC63" s="1760"/>
    </row>
    <row r="64" spans="1:29" s="1139" customFormat="1" ht="12.75">
      <c r="A64" s="584" t="s">
        <v>518</v>
      </c>
      <c r="B64" s="585">
        <f t="shared" si="16"/>
        <v>0</v>
      </c>
      <c r="C64" s="348">
        <f t="shared" si="15"/>
        <v>0</v>
      </c>
      <c r="D64" s="1823">
        <v>0.25</v>
      </c>
      <c r="E64" s="588">
        <f>'数据-汇总表'!E13</f>
        <v>0</v>
      </c>
      <c r="F64" s="583">
        <f t="shared" si="14"/>
        <v>0</v>
      </c>
      <c r="G64" s="1605" t="s">
        <v>851</v>
      </c>
      <c r="H64" s="1603">
        <f>IF(G64="商业",项目基本情况!B43,IF(G64="办公",项目基本情况!C43,IF(G64="住宅",项目基本情况!D43,项目基本情况!E43)))</f>
        <v>0</v>
      </c>
      <c r="I64" s="1298">
        <f>SUMIF(修正!$A$57:$A$68,H64,修正!G57:G68)</f>
        <v>0</v>
      </c>
      <c r="J64" s="1299"/>
      <c r="K64" s="2726"/>
      <c r="L64" s="1760"/>
      <c r="M64" s="1760"/>
      <c r="N64" s="1760"/>
      <c r="O64" s="1760"/>
      <c r="P64" s="1760"/>
      <c r="Q64" s="1760"/>
      <c r="R64" s="1760"/>
      <c r="S64" s="1760"/>
      <c r="T64" s="1760"/>
      <c r="U64" s="1760"/>
      <c r="V64" s="1760"/>
      <c r="W64" s="1760"/>
      <c r="X64" s="1760"/>
      <c r="Y64" s="1760"/>
      <c r="Z64" s="1760"/>
      <c r="AA64" s="1760"/>
      <c r="AB64" s="1760"/>
      <c r="AC64" s="1760"/>
    </row>
    <row r="65" spans="1:29" s="1139" customFormat="1" ht="12.75">
      <c r="A65" s="584" t="s">
        <v>519</v>
      </c>
      <c r="B65" s="585">
        <f t="shared" si="16"/>
        <v>0</v>
      </c>
      <c r="C65" s="348">
        <f t="shared" si="15"/>
        <v>0</v>
      </c>
      <c r="D65" s="1823">
        <v>0.25</v>
      </c>
      <c r="E65" s="588">
        <f>'数据-汇总表'!E14</f>
        <v>0</v>
      </c>
      <c r="F65" s="583">
        <f t="shared" si="14"/>
        <v>0</v>
      </c>
      <c r="G65" s="1604" t="s">
        <v>1640</v>
      </c>
      <c r="H65" s="1607">
        <f>项目基本情况!B43</f>
        <v>0</v>
      </c>
      <c r="I65" s="1298">
        <f>SUMIF(修正!$A$57:$A$68,H65,修正!G57:G68)</f>
        <v>0</v>
      </c>
      <c r="J65" s="1299"/>
      <c r="K65" s="2726"/>
      <c r="L65" s="1760"/>
      <c r="M65" s="1760"/>
      <c r="N65" s="1760"/>
      <c r="O65" s="1760"/>
      <c r="P65" s="1760"/>
      <c r="Q65" s="1760"/>
      <c r="R65" s="1760"/>
      <c r="S65" s="1760"/>
      <c r="T65" s="1760"/>
      <c r="U65" s="1760"/>
      <c r="V65" s="1760"/>
      <c r="W65" s="1760"/>
      <c r="X65" s="1760"/>
      <c r="Y65" s="1760"/>
      <c r="Z65" s="1760"/>
      <c r="AA65" s="1760"/>
      <c r="AB65" s="1760"/>
      <c r="AC65" s="1760"/>
    </row>
    <row r="66" spans="1:29" s="1139" customFormat="1" ht="13.5" thickBot="1">
      <c r="A66" s="584" t="s">
        <v>520</v>
      </c>
      <c r="B66" s="585">
        <f t="shared" si="16"/>
        <v>0</v>
      </c>
      <c r="C66" s="348">
        <f t="shared" si="15"/>
        <v>0</v>
      </c>
      <c r="D66" s="1823">
        <v>0.25</v>
      </c>
      <c r="E66" s="588">
        <f>'数据-汇总表'!E15</f>
        <v>0</v>
      </c>
      <c r="F66" s="583">
        <f t="shared" si="14"/>
        <v>0</v>
      </c>
      <c r="G66" s="1606" t="s">
        <v>1641</v>
      </c>
      <c r="H66" s="1608">
        <f>项目基本情况!C43</f>
        <v>0</v>
      </c>
      <c r="I66" s="1298">
        <f>SUMIF(修正!$A$57:$A$68,H66,修正!G57:G68)</f>
        <v>0</v>
      </c>
      <c r="J66" s="1299"/>
      <c r="K66" s="2726"/>
      <c r="L66" s="1760"/>
      <c r="M66" s="1760"/>
      <c r="N66" s="1760"/>
      <c r="O66" s="1760"/>
      <c r="P66" s="1760"/>
      <c r="Q66" s="1760"/>
      <c r="R66" s="1760"/>
      <c r="S66" s="1760"/>
      <c r="T66" s="1760"/>
      <c r="U66" s="1760"/>
      <c r="V66" s="1760"/>
      <c r="W66" s="1760"/>
      <c r="X66" s="1760"/>
      <c r="Y66" s="1760"/>
      <c r="Z66" s="1760"/>
      <c r="AA66" s="1760"/>
      <c r="AB66" s="1760"/>
      <c r="AC66" s="1760"/>
    </row>
    <row r="67" spans="1:29" s="1139" customFormat="1" ht="13.5" thickBot="1">
      <c r="A67" s="589" t="s">
        <v>521</v>
      </c>
      <c r="B67" s="590" t="s">
        <v>11</v>
      </c>
      <c r="C67" s="590" t="s">
        <v>12</v>
      </c>
      <c r="D67" s="590" t="s">
        <v>1651</v>
      </c>
      <c r="E67" s="590">
        <f>IF(B48="楼面地价",SUM(E58:E66),'数据-汇总表'!D3)</f>
        <v>302725.5</v>
      </c>
      <c r="F67" s="591">
        <f>IF(B48="楼面地价",SUM(F58:F66),ROUND(C50*E67/10000,0))</f>
        <v>24490</v>
      </c>
      <c r="G67" s="1761"/>
      <c r="H67" s="1761"/>
      <c r="I67" s="1761"/>
      <c r="J67" s="1761"/>
      <c r="K67" s="1761"/>
      <c r="L67" s="1760"/>
      <c r="M67" s="1760"/>
      <c r="N67" s="1760"/>
      <c r="O67" s="1760"/>
      <c r="P67" s="1760"/>
      <c r="Q67" s="1760"/>
      <c r="R67" s="1760"/>
      <c r="S67" s="1760"/>
      <c r="T67" s="1760"/>
      <c r="U67" s="1760"/>
      <c r="V67" s="1760"/>
      <c r="W67" s="1760"/>
      <c r="X67" s="1760"/>
      <c r="Y67" s="1760"/>
      <c r="Z67" s="1760"/>
      <c r="AA67" s="1760"/>
      <c r="AB67" s="1760"/>
      <c r="AC67" s="1760"/>
    </row>
    <row r="68" spans="1:29">
      <c r="A68" s="1742"/>
      <c r="B68" s="1753"/>
      <c r="C68" s="1756"/>
      <c r="D68" s="1742"/>
      <c r="E68" s="1742"/>
      <c r="F68" s="1742"/>
      <c r="G68" s="1742"/>
      <c r="H68" s="1742"/>
      <c r="I68" s="1742"/>
      <c r="J68" s="1742"/>
      <c r="K68" s="1754"/>
      <c r="L68" s="1755"/>
      <c r="M68" s="1742"/>
      <c r="N68" s="1742"/>
      <c r="O68" s="1742"/>
      <c r="P68" s="1742"/>
      <c r="Q68" s="1742"/>
      <c r="R68" s="1742"/>
      <c r="S68" s="1742"/>
      <c r="T68" s="1742"/>
      <c r="U68" s="1742"/>
      <c r="V68" s="1742"/>
      <c r="W68" s="1742"/>
      <c r="X68" s="1742"/>
      <c r="Y68" s="1742"/>
      <c r="Z68" s="1742"/>
      <c r="AA68" s="1742"/>
      <c r="AB68" s="1742"/>
      <c r="AC68" s="1742"/>
    </row>
    <row r="69" spans="1:29">
      <c r="A69" s="1742"/>
      <c r="B69" s="1753"/>
      <c r="C69" s="2111" t="str">
        <f>YEAR(C9)&amp;"-"&amp;MONTH(C9)&amp;"-1"</f>
        <v>2023-5-1</v>
      </c>
      <c r="D69" s="2111">
        <f>EDATE(C69,-3)</f>
        <v>44958</v>
      </c>
      <c r="E69" s="2111">
        <f t="shared" ref="E69:N69" si="17">EDATE(D69,-3)</f>
        <v>44866</v>
      </c>
      <c r="F69" s="2111">
        <f t="shared" si="17"/>
        <v>44774</v>
      </c>
      <c r="G69" s="2111">
        <f t="shared" si="17"/>
        <v>44682</v>
      </c>
      <c r="H69" s="2111">
        <f t="shared" si="17"/>
        <v>44593</v>
      </c>
      <c r="I69" s="2111">
        <f t="shared" si="17"/>
        <v>44501</v>
      </c>
      <c r="J69" s="2111">
        <f t="shared" si="17"/>
        <v>44409</v>
      </c>
      <c r="K69" s="2111">
        <f t="shared" si="17"/>
        <v>44317</v>
      </c>
      <c r="L69" s="2111">
        <f t="shared" si="17"/>
        <v>44228</v>
      </c>
      <c r="M69" s="2111">
        <f t="shared" si="17"/>
        <v>44136</v>
      </c>
      <c r="N69" s="2111">
        <f t="shared" si="17"/>
        <v>44044</v>
      </c>
      <c r="O69" s="1753">
        <f t="shared" ref="O69" si="18">EDATE(N69,-3)</f>
        <v>43952</v>
      </c>
      <c r="P69" s="1753">
        <f t="shared" ref="P69" si="19">EDATE(O69,-3)</f>
        <v>43862</v>
      </c>
      <c r="Q69" s="1753">
        <f t="shared" ref="Q69" si="20">EDATE(P69,-3)</f>
        <v>43770</v>
      </c>
      <c r="R69" s="1753">
        <f t="shared" ref="R69" si="21">EDATE(Q69,-3)</f>
        <v>43678</v>
      </c>
      <c r="S69" s="1753">
        <f t="shared" ref="S69" si="22">EDATE(R69,-3)</f>
        <v>43586</v>
      </c>
      <c r="T69" s="1753">
        <f t="shared" ref="T69" si="23">EDATE(S69,-3)</f>
        <v>43497</v>
      </c>
      <c r="U69" s="1753">
        <f t="shared" ref="U69" si="24">EDATE(T69,-3)</f>
        <v>43405</v>
      </c>
      <c r="V69" s="1753">
        <f t="shared" ref="V69" si="25">EDATE(U69,-3)</f>
        <v>43313</v>
      </c>
      <c r="W69" s="1753">
        <f t="shared" ref="W69" si="26">EDATE(V69,-3)</f>
        <v>43221</v>
      </c>
      <c r="X69" s="1753">
        <f t="shared" ref="X69" si="27">EDATE(W69,-3)</f>
        <v>43132</v>
      </c>
      <c r="Y69" s="1753">
        <f t="shared" ref="Y69" si="28">EDATE(X69,-3)</f>
        <v>43040</v>
      </c>
      <c r="Z69" s="1753">
        <f t="shared" ref="Z69" si="29">EDATE(Y69,-3)</f>
        <v>42948</v>
      </c>
      <c r="AA69" s="1753">
        <f t="shared" ref="AA69" si="30">EDATE(Z69,-3)</f>
        <v>42856</v>
      </c>
      <c r="AB69" s="1742"/>
      <c r="AC69" s="1742"/>
    </row>
    <row r="70" spans="1:29" ht="21.75" thickBot="1">
      <c r="A70" s="1317" t="s">
        <v>522</v>
      </c>
      <c r="B70" s="799"/>
      <c r="C70" s="1316"/>
      <c r="D70" s="1316"/>
      <c r="E70" s="1316"/>
      <c r="F70" s="1318"/>
      <c r="G70" s="1318"/>
      <c r="H70" s="1316"/>
      <c r="I70" s="1316"/>
      <c r="J70" s="1316"/>
      <c r="K70" s="1319"/>
      <c r="L70" s="1315"/>
      <c r="M70" s="1316"/>
      <c r="N70" s="1316"/>
      <c r="O70" s="1762"/>
      <c r="P70" s="1762"/>
      <c r="Q70" s="1763"/>
      <c r="R70" s="1742"/>
      <c r="S70" s="1742"/>
      <c r="T70" s="1742"/>
      <c r="U70" s="1742"/>
      <c r="V70" s="1742"/>
      <c r="W70" s="1742"/>
      <c r="X70" s="1742"/>
      <c r="Y70" s="1742"/>
      <c r="Z70" s="1742"/>
      <c r="AA70" s="1742"/>
      <c r="AB70" s="1742"/>
      <c r="AC70" s="1742"/>
    </row>
    <row r="71" spans="1:29" s="1140" customFormat="1" ht="42.75">
      <c r="A71" s="2042" t="s">
        <v>1815</v>
      </c>
      <c r="B71" s="2043"/>
      <c r="C71" s="155" t="str">
        <f>YEAR(C69)&amp;"-"&amp;ROUNDUP(MONTH(C69)/3,0)</f>
        <v>2023-2</v>
      </c>
      <c r="D71" s="155" t="str">
        <f>YEAR(D69)&amp;"-"&amp;ROUNDUP(MONTH(D69)/3,0)</f>
        <v>2023-1</v>
      </c>
      <c r="E71" s="155" t="str">
        <f t="shared" ref="E71:X71" si="31">YEAR(E69)&amp;"-"&amp;ROUNDUP(MONTH(E69)/3,0)</f>
        <v>2022-4</v>
      </c>
      <c r="F71" s="155" t="str">
        <f t="shared" si="31"/>
        <v>2022-3</v>
      </c>
      <c r="G71" s="155" t="str">
        <f t="shared" si="31"/>
        <v>2022-2</v>
      </c>
      <c r="H71" s="155" t="str">
        <f t="shared" si="31"/>
        <v>2022-1</v>
      </c>
      <c r="I71" s="155" t="str">
        <f t="shared" si="31"/>
        <v>2021-4</v>
      </c>
      <c r="J71" s="155" t="str">
        <f t="shared" si="31"/>
        <v>2021-3</v>
      </c>
      <c r="K71" s="155" t="str">
        <f t="shared" si="31"/>
        <v>2021-2</v>
      </c>
      <c r="L71" s="155" t="str">
        <f t="shared" si="31"/>
        <v>2021-1</v>
      </c>
      <c r="M71" s="155" t="str">
        <f t="shared" si="31"/>
        <v>2020-4</v>
      </c>
      <c r="N71" s="155" t="str">
        <f t="shared" si="31"/>
        <v>2020-3</v>
      </c>
      <c r="O71" s="3397" t="str">
        <f>YEAR(O69)&amp;"-"&amp;ROUNDUP(MONTH(O69)/3,0)</f>
        <v>2020-2</v>
      </c>
      <c r="P71" s="3397" t="str">
        <f t="shared" si="31"/>
        <v>2020-1</v>
      </c>
      <c r="Q71" s="3397" t="str">
        <f t="shared" si="31"/>
        <v>2019-4</v>
      </c>
      <c r="R71" s="3397" t="str">
        <f t="shared" si="31"/>
        <v>2019-3</v>
      </c>
      <c r="S71" s="3397" t="str">
        <f t="shared" si="31"/>
        <v>2019-2</v>
      </c>
      <c r="T71" s="3397" t="str">
        <f t="shared" si="31"/>
        <v>2019-1</v>
      </c>
      <c r="U71" s="3397" t="str">
        <f t="shared" si="31"/>
        <v>2018-4</v>
      </c>
      <c r="V71" s="3397" t="str">
        <f t="shared" si="31"/>
        <v>2018-3</v>
      </c>
      <c r="W71" s="3397" t="str">
        <f t="shared" si="31"/>
        <v>2018-2</v>
      </c>
      <c r="X71" s="3397" t="str">
        <f t="shared" si="31"/>
        <v>2018-1</v>
      </c>
      <c r="Y71" s="3397" t="str">
        <f t="shared" ref="Y71:AA71" si="32">YEAR(Y69)&amp;"-"&amp;ROUNDUP(MONTH(Y69)/3,0)</f>
        <v>2017-4</v>
      </c>
      <c r="Z71" s="3397" t="str">
        <f t="shared" si="32"/>
        <v>2017-3</v>
      </c>
      <c r="AA71" s="3397" t="str">
        <f t="shared" si="32"/>
        <v>2017-2</v>
      </c>
      <c r="AB71" s="1765"/>
      <c r="AC71" s="1765"/>
    </row>
    <row r="72" spans="1:29" s="1059" customFormat="1" ht="27" customHeight="1">
      <c r="A72" s="2117" t="s">
        <v>1929</v>
      </c>
      <c r="B72" s="448" t="str">
        <f>"北京市平均增长率"&amp;TEXT(SUMIF(基准地价!N25:N29,A72,基准地价!P25:P29),"0.00%")</f>
        <v>北京市平均增长率0.00%</v>
      </c>
      <c r="C72" s="818">
        <v>100</v>
      </c>
      <c r="D72" s="79">
        <f>C72-0.1</f>
        <v>99.9</v>
      </c>
      <c r="E72" s="79">
        <f t="shared" ref="E72:X72" si="33">D72-0.1</f>
        <v>99.800000000000011</v>
      </c>
      <c r="F72" s="79">
        <f t="shared" si="33"/>
        <v>99.700000000000017</v>
      </c>
      <c r="G72" s="79">
        <f t="shared" si="33"/>
        <v>99.600000000000023</v>
      </c>
      <c r="H72" s="79">
        <f t="shared" si="33"/>
        <v>99.500000000000028</v>
      </c>
      <c r="I72" s="79">
        <f t="shared" si="33"/>
        <v>99.400000000000034</v>
      </c>
      <c r="J72" s="79">
        <f t="shared" si="33"/>
        <v>99.30000000000004</v>
      </c>
      <c r="K72" s="79">
        <f t="shared" si="33"/>
        <v>99.200000000000045</v>
      </c>
      <c r="L72" s="79">
        <f t="shared" si="33"/>
        <v>99.100000000000051</v>
      </c>
      <c r="M72" s="79">
        <f t="shared" si="33"/>
        <v>99.000000000000057</v>
      </c>
      <c r="N72" s="79">
        <f t="shared" si="33"/>
        <v>98.900000000000063</v>
      </c>
      <c r="O72" s="79">
        <f t="shared" si="33"/>
        <v>98.800000000000068</v>
      </c>
      <c r="P72" s="79">
        <f t="shared" si="33"/>
        <v>98.700000000000074</v>
      </c>
      <c r="Q72" s="79">
        <f t="shared" si="33"/>
        <v>98.60000000000008</v>
      </c>
      <c r="R72" s="79">
        <f t="shared" si="33"/>
        <v>98.500000000000085</v>
      </c>
      <c r="S72" s="79">
        <f t="shared" si="33"/>
        <v>98.400000000000091</v>
      </c>
      <c r="T72" s="79">
        <f t="shared" si="33"/>
        <v>98.300000000000097</v>
      </c>
      <c r="U72" s="79">
        <f t="shared" si="33"/>
        <v>98.200000000000102</v>
      </c>
      <c r="V72" s="79">
        <f t="shared" si="33"/>
        <v>98.100000000000108</v>
      </c>
      <c r="W72" s="79">
        <f t="shared" si="33"/>
        <v>98.000000000000114</v>
      </c>
      <c r="X72" s="79">
        <f t="shared" si="33"/>
        <v>97.900000000000119</v>
      </c>
      <c r="Y72" s="79">
        <f t="shared" ref="Y72:AA72" si="34">X72-0.1</f>
        <v>97.800000000000125</v>
      </c>
      <c r="Z72" s="79">
        <f t="shared" si="34"/>
        <v>97.700000000000131</v>
      </c>
      <c r="AA72" s="79">
        <f t="shared" si="34"/>
        <v>97.600000000000136</v>
      </c>
      <c r="AB72" s="1640"/>
      <c r="AC72" s="1640"/>
    </row>
    <row r="73" spans="1:29" s="1059" customFormat="1" ht="15" customHeight="1" thickBot="1">
      <c r="A73" s="2109" t="s">
        <v>1928</v>
      </c>
      <c r="B73" s="2116"/>
      <c r="C73" s="2107"/>
      <c r="D73" s="2108"/>
      <c r="E73" s="2108"/>
      <c r="F73" s="2108"/>
      <c r="G73" s="2108"/>
      <c r="H73" s="2108"/>
      <c r="I73" s="2108"/>
      <c r="J73" s="2108"/>
      <c r="K73" s="2108"/>
      <c r="L73" s="2108"/>
      <c r="M73" s="2108"/>
      <c r="N73" s="2108"/>
      <c r="O73" s="1766"/>
      <c r="P73" s="1763"/>
      <c r="Q73" s="1763"/>
      <c r="R73" s="1640"/>
      <c r="S73" s="1640"/>
      <c r="T73" s="1640"/>
      <c r="U73" s="1640"/>
      <c r="V73" s="1640"/>
      <c r="W73" s="1640"/>
      <c r="X73" s="1640"/>
      <c r="Y73" s="1640"/>
      <c r="Z73" s="1640"/>
      <c r="AA73" s="1640"/>
      <c r="AB73" s="1640"/>
      <c r="AC73" s="1640"/>
    </row>
    <row r="74" spans="1:29" s="1059" customFormat="1" ht="15">
      <c r="A74" s="603" t="s">
        <v>480</v>
      </c>
      <c r="B74" s="594"/>
      <c r="C74" s="604" t="s">
        <v>524</v>
      </c>
      <c r="D74" s="80"/>
      <c r="E74" s="80"/>
      <c r="F74" s="80"/>
      <c r="G74" s="80"/>
      <c r="H74" s="80"/>
      <c r="I74" s="80"/>
      <c r="J74" s="80"/>
      <c r="K74" s="80"/>
      <c r="L74" s="605"/>
      <c r="M74" s="606"/>
      <c r="N74" s="1766"/>
      <c r="O74" s="1766"/>
      <c r="P74" s="1647"/>
      <c r="Q74" s="1763"/>
      <c r="R74" s="1640"/>
      <c r="S74" s="1640"/>
      <c r="T74" s="1640"/>
      <c r="U74" s="1640"/>
      <c r="V74" s="1640"/>
      <c r="W74" s="1640"/>
      <c r="X74" s="1640"/>
      <c r="Y74" s="1640"/>
      <c r="Z74" s="1640"/>
      <c r="AA74" s="1640"/>
      <c r="AB74" s="1640"/>
      <c r="AC74" s="1640"/>
    </row>
    <row r="75" spans="1:29" s="1059" customFormat="1" ht="15.75" thickBot="1">
      <c r="A75" s="603"/>
      <c r="B75" s="594"/>
      <c r="C75" s="595">
        <v>100</v>
      </c>
      <c r="D75" s="596"/>
      <c r="E75" s="596"/>
      <c r="F75" s="596"/>
      <c r="G75" s="596"/>
      <c r="H75" s="596"/>
      <c r="I75" s="596"/>
      <c r="J75" s="596"/>
      <c r="K75" s="596"/>
      <c r="L75" s="596"/>
      <c r="M75" s="597"/>
      <c r="N75" s="1766"/>
      <c r="O75" s="1766"/>
      <c r="P75" s="1763"/>
      <c r="Q75" s="1763"/>
      <c r="R75" s="1640"/>
      <c r="S75" s="1640"/>
      <c r="T75" s="1640"/>
      <c r="U75" s="1640"/>
      <c r="V75" s="1640"/>
      <c r="W75" s="1640"/>
      <c r="X75" s="1640"/>
      <c r="Y75" s="1640"/>
      <c r="Z75" s="1640"/>
      <c r="AA75" s="1640"/>
      <c r="AB75" s="1640"/>
      <c r="AC75" s="1640"/>
    </row>
    <row r="76" spans="1:29">
      <c r="A76" s="607" t="s">
        <v>525</v>
      </c>
      <c r="B76" s="608" t="s">
        <v>483</v>
      </c>
      <c r="C76" s="3399" t="s">
        <v>3335</v>
      </c>
      <c r="D76" s="547"/>
      <c r="E76" s="547"/>
      <c r="F76" s="547"/>
      <c r="G76" s="547"/>
      <c r="H76" s="547"/>
      <c r="I76" s="547"/>
      <c r="J76" s="547"/>
      <c r="K76" s="609"/>
      <c r="L76" s="610"/>
      <c r="M76" s="611"/>
      <c r="N76" s="1767"/>
      <c r="O76" s="1767"/>
      <c r="P76" s="1766"/>
      <c r="Q76" s="1763"/>
      <c r="R76" s="1742"/>
      <c r="S76" s="1742"/>
      <c r="T76" s="1742"/>
      <c r="U76" s="1742"/>
      <c r="V76" s="1742"/>
      <c r="W76" s="1742"/>
      <c r="X76" s="1742"/>
      <c r="Y76" s="1742"/>
      <c r="Z76" s="1742"/>
      <c r="AA76" s="1742"/>
      <c r="AB76" s="1742"/>
      <c r="AC76" s="1742"/>
    </row>
    <row r="77" spans="1:29" ht="15.75" thickBot="1">
      <c r="A77" s="482"/>
      <c r="B77" s="612"/>
      <c r="C77" s="613">
        <v>100</v>
      </c>
      <c r="D77" s="613"/>
      <c r="E77" s="613"/>
      <c r="F77" s="613"/>
      <c r="G77" s="613"/>
      <c r="H77" s="613"/>
      <c r="I77" s="613"/>
      <c r="J77" s="613"/>
      <c r="K77" s="613"/>
      <c r="L77" s="613"/>
      <c r="M77" s="614"/>
      <c r="N77" s="1768"/>
      <c r="O77" s="1768"/>
      <c r="P77" s="1766"/>
      <c r="Q77" s="1763"/>
      <c r="R77" s="1742"/>
      <c r="S77" s="1742"/>
      <c r="T77" s="1742"/>
      <c r="U77" s="1742"/>
      <c r="V77" s="1742"/>
      <c r="W77" s="1742"/>
      <c r="X77" s="1742"/>
      <c r="Y77" s="1742"/>
      <c r="Z77" s="1742"/>
      <c r="AA77" s="1742"/>
      <c r="AB77" s="1742"/>
      <c r="AC77" s="1742"/>
    </row>
    <row r="78" spans="1:29" ht="27.75" thickTop="1">
      <c r="A78" s="482"/>
      <c r="B78" s="615" t="s">
        <v>486</v>
      </c>
      <c r="C78" s="616"/>
      <c r="D78" s="616"/>
      <c r="E78" s="616"/>
      <c r="F78" s="616"/>
      <c r="G78" s="616"/>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c r="D79" s="621"/>
      <c r="E79" s="621"/>
      <c r="F79" s="621"/>
      <c r="G79" s="621"/>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623" t="s">
        <v>487</v>
      </c>
      <c r="C80" s="624" t="str">
        <f>C81&amp;"（含）"&amp;"-"&amp;D81</f>
        <v>0（含）-1</v>
      </c>
      <c r="D80" s="624" t="str">
        <f t="shared" ref="D80:L80" si="35">D81&amp;"（含）"&amp;"-"&amp;E81</f>
        <v>1（含）-2</v>
      </c>
      <c r="E80" s="624" t="str">
        <f t="shared" si="35"/>
        <v>2（含）-3</v>
      </c>
      <c r="F80" s="624" t="str">
        <f t="shared" si="35"/>
        <v>3（含）-4</v>
      </c>
      <c r="G80" s="624" t="str">
        <f t="shared" si="35"/>
        <v>4（含）-</v>
      </c>
      <c r="H80" s="624" t="str">
        <f t="shared" si="35"/>
        <v>（含）-</v>
      </c>
      <c r="I80" s="624" t="str">
        <f t="shared" si="35"/>
        <v>（含）-</v>
      </c>
      <c r="J80" s="624" t="str">
        <f t="shared" si="35"/>
        <v>（含）-</v>
      </c>
      <c r="K80" s="624" t="str">
        <f t="shared" si="35"/>
        <v>（含）-</v>
      </c>
      <c r="L80" s="624" t="str">
        <f t="shared" si="35"/>
        <v>（含）-</v>
      </c>
      <c r="M80" s="505" t="str">
        <f>M81&amp;"（含）"&amp;"-"&amp;P81</f>
        <v>（含）-</v>
      </c>
      <c r="N80" s="1768"/>
      <c r="O80" s="1768"/>
      <c r="P80" s="1766"/>
      <c r="Q80" s="1763"/>
      <c r="R80" s="1742"/>
      <c r="S80" s="1742"/>
      <c r="T80" s="1742"/>
      <c r="U80" s="1742"/>
      <c r="V80" s="1742"/>
      <c r="W80" s="1742"/>
      <c r="X80" s="1742"/>
      <c r="Y80" s="1742"/>
      <c r="Z80" s="1742"/>
      <c r="AA80" s="1742"/>
      <c r="AB80" s="1742"/>
      <c r="AC80" s="1742"/>
    </row>
    <row r="81" spans="1:29" ht="15">
      <c r="A81" s="482"/>
      <c r="B81" s="625"/>
      <c r="C81" s="491">
        <v>0</v>
      </c>
      <c r="D81" s="491">
        <v>1</v>
      </c>
      <c r="E81" s="491">
        <v>2</v>
      </c>
      <c r="F81" s="491">
        <v>3</v>
      </c>
      <c r="G81" s="491">
        <v>4</v>
      </c>
      <c r="H81" s="491"/>
      <c r="I81" s="491"/>
      <c r="J81" s="491"/>
      <c r="K81" s="626"/>
      <c r="L81" s="627"/>
      <c r="M81" s="628"/>
      <c r="N81" s="1767"/>
      <c r="O81" s="1767"/>
      <c r="P81" s="1766"/>
      <c r="Q81" s="1763"/>
      <c r="R81" s="1742"/>
      <c r="S81" s="1742"/>
      <c r="T81" s="1742"/>
      <c r="U81" s="1742"/>
      <c r="V81" s="1742"/>
      <c r="W81" s="1742"/>
      <c r="X81" s="1742"/>
      <c r="Y81" s="1742"/>
      <c r="Z81" s="1742"/>
      <c r="AA81" s="1742"/>
      <c r="AB81" s="1742"/>
      <c r="AC81" s="1742"/>
    </row>
    <row r="82" spans="1:29" ht="15.75" thickBot="1">
      <c r="A82" s="482"/>
      <c r="B82" s="612"/>
      <c r="C82" s="621">
        <v>100</v>
      </c>
      <c r="D82" s="621">
        <f t="shared" ref="D82:M82" si="36">IF($B$48="单位面积地价",C82+$K13,C82-$K13)</f>
        <v>98</v>
      </c>
      <c r="E82" s="621">
        <f t="shared" si="36"/>
        <v>96</v>
      </c>
      <c r="F82" s="621">
        <f t="shared" si="36"/>
        <v>94</v>
      </c>
      <c r="G82" s="621">
        <f t="shared" si="36"/>
        <v>92</v>
      </c>
      <c r="H82" s="621">
        <f t="shared" si="36"/>
        <v>90</v>
      </c>
      <c r="I82" s="621">
        <f t="shared" si="36"/>
        <v>88</v>
      </c>
      <c r="J82" s="621">
        <f t="shared" si="36"/>
        <v>86</v>
      </c>
      <c r="K82" s="621">
        <f t="shared" si="36"/>
        <v>84</v>
      </c>
      <c r="L82" s="621">
        <f t="shared" si="36"/>
        <v>82</v>
      </c>
      <c r="M82" s="621">
        <f t="shared" si="36"/>
        <v>80</v>
      </c>
      <c r="N82" s="1768"/>
      <c r="O82" s="1768"/>
      <c r="P82" s="1766"/>
      <c r="Q82" s="1763"/>
      <c r="R82" s="1742"/>
      <c r="S82" s="1742"/>
      <c r="T82" s="1742"/>
      <c r="U82" s="1742"/>
      <c r="V82" s="1742"/>
      <c r="W82" s="1742"/>
      <c r="X82" s="1742"/>
      <c r="Y82" s="1742"/>
      <c r="Z82" s="1742"/>
      <c r="AA82" s="1742"/>
      <c r="AB82" s="1742"/>
      <c r="AC82" s="1742"/>
    </row>
    <row r="83" spans="1:29" s="1133" customFormat="1" ht="15.75" thickTop="1">
      <c r="A83" s="629"/>
      <c r="B83" s="615" t="str">
        <f>B14</f>
        <v>配建</v>
      </c>
      <c r="C83" s="630"/>
      <c r="D83" s="1166"/>
      <c r="E83" s="1167"/>
      <c r="F83" s="630"/>
      <c r="G83" s="630"/>
      <c r="H83" s="631"/>
      <c r="I83" s="631"/>
      <c r="J83" s="631"/>
      <c r="K83" s="631"/>
      <c r="L83" s="632"/>
      <c r="M83" s="633"/>
      <c r="N83" s="1769"/>
      <c r="O83" s="1769"/>
      <c r="P83" s="1769"/>
      <c r="Q83" s="1770"/>
      <c r="R83" s="1771"/>
      <c r="S83" s="1771"/>
      <c r="T83" s="1771"/>
      <c r="U83" s="1771"/>
      <c r="V83" s="1771"/>
      <c r="W83" s="1771"/>
      <c r="X83" s="1771"/>
      <c r="Y83" s="1771"/>
      <c r="Z83" s="1771"/>
      <c r="AA83" s="1771"/>
      <c r="AB83" s="1771"/>
      <c r="AC83" s="1771"/>
    </row>
    <row r="84" spans="1:29" s="1133" customFormat="1" ht="15.75" thickBot="1">
      <c r="A84" s="629"/>
      <c r="B84" s="620"/>
      <c r="C84" s="634"/>
      <c r="D84" s="613"/>
      <c r="E84" s="613"/>
      <c r="F84" s="613"/>
      <c r="G84" s="613"/>
      <c r="H84" s="613"/>
      <c r="I84" s="613"/>
      <c r="J84" s="613"/>
      <c r="K84" s="613"/>
      <c r="L84" s="613"/>
      <c r="M84" s="614"/>
      <c r="N84" s="1768"/>
      <c r="O84" s="1768"/>
      <c r="P84" s="1769"/>
      <c r="Q84" s="1770"/>
      <c r="R84" s="1771"/>
      <c r="S84" s="1771"/>
      <c r="T84" s="1771"/>
      <c r="U84" s="1771"/>
      <c r="V84" s="1771"/>
      <c r="W84" s="1771"/>
      <c r="X84" s="1771"/>
      <c r="Y84" s="1771"/>
      <c r="Z84" s="1771"/>
      <c r="AA84" s="1771"/>
      <c r="AB84" s="1771"/>
      <c r="AC84" s="1771"/>
    </row>
    <row r="85" spans="1:29" s="1133" customFormat="1" ht="15.75" thickTop="1">
      <c r="A85" s="629"/>
      <c r="B85" s="615">
        <f>B15</f>
        <v>111</v>
      </c>
      <c r="C85" s="630"/>
      <c r="D85" s="630"/>
      <c r="E85" s="630"/>
      <c r="F85" s="630"/>
      <c r="G85" s="630"/>
      <c r="H85" s="631"/>
      <c r="I85" s="631"/>
      <c r="J85" s="631"/>
      <c r="K85" s="631"/>
      <c r="L85" s="632"/>
      <c r="M85" s="633"/>
      <c r="N85" s="1769"/>
      <c r="O85" s="1769"/>
      <c r="P85" s="1771"/>
      <c r="Q85" s="1772"/>
      <c r="R85" s="1771"/>
      <c r="S85" s="1771"/>
      <c r="T85" s="1771"/>
      <c r="U85" s="1771"/>
      <c r="V85" s="1771"/>
      <c r="W85" s="1771"/>
      <c r="X85" s="1771"/>
      <c r="Y85" s="1771"/>
      <c r="Z85" s="1771"/>
      <c r="AA85" s="1771"/>
      <c r="AB85" s="1771"/>
      <c r="AC85" s="1771"/>
    </row>
    <row r="86" spans="1:29" s="1133" customFormat="1" ht="15.75" thickBot="1">
      <c r="A86" s="629"/>
      <c r="B86" s="620"/>
      <c r="C86" s="634"/>
      <c r="D86" s="634"/>
      <c r="E86" s="634"/>
      <c r="F86" s="634"/>
      <c r="G86" s="634"/>
      <c r="H86" s="635"/>
      <c r="I86" s="635"/>
      <c r="J86" s="635"/>
      <c r="K86" s="635"/>
      <c r="L86" s="635"/>
      <c r="M86" s="636"/>
      <c r="N86" s="1769"/>
      <c r="O86" s="1769"/>
      <c r="P86" s="1769"/>
      <c r="Q86" s="1770"/>
      <c r="R86" s="1771"/>
      <c r="S86" s="1771"/>
      <c r="T86" s="1771"/>
      <c r="U86" s="1771"/>
      <c r="V86" s="1771"/>
      <c r="W86" s="1771"/>
      <c r="X86" s="1771"/>
      <c r="Y86" s="1771"/>
      <c r="Z86" s="1771"/>
      <c r="AA86" s="1771"/>
      <c r="AB86" s="1771"/>
      <c r="AC86" s="1771"/>
    </row>
    <row r="87" spans="1:29" s="1133" customFormat="1" ht="15.75" thickTop="1">
      <c r="A87" s="629"/>
      <c r="B87" s="623">
        <f>B16</f>
        <v>111</v>
      </c>
      <c r="C87" s="80"/>
      <c r="D87" s="80"/>
      <c r="E87" s="80"/>
      <c r="F87" s="80"/>
      <c r="G87" s="80"/>
      <c r="H87" s="637"/>
      <c r="I87" s="637"/>
      <c r="J87" s="637"/>
      <c r="K87" s="637"/>
      <c r="L87" s="638"/>
      <c r="M87" s="639"/>
      <c r="N87" s="1769"/>
      <c r="O87" s="1769"/>
      <c r="P87" s="1773"/>
      <c r="Q87" s="1770"/>
      <c r="R87" s="1771"/>
      <c r="S87" s="1771"/>
      <c r="T87" s="1771"/>
      <c r="U87" s="1771"/>
      <c r="V87" s="1771"/>
      <c r="W87" s="1771"/>
      <c r="X87" s="1771"/>
      <c r="Y87" s="1771"/>
      <c r="Z87" s="1771"/>
      <c r="AA87" s="1771"/>
      <c r="AB87" s="1771"/>
      <c r="AC87" s="1771"/>
    </row>
    <row r="88" spans="1:29" s="1133" customFormat="1" ht="15.75" thickBot="1">
      <c r="A88" s="640"/>
      <c r="B88" s="641"/>
      <c r="C88" s="642"/>
      <c r="D88" s="642"/>
      <c r="E88" s="642"/>
      <c r="F88" s="642"/>
      <c r="G88" s="642"/>
      <c r="H88" s="643"/>
      <c r="I88" s="643"/>
      <c r="J88" s="643"/>
      <c r="K88" s="643"/>
      <c r="L88" s="643"/>
      <c r="M88" s="644"/>
      <c r="N88" s="1769"/>
      <c r="O88" s="1769"/>
      <c r="P88" s="1769"/>
      <c r="Q88" s="1770"/>
      <c r="R88" s="1771"/>
      <c r="S88" s="1771"/>
      <c r="T88" s="1771"/>
      <c r="U88" s="1771"/>
      <c r="V88" s="1771"/>
      <c r="W88" s="1771"/>
      <c r="X88" s="1771"/>
      <c r="Y88" s="1771"/>
      <c r="Z88" s="1771"/>
      <c r="AA88" s="1771"/>
      <c r="AB88" s="1771"/>
      <c r="AC88" s="1771"/>
    </row>
    <row r="89" spans="1:29">
      <c r="A89" s="607" t="s">
        <v>488</v>
      </c>
      <c r="B89" s="608" t="s">
        <v>526</v>
      </c>
      <c r="C89" s="143" t="s">
        <v>527</v>
      </c>
      <c r="D89" s="143" t="s">
        <v>528</v>
      </c>
      <c r="E89" s="143" t="s">
        <v>529</v>
      </c>
      <c r="F89" s="143" t="s">
        <v>530</v>
      </c>
      <c r="G89" s="143" t="s">
        <v>531</v>
      </c>
      <c r="H89" s="645"/>
      <c r="I89" s="645"/>
      <c r="J89" s="645"/>
      <c r="K89" s="646"/>
      <c r="L89" s="647"/>
      <c r="M89" s="648"/>
      <c r="N89" s="1767"/>
      <c r="O89" s="1767"/>
      <c r="P89" s="1774"/>
      <c r="Q89" s="1763"/>
      <c r="R89" s="1742"/>
      <c r="S89" s="1742"/>
      <c r="T89" s="1742"/>
      <c r="U89" s="1742"/>
      <c r="V89" s="1742"/>
      <c r="W89" s="1742"/>
      <c r="X89" s="1742"/>
      <c r="Y89" s="1742"/>
      <c r="Z89" s="1742"/>
      <c r="AA89" s="1742"/>
      <c r="AB89" s="1742"/>
      <c r="AC89" s="1742"/>
    </row>
    <row r="90" spans="1:29" ht="15.75" thickBot="1">
      <c r="A90" s="482"/>
      <c r="B90" s="620"/>
      <c r="C90" s="621">
        <v>100</v>
      </c>
      <c r="D90" s="621">
        <f>C90-$K17</f>
        <v>100</v>
      </c>
      <c r="E90" s="621">
        <f>D90-$K17</f>
        <v>100</v>
      </c>
      <c r="F90" s="621">
        <f>E90-$K17</f>
        <v>100</v>
      </c>
      <c r="G90" s="621">
        <f>F90-$K17</f>
        <v>100</v>
      </c>
      <c r="H90" s="621"/>
      <c r="I90" s="621"/>
      <c r="J90" s="621"/>
      <c r="K90" s="621"/>
      <c r="L90" s="621"/>
      <c r="M90" s="622"/>
      <c r="N90" s="1768"/>
      <c r="O90" s="1768"/>
      <c r="P90" s="1766"/>
      <c r="Q90" s="1763"/>
      <c r="R90" s="1742"/>
      <c r="S90" s="1742"/>
      <c r="T90" s="1742"/>
      <c r="U90" s="1742"/>
      <c r="V90" s="1742"/>
      <c r="W90" s="1742"/>
      <c r="X90" s="1742"/>
      <c r="Y90" s="1742"/>
      <c r="Z90" s="1742"/>
      <c r="AA90" s="1742"/>
      <c r="AB90" s="1742"/>
      <c r="AC90" s="1742"/>
    </row>
    <row r="91" spans="1:29" ht="15.75" thickTop="1">
      <c r="A91" s="482"/>
      <c r="B91" s="615" t="s">
        <v>532</v>
      </c>
      <c r="C91" s="649" t="s">
        <v>527</v>
      </c>
      <c r="D91" s="649" t="s">
        <v>528</v>
      </c>
      <c r="E91" s="649" t="s">
        <v>529</v>
      </c>
      <c r="F91" s="649" t="s">
        <v>530</v>
      </c>
      <c r="G91" s="649" t="s">
        <v>531</v>
      </c>
      <c r="H91" s="616"/>
      <c r="I91" s="616"/>
      <c r="J91" s="616"/>
      <c r="K91" s="617"/>
      <c r="L91" s="618"/>
      <c r="M91" s="619"/>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21">
        <v>100</v>
      </c>
      <c r="D92" s="621">
        <f>C92-$K19</f>
        <v>95</v>
      </c>
      <c r="E92" s="621">
        <f>D92-$K19</f>
        <v>90</v>
      </c>
      <c r="F92" s="621">
        <f>E92-$K19</f>
        <v>85</v>
      </c>
      <c r="G92" s="621">
        <f>F92-$K19</f>
        <v>80</v>
      </c>
      <c r="H92" s="621"/>
      <c r="I92" s="621"/>
      <c r="J92" s="621"/>
      <c r="K92" s="621"/>
      <c r="L92" s="621"/>
      <c r="M92" s="622"/>
      <c r="N92" s="1768"/>
      <c r="O92" s="1768"/>
      <c r="P92" s="1766"/>
      <c r="Q92" s="1763"/>
      <c r="R92" s="1742"/>
      <c r="S92" s="1742"/>
      <c r="T92" s="1742"/>
      <c r="U92" s="1742"/>
      <c r="V92" s="1742"/>
      <c r="W92" s="1742"/>
      <c r="X92" s="1742"/>
      <c r="Y92" s="1742"/>
      <c r="Z92" s="1742"/>
      <c r="AA92" s="1742"/>
      <c r="AB92" s="1742"/>
      <c r="AC92" s="1742"/>
    </row>
    <row r="93" spans="1:29" ht="15.75" thickTop="1">
      <c r="A93" s="482"/>
      <c r="B93" s="615" t="s">
        <v>533</v>
      </c>
      <c r="C93" s="649" t="s">
        <v>527</v>
      </c>
      <c r="D93" s="649" t="s">
        <v>528</v>
      </c>
      <c r="E93" s="649" t="s">
        <v>529</v>
      </c>
      <c r="F93" s="649" t="s">
        <v>530</v>
      </c>
      <c r="G93" s="649" t="s">
        <v>531</v>
      </c>
      <c r="H93" s="616"/>
      <c r="I93" s="616"/>
      <c r="J93" s="616"/>
      <c r="K93" s="617"/>
      <c r="L93" s="618"/>
      <c r="M93" s="619"/>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8"/>
      <c r="O94" s="1768"/>
      <c r="P94" s="1766"/>
      <c r="Q94" s="1763"/>
      <c r="R94" s="1742"/>
      <c r="S94" s="1742"/>
      <c r="T94" s="1742"/>
      <c r="U94" s="1742"/>
      <c r="V94" s="1742"/>
      <c r="W94" s="1742"/>
      <c r="X94" s="1742"/>
      <c r="Y94" s="1742"/>
      <c r="Z94" s="1742"/>
      <c r="AA94" s="1742"/>
      <c r="AB94" s="1742"/>
      <c r="AC94" s="1742"/>
    </row>
    <row r="95" spans="1:29" ht="15.75" thickTop="1">
      <c r="A95" s="482"/>
      <c r="B95" s="615" t="s">
        <v>534</v>
      </c>
      <c r="C95" s="649" t="s">
        <v>527</v>
      </c>
      <c r="D95" s="649" t="s">
        <v>528</v>
      </c>
      <c r="E95" s="649" t="s">
        <v>529</v>
      </c>
      <c r="F95" s="649" t="s">
        <v>530</v>
      </c>
      <c r="G95" s="649" t="s">
        <v>531</v>
      </c>
      <c r="H95" s="616"/>
      <c r="I95" s="616"/>
      <c r="J95" s="616"/>
      <c r="K95" s="617"/>
      <c r="L95" s="618"/>
      <c r="M95" s="619"/>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C96-$K23</f>
        <v>97</v>
      </c>
      <c r="E96" s="621">
        <f>D96-$K23</f>
        <v>94</v>
      </c>
      <c r="F96" s="621">
        <f>E96-$K23</f>
        <v>91</v>
      </c>
      <c r="G96" s="621">
        <f>F96-$K23</f>
        <v>88</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s="1059" customFormat="1" ht="27.75" thickTop="1">
      <c r="A97" s="486"/>
      <c r="B97" s="615" t="s">
        <v>535</v>
      </c>
      <c r="C97" s="649" t="s">
        <v>527</v>
      </c>
      <c r="D97" s="649" t="s">
        <v>528</v>
      </c>
      <c r="E97" s="649" t="s">
        <v>529</v>
      </c>
      <c r="F97" s="649" t="s">
        <v>530</v>
      </c>
      <c r="G97" s="649" t="s">
        <v>531</v>
      </c>
      <c r="H97" s="649"/>
      <c r="I97" s="649"/>
      <c r="J97" s="649"/>
      <c r="K97" s="649"/>
      <c r="L97" s="650"/>
      <c r="M97" s="651"/>
      <c r="N97" s="1766"/>
      <c r="O97" s="1766"/>
      <c r="P97" s="1766"/>
      <c r="Q97" s="1763"/>
      <c r="R97" s="1640"/>
      <c r="S97" s="1640"/>
      <c r="T97" s="1640"/>
      <c r="U97" s="1640"/>
      <c r="V97" s="1640"/>
      <c r="W97" s="1640"/>
      <c r="X97" s="1640"/>
      <c r="Y97" s="1640"/>
      <c r="Z97" s="1640"/>
      <c r="AA97" s="1640"/>
      <c r="AB97" s="1640"/>
      <c r="AC97" s="1640"/>
    </row>
    <row r="98" spans="1:29" s="1059" customFormat="1" ht="15.75" thickBot="1">
      <c r="A98" s="486"/>
      <c r="B98" s="620"/>
      <c r="C98" s="652">
        <v>100</v>
      </c>
      <c r="D98" s="621">
        <f>C98-$K25</f>
        <v>98</v>
      </c>
      <c r="E98" s="621">
        <f>D98-$K25</f>
        <v>96</v>
      </c>
      <c r="F98" s="621">
        <f>E98-$K25</f>
        <v>94</v>
      </c>
      <c r="G98" s="621">
        <f>F98-$K25</f>
        <v>92</v>
      </c>
      <c r="H98" s="621"/>
      <c r="I98" s="621"/>
      <c r="J98" s="621"/>
      <c r="K98" s="621"/>
      <c r="L98" s="621"/>
      <c r="M98" s="622"/>
      <c r="N98" s="1768"/>
      <c r="O98" s="1768"/>
      <c r="P98" s="1766"/>
      <c r="Q98" s="1763"/>
      <c r="R98" s="1640"/>
      <c r="S98" s="1640"/>
      <c r="T98" s="1640"/>
      <c r="U98" s="1640"/>
      <c r="V98" s="1640"/>
      <c r="W98" s="1640"/>
      <c r="X98" s="1640"/>
      <c r="Y98" s="1640"/>
      <c r="Z98" s="1640"/>
      <c r="AA98" s="1640"/>
      <c r="AB98" s="1640"/>
      <c r="AC98" s="1640"/>
    </row>
    <row r="99" spans="1:29" s="1059" customFormat="1" ht="27.75" thickTop="1">
      <c r="A99" s="486"/>
      <c r="B99" s="615" t="s">
        <v>536</v>
      </c>
      <c r="C99" s="143" t="s">
        <v>527</v>
      </c>
      <c r="D99" s="143" t="s">
        <v>528</v>
      </c>
      <c r="E99" s="143" t="s">
        <v>529</v>
      </c>
      <c r="F99" s="143" t="s">
        <v>530</v>
      </c>
      <c r="G99" s="143" t="s">
        <v>531</v>
      </c>
      <c r="H99" s="649"/>
      <c r="I99" s="649"/>
      <c r="J99" s="649"/>
      <c r="K99" s="649"/>
      <c r="L99" s="649"/>
      <c r="M99" s="651"/>
      <c r="N99" s="1766"/>
      <c r="O99" s="1766"/>
      <c r="P99" s="1766"/>
      <c r="Q99" s="1763"/>
      <c r="R99" s="1640"/>
      <c r="S99" s="1640"/>
      <c r="T99" s="1640"/>
      <c r="U99" s="1640"/>
      <c r="V99" s="1640"/>
      <c r="W99" s="1640"/>
      <c r="X99" s="1640"/>
      <c r="Y99" s="1640"/>
      <c r="Z99" s="1640"/>
      <c r="AA99" s="1640"/>
      <c r="AB99" s="1640"/>
      <c r="AC99" s="1640"/>
    </row>
    <row r="100" spans="1:29" s="1059" customFormat="1" ht="15.75" thickBot="1">
      <c r="A100" s="486"/>
      <c r="B100" s="620"/>
      <c r="C100" s="621">
        <v>100</v>
      </c>
      <c r="D100" s="621">
        <f>C100-$K27</f>
        <v>97</v>
      </c>
      <c r="E100" s="621">
        <f>D100-$K27</f>
        <v>94</v>
      </c>
      <c r="F100" s="621">
        <f>E100-$K27</f>
        <v>91</v>
      </c>
      <c r="G100" s="621">
        <f>F100-$K27</f>
        <v>88</v>
      </c>
      <c r="H100" s="621"/>
      <c r="I100" s="621"/>
      <c r="J100" s="621"/>
      <c r="K100" s="621"/>
      <c r="L100" s="621"/>
      <c r="M100" s="622"/>
      <c r="N100" s="1768"/>
      <c r="O100" s="1768"/>
      <c r="P100" s="1766"/>
      <c r="Q100" s="1763"/>
      <c r="R100" s="1640"/>
      <c r="S100" s="1640"/>
      <c r="T100" s="1640"/>
      <c r="U100" s="1640"/>
      <c r="V100" s="1640"/>
      <c r="W100" s="1640"/>
      <c r="X100" s="1640"/>
      <c r="Y100" s="1640"/>
      <c r="Z100" s="1640"/>
      <c r="AA100" s="1640"/>
      <c r="AB100" s="1640"/>
      <c r="AC100" s="1640"/>
    </row>
    <row r="101" spans="1:29" s="1133" customFormat="1" ht="15.75" thickTop="1">
      <c r="A101" s="629"/>
      <c r="B101" s="1555" t="s">
        <v>1831</v>
      </c>
      <c r="C101" s="143" t="s">
        <v>527</v>
      </c>
      <c r="D101" s="143" t="s">
        <v>528</v>
      </c>
      <c r="E101" s="143" t="s">
        <v>529</v>
      </c>
      <c r="F101" s="143" t="s">
        <v>530</v>
      </c>
      <c r="G101" s="143" t="s">
        <v>531</v>
      </c>
      <c r="H101" s="653"/>
      <c r="I101" s="653"/>
      <c r="J101" s="653"/>
      <c r="K101" s="653"/>
      <c r="L101" s="654"/>
      <c r="M101" s="655"/>
      <c r="N101" s="1769"/>
      <c r="O101" s="1769"/>
      <c r="P101" s="1769"/>
      <c r="Q101" s="1770"/>
      <c r="R101" s="1771"/>
      <c r="S101" s="1771"/>
      <c r="T101" s="1771"/>
      <c r="U101" s="1771"/>
      <c r="V101" s="1771"/>
      <c r="W101" s="1771"/>
      <c r="X101" s="1771"/>
      <c r="Y101" s="1771"/>
      <c r="Z101" s="1771"/>
      <c r="AA101" s="1771"/>
      <c r="AB101" s="1771"/>
      <c r="AC101" s="1771"/>
    </row>
    <row r="102" spans="1:29" s="1133" customFormat="1" ht="15.75" thickBot="1">
      <c r="A102" s="629"/>
      <c r="B102" s="620"/>
      <c r="C102" s="621">
        <v>100</v>
      </c>
      <c r="D102" s="621">
        <f>C102-$K29</f>
        <v>100</v>
      </c>
      <c r="E102" s="621">
        <f>D102-$K29</f>
        <v>100</v>
      </c>
      <c r="F102" s="621">
        <f>E102-$K29</f>
        <v>100</v>
      </c>
      <c r="G102" s="621">
        <f>F102-$K29</f>
        <v>100</v>
      </c>
      <c r="H102" s="656"/>
      <c r="I102" s="656"/>
      <c r="J102" s="656"/>
      <c r="K102" s="656"/>
      <c r="L102" s="656"/>
      <c r="M102" s="657"/>
      <c r="N102" s="1769"/>
      <c r="O102" s="1769"/>
      <c r="P102" s="1769"/>
      <c r="Q102" s="1770"/>
      <c r="R102" s="1771"/>
      <c r="S102" s="1771"/>
      <c r="T102" s="1771"/>
      <c r="U102" s="1771"/>
      <c r="V102" s="1771"/>
      <c r="W102" s="1771"/>
      <c r="X102" s="1771"/>
      <c r="Y102" s="1771"/>
      <c r="Z102" s="1771"/>
      <c r="AA102" s="1771"/>
      <c r="AB102" s="1771"/>
      <c r="AC102" s="1771"/>
    </row>
    <row r="103" spans="1:29" s="1133" customFormat="1" ht="15.75" thickTop="1">
      <c r="A103" s="629"/>
      <c r="B103" s="2056" t="s">
        <v>1833</v>
      </c>
      <c r="C103" s="2057" t="s">
        <v>1834</v>
      </c>
      <c r="D103" s="2057" t="s">
        <v>1835</v>
      </c>
      <c r="E103" s="2057" t="s">
        <v>1836</v>
      </c>
      <c r="F103" s="2057" t="s">
        <v>1837</v>
      </c>
      <c r="G103" s="2057" t="s">
        <v>1838</v>
      </c>
      <c r="H103" s="653"/>
      <c r="I103" s="653"/>
      <c r="J103" s="653"/>
      <c r="K103" s="653"/>
      <c r="L103" s="653"/>
      <c r="M103" s="655"/>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3"/>
      <c r="C104" s="621">
        <v>100</v>
      </c>
      <c r="D104" s="621">
        <f>C104-$K31</f>
        <v>99</v>
      </c>
      <c r="E104" s="621">
        <f>D104-$K31</f>
        <v>98</v>
      </c>
      <c r="F104" s="621">
        <f>E104-$K31</f>
        <v>97</v>
      </c>
      <c r="G104" s="621">
        <f>F104-$K31</f>
        <v>96</v>
      </c>
      <c r="H104" s="625"/>
      <c r="I104" s="625"/>
      <c r="J104" s="625"/>
      <c r="K104" s="625"/>
      <c r="L104" s="625"/>
      <c r="M104" s="2049"/>
      <c r="N104" s="1769"/>
      <c r="O104" s="1769"/>
      <c r="P104" s="1769"/>
      <c r="Q104" s="1770"/>
      <c r="R104" s="1771"/>
      <c r="S104" s="1771"/>
      <c r="T104" s="1771"/>
      <c r="U104" s="1771"/>
      <c r="V104" s="1771"/>
      <c r="W104" s="1771"/>
      <c r="X104" s="1771"/>
      <c r="Y104" s="1771"/>
      <c r="Z104" s="1771"/>
      <c r="AA104" s="1771"/>
      <c r="AB104" s="1771"/>
      <c r="AC104" s="1771"/>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37">C106-$K33</f>
        <v>100</v>
      </c>
      <c r="E106" s="621">
        <f t="shared" si="37"/>
        <v>100</v>
      </c>
      <c r="F106" s="621">
        <f t="shared" si="37"/>
        <v>100</v>
      </c>
      <c r="G106" s="621">
        <f t="shared" si="37"/>
        <v>100</v>
      </c>
      <c r="H106" s="621">
        <f t="shared" si="37"/>
        <v>100</v>
      </c>
      <c r="I106" s="621">
        <f t="shared" si="37"/>
        <v>100</v>
      </c>
      <c r="J106" s="621">
        <f t="shared" si="37"/>
        <v>100</v>
      </c>
      <c r="K106" s="621">
        <f t="shared" si="37"/>
        <v>100</v>
      </c>
      <c r="L106" s="621">
        <f t="shared" si="37"/>
        <v>100</v>
      </c>
      <c r="M106" s="621">
        <f t="shared" si="37"/>
        <v>100</v>
      </c>
      <c r="N106" s="1768"/>
      <c r="O106" s="1768"/>
      <c r="P106" s="1766"/>
      <c r="Q106" s="1763"/>
      <c r="R106" s="1742"/>
      <c r="S106" s="1742"/>
      <c r="T106" s="1742"/>
      <c r="U106" s="1742"/>
      <c r="V106" s="1742"/>
      <c r="W106" s="1742"/>
      <c r="X106" s="1742"/>
      <c r="Y106" s="1742"/>
      <c r="Z106" s="1742"/>
      <c r="AA106" s="1742"/>
      <c r="AB106" s="1742"/>
      <c r="AC106" s="1742"/>
    </row>
    <row r="107" spans="1:29" ht="27.75" thickTop="1">
      <c r="A107" s="482"/>
      <c r="B107" s="615" t="s">
        <v>497</v>
      </c>
      <c r="C107" s="3406" t="s">
        <v>3376</v>
      </c>
      <c r="D107" s="3406" t="s">
        <v>3377</v>
      </c>
      <c r="E107" s="3406" t="s">
        <v>3378</v>
      </c>
      <c r="F107" s="3406" t="s">
        <v>3379</v>
      </c>
      <c r="G107" s="3406" t="s">
        <v>3380</v>
      </c>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38">C108-$K34</f>
        <v>100</v>
      </c>
      <c r="E108" s="621">
        <f t="shared" si="38"/>
        <v>100</v>
      </c>
      <c r="F108" s="621">
        <f t="shared" si="38"/>
        <v>100</v>
      </c>
      <c r="G108" s="621">
        <f t="shared" si="38"/>
        <v>100</v>
      </c>
      <c r="H108" s="621">
        <f t="shared" si="38"/>
        <v>100</v>
      </c>
      <c r="I108" s="621">
        <f t="shared" si="38"/>
        <v>100</v>
      </c>
      <c r="J108" s="621">
        <f t="shared" si="38"/>
        <v>100</v>
      </c>
      <c r="K108" s="621">
        <f t="shared" si="38"/>
        <v>100</v>
      </c>
      <c r="L108" s="621">
        <f t="shared" si="38"/>
        <v>100</v>
      </c>
      <c r="M108" s="621">
        <f t="shared" si="38"/>
        <v>100</v>
      </c>
      <c r="N108" s="1768"/>
      <c r="O108" s="1768"/>
      <c r="P108" s="1766"/>
      <c r="Q108" s="1763"/>
      <c r="R108" s="1742"/>
      <c r="S108" s="1742"/>
      <c r="T108" s="1742"/>
      <c r="U108" s="1742"/>
      <c r="V108" s="1742"/>
      <c r="W108" s="1742"/>
      <c r="X108" s="1742"/>
      <c r="Y108" s="1742"/>
      <c r="Z108" s="1742"/>
      <c r="AA108" s="1742"/>
      <c r="AB108" s="1742"/>
      <c r="AC108" s="1742"/>
    </row>
    <row r="109" spans="1:29" ht="15.75" thickTop="1">
      <c r="A109" s="482"/>
      <c r="B109" s="615" t="s">
        <v>498</v>
      </c>
      <c r="C109" s="658"/>
      <c r="D109" s="658"/>
      <c r="E109" s="658"/>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39">C110-$K36</f>
        <v>100</v>
      </c>
      <c r="E110" s="621">
        <f t="shared" si="39"/>
        <v>100</v>
      </c>
      <c r="F110" s="621">
        <f t="shared" si="39"/>
        <v>100</v>
      </c>
      <c r="G110" s="621">
        <f t="shared" si="39"/>
        <v>100</v>
      </c>
      <c r="H110" s="621">
        <f t="shared" si="39"/>
        <v>100</v>
      </c>
      <c r="I110" s="621">
        <f t="shared" si="39"/>
        <v>100</v>
      </c>
      <c r="J110" s="621">
        <f t="shared" si="39"/>
        <v>100</v>
      </c>
      <c r="K110" s="621">
        <f t="shared" si="39"/>
        <v>100</v>
      </c>
      <c r="L110" s="621">
        <f t="shared" si="39"/>
        <v>100</v>
      </c>
      <c r="M110" s="621">
        <f t="shared" si="39"/>
        <v>100</v>
      </c>
      <c r="N110" s="1768"/>
      <c r="O110" s="1768"/>
      <c r="P110" s="1766"/>
      <c r="Q110" s="1763"/>
      <c r="R110" s="1742"/>
      <c r="S110" s="1742"/>
      <c r="T110" s="1742"/>
      <c r="U110" s="1742"/>
      <c r="V110" s="1742"/>
      <c r="W110" s="1742"/>
      <c r="X110" s="1742"/>
      <c r="Y110" s="1742"/>
      <c r="Z110" s="1742"/>
      <c r="AA110" s="1742"/>
      <c r="AB110" s="1742"/>
      <c r="AC110" s="1742"/>
    </row>
    <row r="111" spans="1:29" ht="15.75" thickTop="1">
      <c r="A111" s="482"/>
      <c r="B111" s="623">
        <f>B37</f>
        <v>111</v>
      </c>
      <c r="C111" s="630"/>
      <c r="D111" s="630"/>
      <c r="E111" s="630"/>
      <c r="F111" s="630"/>
      <c r="G111" s="662"/>
      <c r="H111" s="662"/>
      <c r="I111" s="662"/>
      <c r="J111" s="662"/>
      <c r="K111" s="663"/>
      <c r="L111" s="664"/>
      <c r="M111" s="665"/>
      <c r="N111" s="1767"/>
      <c r="O111" s="1767"/>
      <c r="P111" s="1766"/>
      <c r="Q111" s="1763"/>
      <c r="R111" s="1742"/>
      <c r="S111" s="1742"/>
      <c r="T111" s="1742"/>
      <c r="U111" s="1742"/>
      <c r="V111" s="1742"/>
      <c r="W111" s="1742"/>
      <c r="X111" s="1742"/>
      <c r="Y111" s="1742"/>
      <c r="Z111" s="1742"/>
      <c r="AA111" s="1742"/>
      <c r="AB111" s="1742"/>
      <c r="AC111" s="1742"/>
    </row>
    <row r="112" spans="1:29" ht="15.75" thickBot="1">
      <c r="A112" s="482"/>
      <c r="B112" s="641"/>
      <c r="C112" s="634"/>
      <c r="D112" s="634"/>
      <c r="E112" s="634"/>
      <c r="F112" s="634"/>
      <c r="G112" s="666"/>
      <c r="H112" s="666"/>
      <c r="I112" s="666"/>
      <c r="J112" s="666"/>
      <c r="K112" s="666"/>
      <c r="L112" s="666"/>
      <c r="M112" s="667"/>
      <c r="N112" s="1768"/>
      <c r="O112" s="1768"/>
      <c r="P112" s="1766"/>
      <c r="Q112" s="1763"/>
      <c r="R112" s="1742"/>
      <c r="S112" s="1742"/>
      <c r="T112" s="1742"/>
      <c r="U112" s="1742"/>
      <c r="V112" s="1742"/>
      <c r="W112" s="1742"/>
      <c r="X112" s="1742"/>
      <c r="Y112" s="1742"/>
      <c r="Z112" s="1742"/>
      <c r="AA112" s="1742"/>
      <c r="AB112" s="1742"/>
      <c r="AC112" s="1742"/>
    </row>
    <row r="113" spans="1:29" ht="15" thickTop="1">
      <c r="A113" s="536"/>
      <c r="B113" s="615">
        <f>B38</f>
        <v>111</v>
      </c>
      <c r="C113" s="80"/>
      <c r="D113" s="80"/>
      <c r="E113" s="80"/>
      <c r="F113" s="80"/>
      <c r="G113" s="658"/>
      <c r="H113" s="658"/>
      <c r="I113" s="658"/>
      <c r="J113" s="658"/>
      <c r="K113" s="659"/>
      <c r="L113" s="660"/>
      <c r="M113" s="661"/>
      <c r="N113" s="1767"/>
      <c r="O113" s="1767"/>
      <c r="P113" s="1766"/>
      <c r="Q113" s="1763"/>
      <c r="R113" s="1742"/>
      <c r="S113" s="1742"/>
      <c r="T113" s="1742"/>
      <c r="U113" s="1742"/>
      <c r="V113" s="1742"/>
      <c r="W113" s="1742"/>
      <c r="X113" s="1742"/>
      <c r="Y113" s="1742"/>
      <c r="Z113" s="1742"/>
      <c r="AA113" s="1742"/>
      <c r="AB113" s="1742"/>
      <c r="AC113" s="1742"/>
    </row>
    <row r="114" spans="1:29" ht="15.75" thickBot="1">
      <c r="A114" s="482"/>
      <c r="B114" s="620"/>
      <c r="C114" s="642"/>
      <c r="D114" s="642"/>
      <c r="E114" s="642"/>
      <c r="F114" s="642"/>
      <c r="G114" s="613"/>
      <c r="H114" s="613"/>
      <c r="I114" s="613"/>
      <c r="J114" s="613"/>
      <c r="K114" s="613"/>
      <c r="L114" s="613"/>
      <c r="M114" s="614"/>
      <c r="N114" s="1768"/>
      <c r="O114" s="1768"/>
      <c r="P114" s="1766"/>
      <c r="Q114" s="1763"/>
      <c r="R114" s="1742"/>
      <c r="S114" s="1742"/>
      <c r="T114" s="1742"/>
      <c r="U114" s="1742"/>
      <c r="V114" s="1742"/>
      <c r="W114" s="1742"/>
      <c r="X114" s="1742"/>
      <c r="Y114" s="1742"/>
      <c r="Z114" s="1742"/>
      <c r="AA114" s="1742"/>
      <c r="AB114" s="1742"/>
      <c r="AC114" s="1742"/>
    </row>
    <row r="115" spans="1:29" s="1133" customFormat="1" ht="15" thickTop="1">
      <c r="A115" s="552"/>
      <c r="B115" s="668">
        <f>B39</f>
        <v>111</v>
      </c>
      <c r="C115" s="79"/>
      <c r="D115" s="79"/>
      <c r="E115" s="79"/>
      <c r="F115" s="79"/>
      <c r="G115" s="79"/>
      <c r="H115" s="79"/>
      <c r="I115" s="79"/>
      <c r="J115" s="669"/>
      <c r="K115" s="669"/>
      <c r="L115" s="670"/>
      <c r="M115" s="671"/>
      <c r="N115" s="1769"/>
      <c r="O115" s="1769"/>
      <c r="P115" s="1769"/>
      <c r="Q115" s="1770"/>
      <c r="R115" s="1771"/>
      <c r="S115" s="1771"/>
      <c r="T115" s="1771"/>
      <c r="U115" s="1771"/>
      <c r="V115" s="1771"/>
      <c r="W115" s="1771"/>
      <c r="X115" s="1771"/>
      <c r="Y115" s="1771"/>
      <c r="Z115" s="1771"/>
      <c r="AA115" s="1771"/>
      <c r="AB115" s="1771"/>
      <c r="AC115" s="1771"/>
    </row>
    <row r="116" spans="1:29" s="1133" customFormat="1" ht="15.75" thickBot="1">
      <c r="A116" s="629"/>
      <c r="B116" s="623"/>
      <c r="C116" s="596"/>
      <c r="D116" s="541"/>
      <c r="E116" s="541"/>
      <c r="F116" s="541"/>
      <c r="G116" s="541"/>
      <c r="H116" s="541"/>
      <c r="I116" s="541"/>
      <c r="J116" s="541"/>
      <c r="K116" s="541"/>
      <c r="L116" s="541"/>
      <c r="M116" s="672"/>
      <c r="N116" s="1768"/>
      <c r="O116" s="1768"/>
      <c r="P116" s="1769"/>
      <c r="Q116" s="1770"/>
      <c r="R116" s="1771"/>
      <c r="S116" s="1771"/>
      <c r="T116" s="1771"/>
      <c r="U116" s="1771"/>
      <c r="V116" s="1771"/>
      <c r="W116" s="1771"/>
      <c r="X116" s="1771"/>
      <c r="Y116" s="1771"/>
      <c r="Z116" s="1771"/>
      <c r="AA116" s="1771"/>
      <c r="AB116" s="1771"/>
      <c r="AC116" s="1771"/>
    </row>
    <row r="117" spans="1:29" ht="28.5">
      <c r="A117" s="607" t="s">
        <v>500</v>
      </c>
      <c r="B117" s="608" t="s">
        <v>541</v>
      </c>
      <c r="C117" s="645" t="str">
        <f t="shared" ref="C117:L117" si="40">C118&amp;"(含)"&amp;"-"&amp;D118</f>
        <v>0(含)-30000</v>
      </c>
      <c r="D117" s="645" t="str">
        <f t="shared" si="40"/>
        <v>30000(含)-60000</v>
      </c>
      <c r="E117" s="645" t="str">
        <f t="shared" si="40"/>
        <v>60000(含)-90000</v>
      </c>
      <c r="F117" s="645" t="str">
        <f t="shared" si="40"/>
        <v>90000(含)-120000</v>
      </c>
      <c r="G117" s="645" t="str">
        <f t="shared" si="40"/>
        <v>120000(含)-150000</v>
      </c>
      <c r="H117" s="645" t="str">
        <f t="shared" si="40"/>
        <v>150000(含)-</v>
      </c>
      <c r="I117" s="645" t="str">
        <f t="shared" si="40"/>
        <v>(含)-</v>
      </c>
      <c r="J117" s="2348" t="str">
        <f t="shared" si="40"/>
        <v>(含)-</v>
      </c>
      <c r="K117" s="2348" t="str">
        <f t="shared" si="40"/>
        <v>(含)-</v>
      </c>
      <c r="L117" s="2349" t="str">
        <f t="shared" si="40"/>
        <v>(含)-</v>
      </c>
      <c r="M117" s="145" t="str">
        <f>M118&amp;"(含)"&amp;"-"&amp;P118</f>
        <v>(含)-</v>
      </c>
      <c r="N117" s="1767"/>
      <c r="O117" s="1767"/>
      <c r="P117" s="1766"/>
      <c r="Q117" s="1763"/>
      <c r="R117" s="1742"/>
      <c r="S117" s="1742"/>
      <c r="T117" s="1742"/>
      <c r="U117" s="1742"/>
      <c r="V117" s="1742"/>
      <c r="W117" s="1742"/>
      <c r="X117" s="1742"/>
      <c r="Y117" s="1742"/>
      <c r="Z117" s="1742"/>
      <c r="AA117" s="1742"/>
      <c r="AB117" s="1742"/>
      <c r="AC117" s="1742"/>
    </row>
    <row r="118" spans="1:29" ht="15">
      <c r="A118" s="482"/>
      <c r="B118" s="623"/>
      <c r="C118" s="79">
        <v>0</v>
      </c>
      <c r="D118" s="79">
        <f>C118+30000</f>
        <v>30000</v>
      </c>
      <c r="E118" s="79">
        <f t="shared" ref="E118:H118" si="41">D118+30000</f>
        <v>60000</v>
      </c>
      <c r="F118" s="79">
        <f t="shared" si="41"/>
        <v>90000</v>
      </c>
      <c r="G118" s="79">
        <f t="shared" si="41"/>
        <v>120000</v>
      </c>
      <c r="H118" s="79">
        <f t="shared" si="41"/>
        <v>150000</v>
      </c>
      <c r="I118" s="79"/>
      <c r="J118" s="1930"/>
      <c r="K118" s="1930"/>
      <c r="L118" s="1931"/>
      <c r="M118" s="1932"/>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42">
        <v>100</v>
      </c>
      <c r="D119" s="666">
        <f>C119+3</f>
        <v>103</v>
      </c>
      <c r="E119" s="666">
        <f t="shared" ref="E119:H119" si="42">D119+3</f>
        <v>106</v>
      </c>
      <c r="F119" s="666">
        <f t="shared" si="42"/>
        <v>109</v>
      </c>
      <c r="G119" s="666">
        <f t="shared" si="42"/>
        <v>112</v>
      </c>
      <c r="H119" s="666">
        <f t="shared" si="42"/>
        <v>115</v>
      </c>
      <c r="I119" s="666"/>
      <c r="J119" s="666"/>
      <c r="K119" s="666"/>
      <c r="L119" s="666"/>
      <c r="M119" s="667"/>
      <c r="N119" s="1768"/>
      <c r="O119" s="1768"/>
      <c r="P119" s="1766"/>
      <c r="Q119" s="1763"/>
      <c r="R119" s="1742"/>
      <c r="S119" s="1742"/>
      <c r="T119" s="1742"/>
      <c r="U119" s="1742"/>
      <c r="V119" s="1742"/>
      <c r="W119" s="1742"/>
      <c r="X119" s="1742"/>
      <c r="Y119" s="1742"/>
      <c r="Z119" s="1742"/>
      <c r="AA119" s="1742"/>
      <c r="AB119" s="1742"/>
      <c r="AC119" s="1742"/>
    </row>
    <row r="120" spans="1:29" ht="15" thickTop="1">
      <c r="A120" s="543"/>
      <c r="B120" s="615" t="s">
        <v>542</v>
      </c>
      <c r="C120" s="3402" t="s">
        <v>3341</v>
      </c>
      <c r="D120" s="3402" t="s">
        <v>3342</v>
      </c>
      <c r="E120" s="3402" t="s">
        <v>3343</v>
      </c>
      <c r="F120" s="3402" t="s">
        <v>3344</v>
      </c>
      <c r="G120" s="658"/>
      <c r="H120" s="658"/>
      <c r="I120" s="658"/>
      <c r="J120" s="658"/>
      <c r="K120" s="659"/>
      <c r="L120" s="660"/>
      <c r="M120" s="661"/>
      <c r="N120" s="1767"/>
      <c r="O120" s="1767"/>
      <c r="P120" s="1766"/>
      <c r="Q120" s="1763"/>
      <c r="R120" s="1742"/>
      <c r="S120" s="1742"/>
      <c r="T120" s="1742"/>
      <c r="U120" s="1742"/>
      <c r="V120" s="1742"/>
      <c r="W120" s="1742"/>
      <c r="X120" s="1742"/>
      <c r="Y120" s="1742"/>
      <c r="Z120" s="1742"/>
      <c r="AA120" s="1742"/>
      <c r="AB120" s="1742"/>
      <c r="AC120" s="1742"/>
    </row>
    <row r="121" spans="1:29" ht="15.75" thickBot="1">
      <c r="A121" s="482"/>
      <c r="B121" s="620"/>
      <c r="C121" s="621">
        <v>100</v>
      </c>
      <c r="D121" s="621">
        <f t="shared" ref="D121:M121" si="43">C121-$K41</f>
        <v>100</v>
      </c>
      <c r="E121" s="621">
        <f t="shared" si="43"/>
        <v>100</v>
      </c>
      <c r="F121" s="621">
        <f t="shared" si="43"/>
        <v>100</v>
      </c>
      <c r="G121" s="621">
        <f t="shared" si="43"/>
        <v>100</v>
      </c>
      <c r="H121" s="621">
        <f t="shared" si="43"/>
        <v>100</v>
      </c>
      <c r="I121" s="621">
        <f t="shared" si="43"/>
        <v>100</v>
      </c>
      <c r="J121" s="621">
        <f t="shared" si="43"/>
        <v>100</v>
      </c>
      <c r="K121" s="621">
        <f t="shared" si="43"/>
        <v>100</v>
      </c>
      <c r="L121" s="621">
        <f t="shared" si="43"/>
        <v>100</v>
      </c>
      <c r="M121" s="622">
        <f t="shared" si="43"/>
        <v>100</v>
      </c>
      <c r="N121" s="1768"/>
      <c r="O121" s="1768"/>
      <c r="P121" s="1766"/>
      <c r="Q121" s="1763"/>
      <c r="R121" s="1742"/>
      <c r="S121" s="1742"/>
      <c r="T121" s="1742"/>
      <c r="U121" s="1742"/>
      <c r="V121" s="1742"/>
      <c r="W121" s="1742"/>
      <c r="X121" s="1742"/>
      <c r="Y121" s="1742"/>
      <c r="Z121" s="1742"/>
      <c r="AA121" s="1742"/>
      <c r="AB121" s="1742"/>
      <c r="AC121" s="1742"/>
    </row>
    <row r="122" spans="1:29" ht="15" thickTop="1">
      <c r="A122" s="543"/>
      <c r="B122" s="615" t="s">
        <v>543</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44">C123-$K42</f>
        <v>100</v>
      </c>
      <c r="E123" s="621">
        <f t="shared" si="44"/>
        <v>100</v>
      </c>
      <c r="F123" s="621">
        <f t="shared" si="44"/>
        <v>100</v>
      </c>
      <c r="G123" s="621">
        <f t="shared" si="44"/>
        <v>100</v>
      </c>
      <c r="H123" s="621">
        <f t="shared" si="44"/>
        <v>100</v>
      </c>
      <c r="I123" s="621">
        <f t="shared" si="44"/>
        <v>100</v>
      </c>
      <c r="J123" s="621">
        <f t="shared" si="44"/>
        <v>100</v>
      </c>
      <c r="K123" s="621">
        <f t="shared" si="44"/>
        <v>100</v>
      </c>
      <c r="L123" s="621">
        <f t="shared" si="44"/>
        <v>100</v>
      </c>
      <c r="M123" s="622">
        <f t="shared" si="44"/>
        <v>100</v>
      </c>
      <c r="N123" s="1768"/>
      <c r="O123" s="1768"/>
      <c r="P123" s="1766"/>
      <c r="Q123" s="1763"/>
      <c r="R123" s="1742"/>
      <c r="S123" s="1742"/>
      <c r="T123" s="1742"/>
      <c r="U123" s="1742"/>
      <c r="V123" s="1742"/>
      <c r="W123" s="1742"/>
      <c r="X123" s="1742"/>
      <c r="Y123" s="1742"/>
      <c r="Z123" s="1742"/>
      <c r="AA123" s="1742"/>
      <c r="AB123" s="1742"/>
      <c r="AC123" s="1742"/>
    </row>
    <row r="124" spans="1:29" s="1133" customFormat="1" ht="15" thickTop="1">
      <c r="A124" s="552"/>
      <c r="B124" s="1555" t="s">
        <v>1777</v>
      </c>
      <c r="C124" s="3406" t="s">
        <v>3386</v>
      </c>
      <c r="D124" s="3406" t="s">
        <v>3361</v>
      </c>
      <c r="E124" s="3406" t="s">
        <v>3387</v>
      </c>
      <c r="F124" s="3406" t="s">
        <v>3388</v>
      </c>
      <c r="G124" s="3406" t="s">
        <v>3389</v>
      </c>
      <c r="H124" s="658"/>
      <c r="I124" s="658"/>
      <c r="J124" s="658"/>
      <c r="K124" s="659"/>
      <c r="L124" s="660"/>
      <c r="M124" s="661"/>
      <c r="N124" s="1769"/>
      <c r="O124" s="1769"/>
      <c r="P124" s="1769"/>
      <c r="Q124" s="1770"/>
      <c r="R124" s="1771"/>
      <c r="S124" s="1771"/>
      <c r="T124" s="1771"/>
      <c r="U124" s="1771"/>
      <c r="V124" s="1771"/>
      <c r="W124" s="1771"/>
      <c r="X124" s="1771"/>
      <c r="Y124" s="1771"/>
      <c r="Z124" s="1771"/>
      <c r="AA124" s="1771"/>
      <c r="AB124" s="1771"/>
      <c r="AC124" s="1771"/>
    </row>
    <row r="125" spans="1:29" s="1133" customFormat="1" ht="15.75" thickBot="1">
      <c r="A125" s="629"/>
      <c r="B125" s="620"/>
      <c r="C125" s="621">
        <v>100</v>
      </c>
      <c r="D125" s="621">
        <f t="shared" ref="D125:M125" si="45">C125-$K43</f>
        <v>99</v>
      </c>
      <c r="E125" s="621">
        <f t="shared" si="45"/>
        <v>98</v>
      </c>
      <c r="F125" s="621">
        <f t="shared" si="45"/>
        <v>97</v>
      </c>
      <c r="G125" s="621">
        <f t="shared" si="45"/>
        <v>96</v>
      </c>
      <c r="H125" s="621">
        <f t="shared" si="45"/>
        <v>95</v>
      </c>
      <c r="I125" s="621">
        <f t="shared" si="45"/>
        <v>94</v>
      </c>
      <c r="J125" s="621">
        <f t="shared" si="45"/>
        <v>93</v>
      </c>
      <c r="K125" s="621">
        <f t="shared" si="45"/>
        <v>92</v>
      </c>
      <c r="L125" s="621">
        <f t="shared" si="45"/>
        <v>91</v>
      </c>
      <c r="M125" s="622">
        <f t="shared" si="45"/>
        <v>90</v>
      </c>
      <c r="N125" s="1769"/>
      <c r="O125" s="1769"/>
      <c r="P125" s="1769"/>
      <c r="Q125" s="1770"/>
      <c r="R125" s="1771"/>
      <c r="S125" s="1771"/>
      <c r="T125" s="1771"/>
      <c r="U125" s="1771"/>
      <c r="V125" s="1771"/>
      <c r="W125" s="1771"/>
      <c r="X125" s="1771"/>
      <c r="Y125" s="1771"/>
      <c r="Z125" s="1771"/>
      <c r="AA125" s="1771"/>
      <c r="AB125" s="1771"/>
      <c r="AC125" s="1771"/>
    </row>
    <row r="126" spans="1:29" ht="15" thickTop="1">
      <c r="A126" s="543"/>
      <c r="B126" s="615" t="s">
        <v>544</v>
      </c>
      <c r="C126" s="3406" t="s">
        <v>3381</v>
      </c>
      <c r="D126" s="3406" t="s">
        <v>3382</v>
      </c>
      <c r="E126" s="3402" t="s">
        <v>3383</v>
      </c>
      <c r="F126" s="3402" t="s">
        <v>3384</v>
      </c>
      <c r="G126" s="3402" t="s">
        <v>3385</v>
      </c>
      <c r="H126" s="658"/>
      <c r="I126" s="658"/>
      <c r="J126" s="658"/>
      <c r="K126" s="659"/>
      <c r="L126" s="660"/>
      <c r="M126" s="661"/>
      <c r="N126" s="1767"/>
      <c r="O126" s="1767"/>
      <c r="P126" s="1766"/>
      <c r="Q126" s="1763"/>
      <c r="R126" s="1742"/>
      <c r="S126" s="1742"/>
      <c r="T126" s="1742"/>
      <c r="U126" s="1742"/>
      <c r="V126" s="1742"/>
      <c r="W126" s="1742"/>
      <c r="X126" s="1742"/>
      <c r="Y126" s="1742"/>
      <c r="Z126" s="1742"/>
      <c r="AA126" s="1742"/>
      <c r="AB126" s="1742"/>
      <c r="AC126" s="1742"/>
    </row>
    <row r="127" spans="1:29" ht="15.75" thickBot="1">
      <c r="A127" s="482"/>
      <c r="B127" s="620"/>
      <c r="C127" s="621">
        <v>100</v>
      </c>
      <c r="D127" s="621">
        <f t="shared" ref="D127:M127" si="46">C127-$K44</f>
        <v>98</v>
      </c>
      <c r="E127" s="621">
        <f t="shared" si="46"/>
        <v>96</v>
      </c>
      <c r="F127" s="621">
        <f t="shared" si="46"/>
        <v>94</v>
      </c>
      <c r="G127" s="621">
        <f t="shared" si="46"/>
        <v>92</v>
      </c>
      <c r="H127" s="621">
        <f t="shared" si="46"/>
        <v>90</v>
      </c>
      <c r="I127" s="621">
        <f t="shared" si="46"/>
        <v>88</v>
      </c>
      <c r="J127" s="621">
        <f t="shared" si="46"/>
        <v>86</v>
      </c>
      <c r="K127" s="621">
        <f t="shared" si="46"/>
        <v>84</v>
      </c>
      <c r="L127" s="621">
        <f t="shared" si="46"/>
        <v>82</v>
      </c>
      <c r="M127" s="622">
        <f t="shared" si="46"/>
        <v>80</v>
      </c>
      <c r="N127" s="1768"/>
      <c r="O127" s="1768"/>
      <c r="P127" s="1766"/>
      <c r="Q127" s="1763"/>
      <c r="R127" s="1742"/>
      <c r="S127" s="1742"/>
      <c r="T127" s="1742"/>
      <c r="U127" s="1742"/>
      <c r="V127" s="1742"/>
      <c r="W127" s="1742"/>
      <c r="X127" s="1742"/>
      <c r="Y127" s="1742"/>
      <c r="Z127" s="1742"/>
      <c r="AA127" s="1742"/>
      <c r="AB127" s="1742"/>
      <c r="AC127" s="1742"/>
    </row>
    <row r="128" spans="1:29" ht="15" thickTop="1">
      <c r="A128" s="543"/>
      <c r="B128" s="615">
        <f>B45</f>
        <v>111</v>
      </c>
      <c r="C128" s="630"/>
      <c r="D128" s="630"/>
      <c r="E128" s="630"/>
      <c r="F128" s="630"/>
      <c r="G128" s="630"/>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15">
        <f>B46</f>
        <v>111</v>
      </c>
      <c r="C130" s="80"/>
      <c r="D130" s="80"/>
      <c r="E130" s="80"/>
      <c r="F130" s="80"/>
      <c r="G130" s="658"/>
      <c r="H130" s="658"/>
      <c r="I130" s="658"/>
      <c r="J130" s="658"/>
      <c r="K130" s="659"/>
      <c r="L130" s="660"/>
      <c r="M130" s="661"/>
      <c r="N130" s="1767"/>
      <c r="O130" s="1767"/>
      <c r="P130" s="1766"/>
      <c r="Q130" s="1763"/>
      <c r="R130" s="1742"/>
      <c r="S130" s="1742"/>
      <c r="T130" s="1742"/>
      <c r="U130" s="1742"/>
      <c r="V130" s="1742"/>
      <c r="W130" s="1742"/>
      <c r="X130" s="1742"/>
      <c r="Y130" s="1742"/>
      <c r="Z130" s="1742"/>
      <c r="AA130" s="1742"/>
      <c r="AB130" s="1742"/>
      <c r="AC130" s="1742"/>
    </row>
    <row r="131" spans="1:29" ht="15.75" thickBot="1">
      <c r="A131" s="482"/>
      <c r="B131" s="620"/>
      <c r="C131" s="642"/>
      <c r="D131" s="642"/>
      <c r="E131" s="642"/>
      <c r="F131" s="642"/>
      <c r="G131" s="613"/>
      <c r="H131" s="613"/>
      <c r="I131" s="613"/>
      <c r="J131" s="613"/>
      <c r="K131" s="613"/>
      <c r="L131" s="613"/>
      <c r="M131" s="614"/>
      <c r="N131" s="1768"/>
      <c r="O131" s="1768"/>
      <c r="P131" s="1766"/>
      <c r="Q131" s="1763"/>
      <c r="R131" s="1742"/>
      <c r="S131" s="1742"/>
      <c r="T131" s="1742"/>
      <c r="U131" s="1742"/>
      <c r="V131" s="1742"/>
      <c r="W131" s="1742"/>
      <c r="X131" s="1742"/>
      <c r="Y131" s="1742"/>
      <c r="Z131" s="1742"/>
      <c r="AA131" s="1742"/>
      <c r="AB131" s="1742"/>
      <c r="AC131" s="1742"/>
    </row>
    <row r="132" spans="1:29" s="1133" customFormat="1" ht="15" thickTop="1">
      <c r="A132" s="552"/>
      <c r="B132" s="615">
        <f>B47</f>
        <v>111</v>
      </c>
      <c r="C132" s="80"/>
      <c r="D132" s="80"/>
      <c r="E132" s="80"/>
      <c r="F132" s="80"/>
      <c r="G132" s="631"/>
      <c r="H132" s="631"/>
      <c r="I132" s="631"/>
      <c r="J132" s="631"/>
      <c r="K132" s="631"/>
      <c r="L132" s="632"/>
      <c r="M132" s="633"/>
      <c r="N132" s="1769"/>
      <c r="O132" s="1769"/>
      <c r="P132" s="1769"/>
      <c r="Q132" s="1770"/>
      <c r="R132" s="1771"/>
      <c r="S132" s="1771"/>
      <c r="T132" s="1771"/>
      <c r="U132" s="1771"/>
      <c r="V132" s="1771"/>
      <c r="W132" s="1771"/>
      <c r="X132" s="1771"/>
      <c r="Y132" s="1771"/>
      <c r="Z132" s="1771"/>
      <c r="AA132" s="1771"/>
      <c r="AB132" s="1771"/>
      <c r="AC132" s="1771"/>
    </row>
    <row r="133" spans="1:29" s="1133" customFormat="1" ht="15.75" thickBot="1">
      <c r="A133" s="640"/>
      <c r="B133" s="673"/>
      <c r="C133" s="642"/>
      <c r="D133" s="642"/>
      <c r="E133" s="642"/>
      <c r="F133" s="642"/>
      <c r="G133" s="666"/>
      <c r="H133" s="666"/>
      <c r="I133" s="666"/>
      <c r="J133" s="666"/>
      <c r="K133" s="666"/>
      <c r="L133" s="666"/>
      <c r="M133" s="667"/>
      <c r="N133" s="1769"/>
      <c r="O133" s="1769"/>
      <c r="P133" s="1769"/>
      <c r="Q133" s="1770"/>
      <c r="R133" s="1771"/>
      <c r="S133" s="1771"/>
      <c r="T133" s="1771"/>
      <c r="U133" s="1771"/>
      <c r="V133" s="1771"/>
      <c r="W133" s="1771"/>
      <c r="X133" s="1771"/>
      <c r="Y133" s="1771"/>
      <c r="Z133" s="1771"/>
      <c r="AA133" s="1771"/>
      <c r="AB133" s="1771"/>
      <c r="AC133" s="1771"/>
    </row>
    <row r="134" spans="1:29" s="1320" customFormat="1">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s="1320" customFormat="1">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s="1320" customFormat="1">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s="1320" customFormat="1">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s="1320" customFormat="1">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s="1320" customFormat="1">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s="1320" customFormat="1">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s="1320" customFormat="1">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s="1320" customFormat="1">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s="1320" customFormat="1">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s="1320" customFormat="1">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s="1320" customFormat="1">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s="1320" customFormat="1">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s="1320" customFormat="1">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s="1320" customFormat="1">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s="1320" customFormat="1">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s="1320" customFormat="1">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s="1320" customFormat="1">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s="1320" customFormat="1">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s="1320" customFormat="1">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s="1320" customFormat="1">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s="1320" customFormat="1">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s="1320" customFormat="1">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s="1320" customFormat="1">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s="1320" customFormat="1">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s="1320" customFormat="1">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s="1320" customFormat="1">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s="1320" customFormat="1">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s="1320" customFormat="1">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s="1320" customFormat="1">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s="1320" customFormat="1">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s="1320" customFormat="1">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s="1320" customFormat="1">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s="1320" customFormat="1">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s="1320" customFormat="1">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s="1320" customFormat="1">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s="1320" customFormat="1">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s="1320" customFormat="1">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s="1320" customFormat="1">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s="1320" customFormat="1">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s="1320" customFormat="1">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s="1320" customFormat="1">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s="1320" customFormat="1">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s="1320" customFormat="1">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s="1320" customFormat="1">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s="1320" customFormat="1">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s="1320" customFormat="1">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s="1320" customFormat="1">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s="1320" customFormat="1">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s="1320" customFormat="1">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s="1320" customFormat="1">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s="1320" customFormat="1">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s="1320" customFormat="1">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s="1320" customFormat="1">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s="1320" customFormat="1">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s="1320" customFormat="1">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s="1320" customFormat="1">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s="1320" customFormat="1">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s="1320" customFormat="1">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s="1320" customFormat="1">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s="1320" customFormat="1">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s="1320" customFormat="1">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s="1320" customFormat="1">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s="1320" customFormat="1">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s="1320" customFormat="1">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s="1320" customFormat="1">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s="1320" customFormat="1">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s="1320" customFormat="1">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s="1320" customFormat="1">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s="1320" customFormat="1">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s="1320" customFormat="1">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s="1320" customFormat="1">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s="1320" customFormat="1">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s="1320" customFormat="1">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s="1320" customFormat="1">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s="1320" customFormat="1">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s="1320" customFormat="1">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s="1320" customFormat="1">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s="1320" customFormat="1">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s="1320" customFormat="1">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s="1320" customFormat="1">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s="1320" customFormat="1">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s="1320" customFormat="1">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s="1320" customFormat="1">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s="1320" customFormat="1">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s="1320" customFormat="1">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s="1320" customFormat="1">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s="1320" customFormat="1">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s="1320" customFormat="1">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s="1320" customFormat="1">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s="1320" customFormat="1">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s="1320" customFormat="1">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s="1320" customFormat="1">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s="1320" customFormat="1">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s="1320" customFormat="1">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s="1320" customFormat="1">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s="1320" customFormat="1">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s="1320" customFormat="1">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s="1320" customFormat="1">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s="1320" customFormat="1">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s="1320" customFormat="1">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s="1320" customFormat="1">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s="1320" customFormat="1">
      <c r="A236" s="1775"/>
      <c r="B236" s="1775"/>
      <c r="C236" s="1775"/>
      <c r="D236" s="1775"/>
      <c r="E236" s="1775"/>
      <c r="F236" s="1775"/>
      <c r="G236" s="1775"/>
      <c r="H236" s="1775"/>
      <c r="I236" s="1775"/>
      <c r="J236" s="1775"/>
      <c r="K236" s="1776"/>
      <c r="L236" s="1777"/>
      <c r="M236" s="1775"/>
      <c r="N236" s="1775"/>
      <c r="O236" s="1775"/>
      <c r="P236" s="1775"/>
      <c r="Q236" s="1775"/>
      <c r="R236" s="1775"/>
      <c r="S236" s="1775"/>
      <c r="T236" s="1775"/>
      <c r="U236" s="1775"/>
      <c r="V236" s="1775"/>
      <c r="W236" s="1775"/>
      <c r="X236" s="1775"/>
      <c r="Y236" s="1775"/>
      <c r="Z236" s="1775"/>
      <c r="AA236" s="1775"/>
      <c r="AB236" s="1775"/>
      <c r="AC236" s="1775"/>
    </row>
    <row r="237" spans="1:29" s="1320" customFormat="1">
      <c r="A237" s="1775"/>
      <c r="B237" s="1775"/>
      <c r="C237" s="1775"/>
      <c r="D237" s="1775"/>
      <c r="E237" s="1775"/>
      <c r="F237" s="1775"/>
      <c r="G237" s="1775"/>
      <c r="H237" s="1775"/>
      <c r="I237" s="1775"/>
      <c r="J237" s="1775"/>
      <c r="K237" s="1776"/>
      <c r="L237" s="1777"/>
      <c r="M237" s="1775"/>
      <c r="N237" s="1775"/>
      <c r="O237" s="1775"/>
      <c r="P237" s="1775"/>
      <c r="Q237" s="1775"/>
      <c r="R237" s="1775"/>
      <c r="S237" s="1775"/>
      <c r="T237" s="1775"/>
      <c r="U237" s="1775"/>
      <c r="V237" s="1775"/>
      <c r="W237" s="1775"/>
      <c r="X237" s="1775"/>
      <c r="Y237" s="1775"/>
      <c r="Z237" s="1775"/>
      <c r="AA237" s="1775"/>
      <c r="AB237" s="1775"/>
      <c r="AC237" s="1775"/>
    </row>
    <row r="238" spans="1:29" s="1320" customFormat="1">
      <c r="A238" s="1775"/>
      <c r="B238" s="1775"/>
      <c r="C238" s="1775"/>
      <c r="D238" s="1775"/>
      <c r="E238" s="1775"/>
      <c r="F238" s="1775"/>
      <c r="G238" s="1775"/>
      <c r="H238" s="1775"/>
      <c r="I238" s="1775"/>
      <c r="J238" s="1775"/>
      <c r="K238" s="1776"/>
      <c r="L238" s="1777"/>
      <c r="M238" s="1775"/>
      <c r="N238" s="1775"/>
      <c r="O238" s="1775"/>
      <c r="P238" s="1775"/>
      <c r="Q238" s="1775"/>
      <c r="R238" s="1775"/>
      <c r="S238" s="1775"/>
      <c r="T238" s="1775"/>
      <c r="U238" s="1775"/>
      <c r="V238" s="1775"/>
      <c r="W238" s="1775"/>
      <c r="X238" s="1775"/>
      <c r="Y238" s="1775"/>
      <c r="Z238" s="1775"/>
      <c r="AA238" s="1775"/>
      <c r="AB238" s="1775"/>
      <c r="AC238" s="1775"/>
    </row>
    <row r="239" spans="1:29" s="1320" customFormat="1">
      <c r="A239" s="1775"/>
      <c r="B239" s="1775"/>
      <c r="C239" s="1775"/>
      <c r="D239" s="1775"/>
      <c r="E239" s="1775"/>
      <c r="F239" s="1775"/>
      <c r="G239" s="1775"/>
      <c r="H239" s="1775"/>
      <c r="I239" s="1775"/>
      <c r="J239" s="1775"/>
      <c r="K239" s="1776"/>
      <c r="L239" s="1777"/>
      <c r="M239" s="1775"/>
      <c r="N239" s="1775"/>
      <c r="O239" s="1775"/>
      <c r="P239" s="1775"/>
      <c r="Q239" s="1775"/>
      <c r="R239" s="1775"/>
      <c r="S239" s="1775"/>
      <c r="T239" s="1775"/>
      <c r="U239" s="1775"/>
      <c r="V239" s="1775"/>
      <c r="W239" s="1775"/>
      <c r="X239" s="1775"/>
      <c r="Y239" s="1775"/>
      <c r="Z239" s="1775"/>
      <c r="AA239" s="1775"/>
      <c r="AB239" s="1775"/>
      <c r="AC239" s="1775"/>
    </row>
    <row r="240" spans="1:29" s="1320" customFormat="1">
      <c r="A240" s="1775"/>
      <c r="B240" s="1775"/>
      <c r="C240" s="1775"/>
      <c r="D240" s="1775"/>
      <c r="E240" s="1775"/>
      <c r="F240" s="1775"/>
      <c r="G240" s="1775"/>
      <c r="H240" s="1775"/>
      <c r="I240" s="1775"/>
      <c r="J240" s="1775"/>
      <c r="K240" s="1776"/>
      <c r="L240" s="1777"/>
      <c r="M240" s="1775"/>
      <c r="N240" s="1775"/>
      <c r="O240" s="1775"/>
      <c r="P240" s="1775"/>
      <c r="Q240" s="1775"/>
      <c r="R240" s="1775"/>
      <c r="S240" s="1775"/>
      <c r="T240" s="1775"/>
      <c r="U240" s="1775"/>
      <c r="V240" s="1775"/>
      <c r="W240" s="1775"/>
      <c r="X240" s="1775"/>
      <c r="Y240" s="1775"/>
      <c r="Z240" s="1775"/>
      <c r="AA240" s="1775"/>
      <c r="AB240" s="1775"/>
      <c r="AC240" s="1775"/>
    </row>
    <row r="241" spans="1:29" s="1320" customFormat="1">
      <c r="A241" s="1775"/>
      <c r="B241" s="1775"/>
      <c r="C241" s="1775"/>
      <c r="D241" s="1775"/>
      <c r="E241" s="1775"/>
      <c r="F241" s="1775"/>
      <c r="G241" s="1775"/>
      <c r="H241" s="1775"/>
      <c r="I241" s="1775"/>
      <c r="J241" s="1775"/>
      <c r="K241" s="1776"/>
      <c r="L241" s="1777"/>
      <c r="M241" s="1775"/>
      <c r="N241" s="1775"/>
      <c r="O241" s="1775"/>
      <c r="P241" s="1775"/>
      <c r="Q241" s="1775"/>
      <c r="R241" s="1775"/>
      <c r="S241" s="1775"/>
      <c r="T241" s="1775"/>
      <c r="U241" s="1775"/>
      <c r="V241" s="1775"/>
      <c r="W241" s="1775"/>
      <c r="X241" s="1775"/>
      <c r="Y241" s="1775"/>
      <c r="Z241" s="1775"/>
      <c r="AA241" s="1775"/>
      <c r="AB241" s="1775"/>
      <c r="AC241" s="1775"/>
    </row>
    <row r="242" spans="1:29" s="1320" customFormat="1">
      <c r="A242" s="1775"/>
      <c r="B242" s="1775"/>
      <c r="C242" s="1775"/>
      <c r="D242" s="1775"/>
      <c r="E242" s="1775"/>
      <c r="F242" s="1775"/>
      <c r="G242" s="1775"/>
      <c r="H242" s="1775"/>
      <c r="I242" s="1775"/>
      <c r="J242" s="1775"/>
      <c r="K242" s="1776"/>
      <c r="L242" s="1777"/>
      <c r="M242" s="1775"/>
      <c r="N242" s="1775"/>
      <c r="O242" s="1775"/>
      <c r="P242" s="1775"/>
      <c r="Q242" s="1775"/>
      <c r="R242" s="1775"/>
      <c r="S242" s="1775"/>
      <c r="T242" s="1775"/>
      <c r="U242" s="1775"/>
      <c r="V242" s="1775"/>
      <c r="W242" s="1775"/>
      <c r="X242" s="1775"/>
      <c r="Y242" s="1775"/>
      <c r="Z242" s="1775"/>
      <c r="AA242" s="1775"/>
      <c r="AB242" s="1775"/>
      <c r="AC242" s="1775"/>
    </row>
    <row r="243" spans="1:29" s="1320" customFormat="1">
      <c r="A243" s="1775"/>
      <c r="B243" s="1775"/>
      <c r="C243" s="1775"/>
      <c r="D243" s="1775"/>
      <c r="E243" s="1775"/>
      <c r="F243" s="1775"/>
      <c r="G243" s="1775"/>
      <c r="H243" s="1775"/>
      <c r="I243" s="1775"/>
      <c r="J243" s="1775"/>
      <c r="K243" s="1776"/>
      <c r="L243" s="1777"/>
      <c r="M243" s="1775"/>
      <c r="N243" s="1775"/>
      <c r="O243" s="1775"/>
      <c r="P243" s="1775"/>
      <c r="Q243" s="1775"/>
      <c r="R243" s="1775"/>
      <c r="S243" s="1775"/>
      <c r="T243" s="1775"/>
      <c r="U243" s="1775"/>
      <c r="V243" s="1775"/>
      <c r="W243" s="1775"/>
      <c r="X243" s="1775"/>
      <c r="Y243" s="1775"/>
      <c r="Z243" s="1775"/>
      <c r="AA243" s="1775"/>
      <c r="AB243" s="1775"/>
      <c r="AC243" s="1775"/>
    </row>
    <row r="244" spans="1:29" s="1320" customFormat="1">
      <c r="A244" s="1775"/>
      <c r="B244" s="1775"/>
      <c r="C244" s="1775"/>
      <c r="D244" s="1775"/>
      <c r="E244" s="1775"/>
      <c r="F244" s="1775"/>
      <c r="G244" s="1775"/>
      <c r="H244" s="1775"/>
      <c r="I244" s="1775"/>
      <c r="J244" s="1775"/>
      <c r="K244" s="1776"/>
      <c r="L244" s="1777"/>
      <c r="M244" s="1775"/>
      <c r="N244" s="1775"/>
      <c r="O244" s="1775"/>
      <c r="P244" s="1775"/>
      <c r="Q244" s="1775"/>
      <c r="R244" s="1775"/>
      <c r="S244" s="1775"/>
      <c r="T244" s="1775"/>
      <c r="U244" s="1775"/>
      <c r="V244" s="1775"/>
      <c r="W244" s="1775"/>
      <c r="X244" s="1775"/>
      <c r="Y244" s="1775"/>
      <c r="Z244" s="1775"/>
      <c r="AA244" s="1775"/>
      <c r="AB244" s="1775"/>
      <c r="AC244" s="1775"/>
    </row>
    <row r="245" spans="1:29" s="1320" customFormat="1">
      <c r="A245" s="1775"/>
      <c r="B245" s="1775"/>
      <c r="C245" s="1775"/>
      <c r="D245" s="1775"/>
      <c r="E245" s="1775"/>
      <c r="F245" s="1775"/>
      <c r="G245" s="1775"/>
      <c r="H245" s="1775"/>
      <c r="I245" s="1775"/>
      <c r="J245" s="1775"/>
      <c r="K245" s="1776"/>
      <c r="L245" s="1777"/>
      <c r="M245" s="1775"/>
      <c r="N245" s="1775"/>
      <c r="O245" s="1775"/>
      <c r="P245" s="1775"/>
      <c r="Q245" s="1775"/>
      <c r="R245" s="1775"/>
      <c r="S245" s="1775"/>
      <c r="T245" s="1775"/>
      <c r="U245" s="1775"/>
      <c r="V245" s="1775"/>
      <c r="W245" s="1775"/>
      <c r="X245" s="1775"/>
      <c r="Y245" s="1775"/>
      <c r="Z245" s="1775"/>
      <c r="AA245" s="1775"/>
      <c r="AB245" s="1775"/>
      <c r="AC245" s="1775"/>
    </row>
    <row r="246" spans="1:29" s="1320" customFormat="1">
      <c r="A246" s="1775"/>
      <c r="B246" s="1775"/>
      <c r="C246" s="1775"/>
      <c r="D246" s="1775"/>
      <c r="E246" s="1775"/>
      <c r="F246" s="1775"/>
      <c r="G246" s="1775"/>
      <c r="H246" s="1775"/>
      <c r="I246" s="1775"/>
      <c r="J246" s="1775"/>
      <c r="K246" s="1776"/>
      <c r="L246" s="1777"/>
      <c r="M246" s="1775"/>
      <c r="N246" s="1775"/>
      <c r="O246" s="1775"/>
      <c r="P246" s="1775"/>
      <c r="Q246" s="1775"/>
      <c r="R246" s="1775"/>
      <c r="S246" s="1775"/>
      <c r="T246" s="1775"/>
      <c r="U246" s="1775"/>
      <c r="V246" s="1775"/>
      <c r="W246" s="1775"/>
      <c r="X246" s="1775"/>
      <c r="Y246" s="1775"/>
      <c r="Z246" s="1775"/>
      <c r="AA246" s="1775"/>
      <c r="AB246" s="1775"/>
      <c r="AC246" s="1775"/>
    </row>
    <row r="247" spans="1:29" s="1320" customFormat="1">
      <c r="A247" s="1775"/>
      <c r="B247" s="1775"/>
      <c r="C247" s="1775"/>
      <c r="D247" s="1775"/>
      <c r="E247" s="1775"/>
      <c r="F247" s="1775"/>
      <c r="G247" s="1775"/>
      <c r="H247" s="1775"/>
      <c r="I247" s="1775"/>
      <c r="J247" s="1775"/>
      <c r="K247" s="1776"/>
      <c r="L247" s="1777"/>
      <c r="M247" s="1775"/>
      <c r="N247" s="1775"/>
      <c r="O247" s="1775"/>
      <c r="P247" s="1775"/>
      <c r="Q247" s="1775"/>
      <c r="R247" s="1775"/>
      <c r="S247" s="1775"/>
      <c r="T247" s="1775"/>
      <c r="U247" s="1775"/>
      <c r="V247" s="1775"/>
      <c r="W247" s="1775"/>
      <c r="X247" s="1775"/>
      <c r="Y247" s="1775"/>
      <c r="Z247" s="1775"/>
      <c r="AA247" s="1775"/>
      <c r="AB247" s="1775"/>
      <c r="AC247" s="1775"/>
    </row>
    <row r="248" spans="1:29" s="1320" customFormat="1">
      <c r="A248" s="1775"/>
      <c r="B248" s="1775"/>
      <c r="C248" s="1775"/>
      <c r="D248" s="1775"/>
      <c r="E248" s="1775"/>
      <c r="F248" s="1775"/>
      <c r="G248" s="1775"/>
      <c r="H248" s="1775"/>
      <c r="I248" s="1775"/>
      <c r="J248" s="1775"/>
      <c r="K248" s="1776"/>
      <c r="L248" s="1777"/>
      <c r="M248" s="1775"/>
      <c r="N248" s="1775"/>
      <c r="O248" s="1775"/>
      <c r="P248" s="1775"/>
      <c r="Q248" s="1775"/>
      <c r="R248" s="1775"/>
      <c r="S248" s="1775"/>
      <c r="T248" s="1775"/>
      <c r="U248" s="1775"/>
      <c r="V248" s="1775"/>
      <c r="W248" s="1775"/>
      <c r="X248" s="1775"/>
      <c r="Y248" s="1775"/>
      <c r="Z248" s="1775"/>
      <c r="AA248" s="1775"/>
      <c r="AB248" s="1775"/>
      <c r="AC248" s="1775"/>
    </row>
    <row r="249" spans="1:29" s="1320" customFormat="1">
      <c r="A249" s="1775"/>
      <c r="B249" s="1775"/>
      <c r="C249" s="1775"/>
      <c r="D249" s="1775"/>
      <c r="E249" s="1775"/>
      <c r="F249" s="1775"/>
      <c r="G249" s="1775"/>
      <c r="H249" s="1775"/>
      <c r="I249" s="1775"/>
      <c r="J249" s="1775"/>
      <c r="K249" s="1776"/>
      <c r="L249" s="1777"/>
      <c r="M249" s="1775"/>
      <c r="N249" s="1775"/>
      <c r="O249" s="1775"/>
      <c r="P249" s="1775"/>
      <c r="Q249" s="1775"/>
      <c r="R249" s="1775"/>
      <c r="S249" s="1775"/>
      <c r="T249" s="1775"/>
      <c r="U249" s="1775"/>
      <c r="V249" s="1775"/>
      <c r="W249" s="1775"/>
      <c r="X249" s="1775"/>
      <c r="Y249" s="1775"/>
      <c r="Z249" s="1775"/>
      <c r="AA249" s="1775"/>
      <c r="AB249" s="1775"/>
      <c r="AC249" s="1775"/>
    </row>
    <row r="250" spans="1:29" s="1320" customFormat="1">
      <c r="A250" s="1775"/>
      <c r="B250" s="1775"/>
      <c r="C250" s="1775"/>
      <c r="D250" s="1775"/>
      <c r="E250" s="1775"/>
      <c r="F250" s="1775"/>
      <c r="G250" s="1775"/>
      <c r="H250" s="1775"/>
      <c r="I250" s="1775"/>
      <c r="J250" s="1775"/>
      <c r="K250" s="1776"/>
      <c r="L250" s="1777"/>
      <c r="M250" s="1775"/>
      <c r="N250" s="1775"/>
      <c r="O250" s="1775"/>
      <c r="P250" s="1775"/>
      <c r="Q250" s="1775"/>
      <c r="R250" s="1775"/>
      <c r="S250" s="1775"/>
      <c r="T250" s="1775"/>
      <c r="U250" s="1775"/>
      <c r="V250" s="1775"/>
      <c r="W250" s="1775"/>
      <c r="X250" s="1775"/>
      <c r="Y250" s="1775"/>
      <c r="Z250" s="1775"/>
      <c r="AA250" s="1775"/>
      <c r="AB250" s="1775"/>
      <c r="AC250" s="1775"/>
    </row>
    <row r="251" spans="1:29" s="1320" customFormat="1">
      <c r="A251" s="1775"/>
      <c r="B251" s="1775"/>
      <c r="C251" s="1775"/>
      <c r="D251" s="1775"/>
      <c r="E251" s="1775"/>
      <c r="F251" s="1775"/>
      <c r="G251" s="1775"/>
      <c r="H251" s="1775"/>
      <c r="I251" s="1775"/>
      <c r="J251" s="1775"/>
      <c r="K251" s="1776"/>
      <c r="L251" s="1777"/>
      <c r="M251" s="1775"/>
      <c r="N251" s="1775"/>
      <c r="O251" s="1775"/>
      <c r="P251" s="1775"/>
      <c r="Q251" s="1775"/>
      <c r="R251" s="1775"/>
      <c r="S251" s="1775"/>
      <c r="T251" s="1775"/>
      <c r="U251" s="1775"/>
      <c r="V251" s="1775"/>
      <c r="W251" s="1775"/>
      <c r="X251" s="1775"/>
      <c r="Y251" s="1775"/>
      <c r="Z251" s="1775"/>
      <c r="AA251" s="1775"/>
      <c r="AB251" s="1775"/>
      <c r="AC251" s="1775"/>
    </row>
    <row r="252" spans="1:29" s="1320" customFormat="1">
      <c r="A252" s="1775"/>
      <c r="B252" s="1775"/>
      <c r="C252" s="1775"/>
      <c r="D252" s="1775"/>
      <c r="E252" s="1775"/>
      <c r="F252" s="1775"/>
      <c r="G252" s="1775"/>
      <c r="H252" s="1775"/>
      <c r="I252" s="1775"/>
      <c r="J252" s="1775"/>
      <c r="K252" s="1776"/>
      <c r="L252" s="1777"/>
      <c r="M252" s="1775"/>
      <c r="N252" s="1775"/>
      <c r="O252" s="1775"/>
      <c r="P252" s="1775"/>
      <c r="Q252" s="1775"/>
      <c r="R252" s="1775"/>
      <c r="S252" s="1775"/>
      <c r="T252" s="1775"/>
      <c r="U252" s="1775"/>
      <c r="V252" s="1775"/>
      <c r="W252" s="1775"/>
      <c r="X252" s="1775"/>
      <c r="Y252" s="1775"/>
      <c r="Z252" s="1775"/>
      <c r="AA252" s="1775"/>
      <c r="AB252" s="1775"/>
      <c r="AC252" s="1775"/>
    </row>
    <row r="253" spans="1:29" s="1320" customFormat="1">
      <c r="A253" s="1775"/>
      <c r="B253" s="1775"/>
      <c r="C253" s="1775"/>
      <c r="D253" s="1775"/>
      <c r="E253" s="1775"/>
      <c r="F253" s="1775"/>
      <c r="G253" s="1775"/>
      <c r="H253" s="1775"/>
      <c r="I253" s="1775"/>
      <c r="J253" s="1775"/>
      <c r="K253" s="1776"/>
      <c r="L253" s="1777"/>
      <c r="M253" s="1775"/>
      <c r="N253" s="1775"/>
      <c r="O253" s="1775"/>
      <c r="P253" s="1775"/>
      <c r="Q253" s="1775"/>
      <c r="R253" s="1775"/>
      <c r="S253" s="1775"/>
      <c r="T253" s="1775"/>
      <c r="U253" s="1775"/>
      <c r="V253" s="1775"/>
      <c r="W253" s="1775"/>
      <c r="X253" s="1775"/>
      <c r="Y253" s="1775"/>
      <c r="Z253" s="1775"/>
      <c r="AA253" s="1775"/>
      <c r="AB253" s="1775"/>
      <c r="AC253" s="1775"/>
    </row>
    <row r="254" spans="1:29" s="1320" customFormat="1">
      <c r="A254" s="1775"/>
      <c r="B254" s="1775"/>
      <c r="C254" s="1775"/>
      <c r="D254" s="1775"/>
      <c r="E254" s="1775"/>
      <c r="F254" s="1775"/>
      <c r="G254" s="1775"/>
      <c r="H254" s="1775"/>
      <c r="I254" s="1775"/>
      <c r="J254" s="1775"/>
      <c r="K254" s="1776"/>
      <c r="L254" s="1777"/>
      <c r="M254" s="1775"/>
      <c r="N254" s="1775"/>
      <c r="O254" s="1775"/>
      <c r="P254" s="1775"/>
      <c r="Q254" s="1775"/>
      <c r="R254" s="1775"/>
      <c r="S254" s="1775"/>
      <c r="T254" s="1775"/>
      <c r="U254" s="1775"/>
      <c r="V254" s="1775"/>
      <c r="W254" s="1775"/>
      <c r="X254" s="1775"/>
      <c r="Y254" s="1775"/>
      <c r="Z254" s="1775"/>
      <c r="AA254" s="1775"/>
      <c r="AB254" s="1775"/>
      <c r="AC254" s="1775"/>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100-000000000000}">
      <formula1>住宅朝向</formula1>
    </dataValidation>
    <dataValidation type="list" allowBlank="1" showInputMessage="1" showErrorMessage="1" sqref="E30 C30 I30 G30" xr:uid="{00000000-0002-0000-1100-000001000000}">
      <formula1>公共配套设施</formula1>
    </dataValidation>
    <dataValidation type="list" allowBlank="1" showInputMessage="1" showErrorMessage="1" sqref="E24 C24 G24 I24" xr:uid="{00000000-0002-0000-1100-000002000000}">
      <formula1>交通便捷度</formula1>
    </dataValidation>
    <dataValidation type="list" allowBlank="1" showInputMessage="1" showErrorMessage="1" sqref="E18 G18 I18 C18" xr:uid="{00000000-0002-0000-1100-000003000000}">
      <formula1>居住社区成熟度</formula1>
    </dataValidation>
    <dataValidation type="list" allowBlank="1" showInputMessage="1" showErrorMessage="1" sqref="C28 E28 G28 I28" xr:uid="{00000000-0002-0000-1100-000004000000}">
      <formula1>环境</formula1>
    </dataValidation>
    <dataValidation type="list" allowBlank="1" showInputMessage="1" showErrorMessage="1" sqref="B48" xr:uid="{00000000-0002-0000-1100-000005000000}">
      <formula1>单价内涵</formula1>
    </dataValidation>
    <dataValidation type="list" allowBlank="1" showInputMessage="1" showErrorMessage="1" sqref="C10 E10 G10 I10" xr:uid="{00000000-0002-0000-1100-000006000000}">
      <formula1>套综交易情况</formula1>
    </dataValidation>
    <dataValidation type="list" allowBlank="1" showInputMessage="1" showErrorMessage="1" sqref="C11 E11 G11 I11" xr:uid="{00000000-0002-0000-1100-000007000000}">
      <formula1>套综用途</formula1>
    </dataValidation>
    <dataValidation type="list" allowBlank="1" showInputMessage="1" showErrorMessage="1" sqref="E20 C20 G20 I20" xr:uid="{00000000-0002-0000-1100-000008000000}">
      <formula1>商业繁华度</formula1>
    </dataValidation>
    <dataValidation type="list" allowBlank="1" showInputMessage="1" showErrorMessage="1" sqref="E22 C22 G22 I22" xr:uid="{00000000-0002-0000-1100-000009000000}">
      <formula1>办公集聚程度</formula1>
    </dataValidation>
    <dataValidation type="list" allowBlank="1" showInputMessage="1" showErrorMessage="1" sqref="C35 E35 G35 I35" xr:uid="{00000000-0002-0000-1100-00000A000000}">
      <formula1>套综道路等级</formula1>
    </dataValidation>
    <dataValidation type="list" allowBlank="1" showInputMessage="1" showErrorMessage="1" sqref="C36 E36 G36 I36" xr:uid="{00000000-0002-0000-1100-00000B000000}">
      <formula1>套综土地级别</formula1>
    </dataValidation>
    <dataValidation type="list" allowBlank="1" showInputMessage="1" showErrorMessage="1" sqref="C41 E41 G41 I41" xr:uid="{00000000-0002-0000-1100-00000C000000}">
      <formula1>套综宗地形状</formula1>
    </dataValidation>
    <dataValidation type="list" allowBlank="1" showInputMessage="1" showErrorMessage="1" sqref="C42 E42 G42 I42" xr:uid="{00000000-0002-0000-1100-00000D000000}">
      <formula1>套综临街宽度及深度</formula1>
    </dataValidation>
    <dataValidation type="list" allowBlank="1" showInputMessage="1" showErrorMessage="1" sqref="C43 E43 G43 I43" xr:uid="{00000000-0002-0000-1100-00000E000000}">
      <formula1>套综宗地内开发程度</formula1>
    </dataValidation>
    <dataValidation type="list" allowBlank="1" showInputMessage="1" showErrorMessage="1" sqref="C44 E44 G44 I44" xr:uid="{00000000-0002-0000-1100-00000F000000}">
      <formula1>套综工程地质条件</formula1>
    </dataValidation>
    <dataValidation type="list" allowBlank="1" showInputMessage="1" showErrorMessage="1" sqref="C33 E33 G33 I33" xr:uid="{00000000-0002-0000-1100-000010000000}">
      <formula1>临街状况</formula1>
    </dataValidation>
    <dataValidation type="list" allowBlank="1" showInputMessage="1" showErrorMessage="1" sqref="E26 G26 I26 C26" xr:uid="{00000000-0002-0000-1100-000011000000}">
      <formula1>区域土地利用方向</formula1>
    </dataValidation>
    <dataValidation type="list" allowBlank="1" showInputMessage="1" showErrorMessage="1" sqref="C57" xr:uid="{00000000-0002-0000-1100-000012000000}">
      <formula1>"北京市系数,其他省市系数"</formula1>
    </dataValidation>
    <dataValidation type="list" allowBlank="1" showInputMessage="1" showErrorMessage="1" sqref="G64" xr:uid="{00000000-0002-0000-1100-000013000000}">
      <formula1>"住宅,工业"</formula1>
    </dataValidation>
    <dataValidation type="list" allowBlank="1" showInputMessage="1" showErrorMessage="1" sqref="G63" xr:uid="{00000000-0002-0000-1100-000014000000}">
      <formula1>"商业,办公,住宅,工业"</formula1>
    </dataValidation>
    <dataValidation type="list" allowBlank="1" showInputMessage="1" showErrorMessage="1" sqref="C32 E32 G32 I32" xr:uid="{00000000-0002-0000-1100-000015000000}">
      <formula1>基础设施水平</formula1>
    </dataValidation>
    <dataValidation type="list" allowBlank="1" showInputMessage="1" showErrorMessage="1" sqref="A72" xr:uid="{00000000-0002-0000-1100-000016000000}">
      <formula1>"综合,商业,办公,住宅"</formula1>
    </dataValidation>
    <dataValidation type="list" allowBlank="1" showInputMessage="1" showErrorMessage="1" sqref="D49" xr:uid="{00000000-0002-0000-1100-000017000000}">
      <formula1>"简单平均,加权平均"</formula1>
    </dataValidation>
    <dataValidation type="list" allowBlank="1" showInputMessage="1" showErrorMessage="1" sqref="D59:D66" xr:uid="{00000000-0002-0000-11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M26"/>
  <sheetViews>
    <sheetView workbookViewId="0">
      <selection activeCell="G7" sqref="G7"/>
    </sheetView>
  </sheetViews>
  <sheetFormatPr defaultColWidth="9" defaultRowHeight="13.5"/>
  <cols>
    <col min="1" max="1" width="32.125" style="3394" customWidth="1"/>
    <col min="2" max="11" width="9" style="3394"/>
    <col min="12" max="12" width="23.375" style="3394" customWidth="1"/>
    <col min="13" max="16384" width="9" style="3394"/>
  </cols>
  <sheetData>
    <row r="1" spans="1:247">
      <c r="A1" s="3393" t="s">
        <v>3262</v>
      </c>
      <c r="B1" s="3393" t="s">
        <v>3263</v>
      </c>
      <c r="C1" s="3393" t="s">
        <v>3264</v>
      </c>
      <c r="D1" s="3393" t="s">
        <v>3265</v>
      </c>
      <c r="E1" s="3393" t="s">
        <v>3266</v>
      </c>
      <c r="F1" s="3393" t="s">
        <v>3267</v>
      </c>
      <c r="G1" s="3393" t="s">
        <v>3268</v>
      </c>
      <c r="H1" s="3393" t="s">
        <v>3269</v>
      </c>
      <c r="I1" s="3393" t="s">
        <v>3270</v>
      </c>
      <c r="J1" s="3393" t="s">
        <v>3271</v>
      </c>
      <c r="K1" s="3393" t="s">
        <v>3272</v>
      </c>
      <c r="L1" s="3393" t="s">
        <v>1550</v>
      </c>
      <c r="M1" s="3393" t="s">
        <v>3273</v>
      </c>
      <c r="N1" s="3393" t="s">
        <v>3274</v>
      </c>
      <c r="O1" s="3393" t="s">
        <v>3275</v>
      </c>
      <c r="P1" s="3393" t="s">
        <v>3276</v>
      </c>
      <c r="Q1" s="3393" t="s">
        <v>3277</v>
      </c>
      <c r="R1" s="3393" t="s">
        <v>3278</v>
      </c>
      <c r="S1" s="3393" t="s">
        <v>3279</v>
      </c>
      <c r="T1" s="3393" t="s">
        <v>3280</v>
      </c>
      <c r="U1" s="3393" t="s">
        <v>3281</v>
      </c>
      <c r="V1" s="3393" t="s">
        <v>3282</v>
      </c>
      <c r="W1" s="3393" t="s">
        <v>3283</v>
      </c>
      <c r="X1" s="3393" t="s">
        <v>3284</v>
      </c>
      <c r="Y1" s="3393" t="s">
        <v>3285</v>
      </c>
      <c r="Z1" s="3393" t="s">
        <v>3286</v>
      </c>
      <c r="AA1" s="3393" t="s">
        <v>3287</v>
      </c>
      <c r="AB1" s="3393" t="s">
        <v>3288</v>
      </c>
      <c r="AC1" s="3393" t="s">
        <v>3289</v>
      </c>
      <c r="AD1" s="3393" t="s">
        <v>3290</v>
      </c>
      <c r="AE1" s="3393" t="s">
        <v>3291</v>
      </c>
      <c r="AF1" s="3393" t="s">
        <v>3292</v>
      </c>
      <c r="AG1" s="3393" t="s">
        <v>3293</v>
      </c>
      <c r="AH1" s="3393" t="s">
        <v>3294</v>
      </c>
      <c r="AI1" s="3393" t="s">
        <v>3295</v>
      </c>
      <c r="AJ1" s="3393" t="s">
        <v>3296</v>
      </c>
      <c r="AK1" s="3393" t="s">
        <v>3297</v>
      </c>
      <c r="AL1" s="3393"/>
      <c r="AM1" s="3393"/>
      <c r="AN1" s="3393"/>
      <c r="AO1" s="3393"/>
      <c r="AP1" s="3393"/>
      <c r="AQ1" s="3393"/>
      <c r="AR1" s="3393"/>
      <c r="AS1" s="3393"/>
      <c r="AT1" s="3393"/>
      <c r="AU1" s="3393"/>
      <c r="AV1" s="3393"/>
      <c r="AW1" s="3393"/>
      <c r="AX1" s="3393"/>
      <c r="AY1" s="3393"/>
      <c r="AZ1" s="3393"/>
      <c r="BA1" s="3393"/>
      <c r="BB1" s="3393"/>
      <c r="BC1" s="3393"/>
      <c r="BD1" s="3393"/>
      <c r="BE1" s="3393"/>
      <c r="BF1" s="3393"/>
      <c r="BG1" s="3393"/>
      <c r="BH1" s="3393"/>
      <c r="BI1" s="3393"/>
      <c r="BJ1" s="3393"/>
      <c r="BK1" s="3393"/>
      <c r="BL1" s="3393"/>
      <c r="BM1" s="3393"/>
      <c r="BN1" s="3393"/>
      <c r="BO1" s="3393"/>
      <c r="BP1" s="3393"/>
      <c r="BQ1" s="3393"/>
      <c r="BR1" s="3393"/>
      <c r="BS1" s="3393"/>
      <c r="BT1" s="3393"/>
      <c r="BU1" s="3393"/>
      <c r="BV1" s="3393"/>
      <c r="BW1" s="3393"/>
      <c r="BX1" s="3393"/>
      <c r="BY1" s="3393"/>
      <c r="BZ1" s="3393"/>
      <c r="CA1" s="3393"/>
      <c r="CB1" s="3393"/>
      <c r="CC1" s="3393"/>
      <c r="CD1" s="3393"/>
      <c r="CE1" s="3393"/>
      <c r="CF1" s="3393"/>
      <c r="CG1" s="3393"/>
      <c r="CH1" s="3393"/>
      <c r="CI1" s="3393"/>
      <c r="CJ1" s="3393"/>
      <c r="CK1" s="3393"/>
      <c r="CL1" s="3393"/>
      <c r="CM1" s="3393"/>
      <c r="CN1" s="3393"/>
      <c r="CO1" s="3393"/>
      <c r="CP1" s="3393"/>
      <c r="CQ1" s="3393"/>
      <c r="CR1" s="3393"/>
      <c r="CS1" s="3393"/>
      <c r="CT1" s="3393"/>
      <c r="CU1" s="3393"/>
      <c r="CV1" s="3393"/>
      <c r="CW1" s="3393"/>
      <c r="CX1" s="3393"/>
      <c r="CY1" s="3393"/>
      <c r="CZ1" s="3393"/>
      <c r="DA1" s="3393"/>
      <c r="DB1" s="3393"/>
      <c r="DC1" s="3393"/>
      <c r="DD1" s="3393"/>
      <c r="DE1" s="3393"/>
      <c r="DF1" s="3393"/>
      <c r="DG1" s="3393"/>
      <c r="DH1" s="3393"/>
      <c r="DI1" s="3393"/>
      <c r="DJ1" s="3393"/>
      <c r="DK1" s="3393"/>
      <c r="DL1" s="3393"/>
      <c r="DM1" s="3393"/>
      <c r="DN1" s="3393"/>
      <c r="DO1" s="3393"/>
      <c r="DP1" s="3393"/>
      <c r="DQ1" s="3393"/>
      <c r="DR1" s="3393"/>
      <c r="DS1" s="3393"/>
      <c r="DT1" s="3393"/>
      <c r="DU1" s="3393"/>
      <c r="DV1" s="3393"/>
      <c r="DW1" s="3393"/>
      <c r="DX1" s="3393"/>
      <c r="DY1" s="3393"/>
      <c r="DZ1" s="3393"/>
      <c r="EA1" s="3393"/>
      <c r="EB1" s="3393"/>
      <c r="EC1" s="3393"/>
      <c r="ED1" s="3393"/>
      <c r="EE1" s="3393"/>
      <c r="EF1" s="3393"/>
      <c r="EG1" s="3393"/>
      <c r="EH1" s="3393"/>
      <c r="EI1" s="3393"/>
      <c r="EJ1" s="3393"/>
      <c r="EK1" s="3393"/>
      <c r="EL1" s="3393"/>
      <c r="EM1" s="3393"/>
      <c r="EN1" s="3393"/>
      <c r="EO1" s="3393"/>
      <c r="EP1" s="3393"/>
      <c r="EQ1" s="3393"/>
      <c r="ER1" s="3393"/>
      <c r="ES1" s="3393"/>
      <c r="ET1" s="3393"/>
      <c r="EU1" s="3393"/>
      <c r="EV1" s="3393"/>
      <c r="EW1" s="3393"/>
      <c r="EX1" s="3393"/>
      <c r="EY1" s="3393"/>
      <c r="EZ1" s="3393"/>
      <c r="FA1" s="3393"/>
      <c r="FB1" s="3393"/>
      <c r="FC1" s="3393"/>
      <c r="FD1" s="3393"/>
      <c r="FE1" s="3393"/>
      <c r="FF1" s="3393"/>
      <c r="FG1" s="3393"/>
      <c r="FH1" s="3393"/>
      <c r="FI1" s="3393"/>
      <c r="FJ1" s="3393"/>
      <c r="FK1" s="3393"/>
      <c r="FL1" s="3393"/>
      <c r="FM1" s="3393"/>
      <c r="FN1" s="3393"/>
      <c r="FO1" s="3393"/>
      <c r="FP1" s="3393"/>
      <c r="FQ1" s="3393"/>
      <c r="FR1" s="3393"/>
      <c r="FS1" s="3393"/>
      <c r="FT1" s="3393"/>
      <c r="FU1" s="3393"/>
      <c r="FV1" s="3393"/>
      <c r="FW1" s="3393"/>
      <c r="FX1" s="3393"/>
      <c r="FY1" s="3393"/>
      <c r="FZ1" s="3393"/>
      <c r="GA1" s="3393"/>
      <c r="GB1" s="3393"/>
      <c r="GC1" s="3393"/>
      <c r="GD1" s="3393"/>
      <c r="GE1" s="3393"/>
      <c r="GF1" s="3393"/>
      <c r="GG1" s="3393"/>
      <c r="GH1" s="3393"/>
      <c r="GI1" s="3393"/>
      <c r="GJ1" s="3393"/>
      <c r="GK1" s="3393"/>
      <c r="GL1" s="3393"/>
      <c r="GM1" s="3393"/>
      <c r="GN1" s="3393"/>
      <c r="GO1" s="3393"/>
      <c r="GP1" s="3393"/>
      <c r="GQ1" s="3393"/>
      <c r="GR1" s="3393"/>
      <c r="GS1" s="3393"/>
      <c r="GT1" s="3393"/>
      <c r="GU1" s="3393"/>
      <c r="GV1" s="3393"/>
      <c r="GW1" s="3393"/>
      <c r="GX1" s="3393"/>
      <c r="GY1" s="3393"/>
      <c r="GZ1" s="3393"/>
      <c r="HA1" s="3393"/>
      <c r="HB1" s="3393"/>
      <c r="HC1" s="3393"/>
      <c r="HD1" s="3393"/>
      <c r="HE1" s="3393"/>
      <c r="HF1" s="3393"/>
      <c r="HG1" s="3393"/>
      <c r="HH1" s="3393"/>
      <c r="HI1" s="3393"/>
      <c r="HJ1" s="3393"/>
      <c r="HK1" s="3393"/>
      <c r="HL1" s="3393"/>
      <c r="HM1" s="3393"/>
      <c r="HN1" s="3393"/>
      <c r="HO1" s="3393"/>
      <c r="HP1" s="3393"/>
      <c r="HQ1" s="3393"/>
      <c r="HR1" s="3393"/>
      <c r="HS1" s="3393"/>
      <c r="HT1" s="3393"/>
      <c r="HU1" s="3393"/>
      <c r="HV1" s="3393"/>
      <c r="HW1" s="3393"/>
      <c r="HX1" s="3393"/>
      <c r="HY1" s="3393"/>
      <c r="HZ1" s="3393"/>
      <c r="IA1" s="3393"/>
      <c r="IB1" s="3393"/>
      <c r="IC1" s="3393"/>
      <c r="ID1" s="3393"/>
      <c r="IE1" s="3393"/>
      <c r="IF1" s="3393"/>
      <c r="IG1" s="3393"/>
      <c r="IH1" s="3393"/>
      <c r="II1" s="3393"/>
      <c r="IJ1" s="3393"/>
      <c r="IK1" s="3393"/>
      <c r="IL1" s="3393"/>
      <c r="IM1" s="3393"/>
    </row>
    <row r="2" spans="1:247">
      <c r="A2" s="3393" t="s">
        <v>3298</v>
      </c>
      <c r="B2" s="3393" t="s">
        <v>3299</v>
      </c>
      <c r="C2" s="3393" t="s">
        <v>3300</v>
      </c>
      <c r="D2" s="3393" t="s">
        <v>3301</v>
      </c>
      <c r="E2" s="3395" t="s">
        <v>3302</v>
      </c>
      <c r="F2" s="3393" t="s">
        <v>3298</v>
      </c>
      <c r="G2" s="3393" t="s">
        <v>3303</v>
      </c>
      <c r="H2" s="3393" t="s">
        <v>3304</v>
      </c>
      <c r="I2" s="3393" t="s">
        <v>3305</v>
      </c>
      <c r="J2" s="3393">
        <v>43392</v>
      </c>
      <c r="K2" s="3393">
        <v>65088</v>
      </c>
      <c r="L2" s="3393" t="s">
        <v>3306</v>
      </c>
      <c r="M2" s="3393" t="s">
        <v>2095</v>
      </c>
      <c r="N2" s="3393" t="s">
        <v>3307</v>
      </c>
      <c r="O2" s="3393" t="s">
        <v>3308</v>
      </c>
      <c r="P2" s="3393" t="s">
        <v>3309</v>
      </c>
      <c r="Q2" s="3393" t="s">
        <v>3310</v>
      </c>
      <c r="R2" s="3393" t="s">
        <v>3311</v>
      </c>
      <c r="S2" s="3393" t="s">
        <v>3311</v>
      </c>
      <c r="T2" s="3393" t="s">
        <v>3312</v>
      </c>
      <c r="U2" s="3393" t="s">
        <v>3313</v>
      </c>
      <c r="V2" s="3393" t="s">
        <v>3314</v>
      </c>
      <c r="W2" s="3393">
        <v>5540</v>
      </c>
      <c r="X2" s="3393">
        <v>5540</v>
      </c>
      <c r="Y2" s="3393">
        <v>5540</v>
      </c>
      <c r="Z2" s="3393">
        <v>85.12</v>
      </c>
      <c r="AA2" s="3393">
        <v>85.12</v>
      </c>
      <c r="AB2" s="3393">
        <v>851.15</v>
      </c>
      <c r="AC2" s="3393">
        <v>851.15</v>
      </c>
      <c r="AD2" s="3393" t="s">
        <v>2095</v>
      </c>
      <c r="AE2" s="3393" t="s">
        <v>2095</v>
      </c>
      <c r="AF2" s="3393">
        <v>0</v>
      </c>
      <c r="AG2" s="3393" t="s">
        <v>3315</v>
      </c>
      <c r="AH2" s="3393" t="s">
        <v>2095</v>
      </c>
      <c r="AI2" s="3393" t="s">
        <v>2095</v>
      </c>
      <c r="AJ2" s="3393" t="s">
        <v>2095</v>
      </c>
      <c r="AK2" s="3393" t="s">
        <v>3316</v>
      </c>
      <c r="AL2" s="3393"/>
      <c r="AM2" s="3393"/>
      <c r="AN2" s="3393"/>
      <c r="AO2" s="3393"/>
      <c r="AP2" s="3393"/>
      <c r="AQ2" s="3393"/>
      <c r="AR2" s="3393"/>
      <c r="AS2" s="3393"/>
      <c r="AT2" s="3393"/>
      <c r="AU2" s="3393"/>
      <c r="AV2" s="3393"/>
      <c r="AW2" s="3393"/>
      <c r="AX2" s="3393"/>
      <c r="AY2" s="3393"/>
      <c r="AZ2" s="3393"/>
      <c r="BA2" s="3393"/>
      <c r="BB2" s="3393"/>
      <c r="BC2" s="3393"/>
      <c r="BD2" s="3393"/>
      <c r="BE2" s="3393"/>
      <c r="BF2" s="3393"/>
      <c r="BG2" s="3393"/>
      <c r="BH2" s="3393"/>
      <c r="BI2" s="3393"/>
      <c r="BJ2" s="3393"/>
      <c r="BK2" s="3393"/>
      <c r="BL2" s="3393"/>
      <c r="BM2" s="3393"/>
      <c r="BN2" s="3393"/>
      <c r="BO2" s="3393"/>
      <c r="BP2" s="3393"/>
      <c r="BQ2" s="3393"/>
      <c r="BR2" s="3393"/>
      <c r="BS2" s="3393"/>
      <c r="BT2" s="3393"/>
      <c r="BU2" s="3393"/>
      <c r="BV2" s="3393"/>
      <c r="BW2" s="3393"/>
      <c r="BX2" s="3393"/>
      <c r="BY2" s="3393"/>
      <c r="BZ2" s="3393"/>
      <c r="CA2" s="3393"/>
      <c r="CB2" s="3393"/>
      <c r="CC2" s="3393"/>
      <c r="CD2" s="3393"/>
      <c r="CE2" s="3393"/>
      <c r="CF2" s="3393"/>
      <c r="CG2" s="3393"/>
      <c r="CH2" s="3393"/>
      <c r="CI2" s="3393"/>
      <c r="CJ2" s="3393"/>
      <c r="CK2" s="3393"/>
      <c r="CL2" s="3393"/>
      <c r="CM2" s="3393"/>
      <c r="CN2" s="3393"/>
      <c r="CO2" s="3393"/>
      <c r="CP2" s="3393"/>
      <c r="CQ2" s="3393"/>
      <c r="CR2" s="3393"/>
      <c r="CS2" s="3393"/>
      <c r="CT2" s="3393"/>
      <c r="CU2" s="3393"/>
      <c r="CV2" s="3393"/>
      <c r="CW2" s="3393"/>
      <c r="CX2" s="3393"/>
      <c r="CY2" s="3393"/>
      <c r="CZ2" s="3393"/>
      <c r="DA2" s="3393"/>
      <c r="DB2" s="3393"/>
      <c r="DC2" s="3393"/>
      <c r="DD2" s="3393"/>
      <c r="DE2" s="3393"/>
      <c r="DF2" s="3393"/>
      <c r="DG2" s="3393"/>
      <c r="DH2" s="3393"/>
      <c r="DI2" s="3393"/>
      <c r="DJ2" s="3393"/>
      <c r="DK2" s="3393"/>
      <c r="DL2" s="3393"/>
      <c r="DM2" s="3393"/>
      <c r="DN2" s="3393"/>
      <c r="DO2" s="3393"/>
      <c r="DP2" s="3393"/>
      <c r="DQ2" s="3393"/>
      <c r="DR2" s="3393"/>
      <c r="DS2" s="3393"/>
      <c r="DT2" s="3393"/>
      <c r="DU2" s="3393"/>
      <c r="DV2" s="3393"/>
      <c r="DW2" s="3393"/>
      <c r="DX2" s="3393"/>
      <c r="DY2" s="3393"/>
      <c r="DZ2" s="3393"/>
      <c r="EA2" s="3393"/>
      <c r="EB2" s="3393"/>
      <c r="EC2" s="3393"/>
      <c r="ED2" s="3393"/>
      <c r="EE2" s="3393"/>
      <c r="EF2" s="3393"/>
      <c r="EG2" s="3393"/>
      <c r="EH2" s="3393"/>
      <c r="EI2" s="3393"/>
      <c r="EJ2" s="3393"/>
      <c r="EK2" s="3393"/>
      <c r="EL2" s="3393"/>
      <c r="EM2" s="3393"/>
      <c r="EN2" s="3393"/>
      <c r="EO2" s="3393"/>
      <c r="EP2" s="3393"/>
      <c r="EQ2" s="3393"/>
      <c r="ER2" s="3393"/>
      <c r="ES2" s="3393"/>
      <c r="ET2" s="3393"/>
      <c r="EU2" s="3393"/>
      <c r="EV2" s="3393"/>
      <c r="EW2" s="3393"/>
      <c r="EX2" s="3393"/>
      <c r="EY2" s="3393"/>
      <c r="EZ2" s="3393"/>
      <c r="FA2" s="3393"/>
      <c r="FB2" s="3393"/>
      <c r="FC2" s="3393"/>
      <c r="FD2" s="3393"/>
      <c r="FE2" s="3393"/>
      <c r="FF2" s="3393"/>
      <c r="FG2" s="3393"/>
      <c r="FH2" s="3393"/>
      <c r="FI2" s="3393"/>
      <c r="FJ2" s="3393"/>
      <c r="FK2" s="3393"/>
      <c r="FL2" s="3393"/>
      <c r="FM2" s="3393"/>
      <c r="FN2" s="3393"/>
      <c r="FO2" s="3393"/>
      <c r="FP2" s="3393"/>
      <c r="FQ2" s="3393"/>
      <c r="FR2" s="3393"/>
      <c r="FS2" s="3393"/>
      <c r="FT2" s="3393"/>
      <c r="FU2" s="3393"/>
      <c r="FV2" s="3393"/>
      <c r="FW2" s="3393"/>
      <c r="FX2" s="3393"/>
      <c r="FY2" s="3393"/>
      <c r="FZ2" s="3393"/>
      <c r="GA2" s="3393"/>
      <c r="GB2" s="3393"/>
      <c r="GC2" s="3393"/>
      <c r="GD2" s="3393"/>
      <c r="GE2" s="3393"/>
      <c r="GF2" s="3393"/>
      <c r="GG2" s="3393"/>
      <c r="GH2" s="3393"/>
      <c r="GI2" s="3393"/>
      <c r="GJ2" s="3393"/>
      <c r="GK2" s="3393"/>
      <c r="GL2" s="3393"/>
      <c r="GM2" s="3393"/>
      <c r="GN2" s="3393"/>
      <c r="GO2" s="3393"/>
      <c r="GP2" s="3393"/>
      <c r="GQ2" s="3393"/>
      <c r="GR2" s="3393"/>
      <c r="GS2" s="3393"/>
      <c r="GT2" s="3393"/>
      <c r="GU2" s="3393"/>
      <c r="GV2" s="3393"/>
      <c r="GW2" s="3393"/>
      <c r="GX2" s="3393"/>
      <c r="GY2" s="3393"/>
      <c r="GZ2" s="3393"/>
      <c r="HA2" s="3393"/>
      <c r="HB2" s="3393"/>
      <c r="HC2" s="3393"/>
      <c r="HD2" s="3393"/>
      <c r="HE2" s="3393"/>
      <c r="HF2" s="3393"/>
      <c r="HG2" s="3393"/>
      <c r="HH2" s="3393"/>
      <c r="HI2" s="3393"/>
      <c r="HJ2" s="3393"/>
      <c r="HK2" s="3393"/>
      <c r="HL2" s="3393"/>
      <c r="HM2" s="3393"/>
      <c r="HN2" s="3393"/>
      <c r="HO2" s="3393"/>
      <c r="HP2" s="3393"/>
      <c r="HQ2" s="3393"/>
      <c r="HR2" s="3393"/>
      <c r="HS2" s="3393"/>
      <c r="HT2" s="3393"/>
      <c r="HU2" s="3393"/>
      <c r="HV2" s="3393"/>
      <c r="HW2" s="3393"/>
      <c r="HX2" s="3393"/>
      <c r="HY2" s="3393"/>
      <c r="HZ2" s="3393"/>
      <c r="IA2" s="3393"/>
      <c r="IB2" s="3393"/>
      <c r="IC2" s="3393"/>
      <c r="ID2" s="3393"/>
      <c r="IE2" s="3393"/>
      <c r="IF2" s="3393"/>
      <c r="IG2" s="3393"/>
      <c r="IH2" s="3393"/>
      <c r="II2" s="3393"/>
      <c r="IJ2" s="3393"/>
      <c r="IK2" s="3393"/>
      <c r="IL2" s="3393"/>
      <c r="IM2" s="3393"/>
    </row>
    <row r="3" spans="1:247">
      <c r="A3" s="3393" t="s">
        <v>3317</v>
      </c>
      <c r="B3" s="3393" t="s">
        <v>3299</v>
      </c>
      <c r="C3" s="3393" t="s">
        <v>3300</v>
      </c>
      <c r="D3" s="3393" t="s">
        <v>3301</v>
      </c>
      <c r="E3" s="3393" t="s">
        <v>3318</v>
      </c>
      <c r="F3" s="3393" t="s">
        <v>3319</v>
      </c>
      <c r="G3" s="3393" t="s">
        <v>3303</v>
      </c>
      <c r="H3" s="3393" t="s">
        <v>3320</v>
      </c>
      <c r="I3" s="3393" t="s">
        <v>3321</v>
      </c>
      <c r="J3" s="3393">
        <v>22989</v>
      </c>
      <c r="K3" s="3393">
        <v>34483.5</v>
      </c>
      <c r="L3" s="3393" t="s">
        <v>3322</v>
      </c>
      <c r="M3" s="3393" t="s">
        <v>2095</v>
      </c>
      <c r="N3" s="3393" t="s">
        <v>3323</v>
      </c>
      <c r="O3" s="3393" t="s">
        <v>3324</v>
      </c>
      <c r="P3" s="3393" t="s">
        <v>3325</v>
      </c>
      <c r="Q3" s="3393" t="s">
        <v>3326</v>
      </c>
      <c r="R3" s="3393" t="s">
        <v>3327</v>
      </c>
      <c r="S3" s="3393" t="s">
        <v>3327</v>
      </c>
      <c r="T3" s="3393" t="s">
        <v>3328</v>
      </c>
      <c r="U3" s="3393" t="s">
        <v>3313</v>
      </c>
      <c r="V3" s="3393" t="s">
        <v>3329</v>
      </c>
      <c r="W3" s="3393">
        <v>2900</v>
      </c>
      <c r="X3" s="3393">
        <v>2900</v>
      </c>
      <c r="Y3" s="3393">
        <v>2900</v>
      </c>
      <c r="Z3" s="3393">
        <v>84.1</v>
      </c>
      <c r="AA3" s="3393">
        <v>84.1</v>
      </c>
      <c r="AB3" s="3393">
        <v>840.98</v>
      </c>
      <c r="AC3" s="3393">
        <v>840.98</v>
      </c>
      <c r="AD3" s="3393" t="s">
        <v>2095</v>
      </c>
      <c r="AE3" s="3393" t="s">
        <v>2095</v>
      </c>
      <c r="AF3" s="3393">
        <v>0</v>
      </c>
      <c r="AG3" s="3393" t="s">
        <v>3315</v>
      </c>
      <c r="AH3" s="3393" t="s">
        <v>2095</v>
      </c>
      <c r="AI3" s="3393" t="s">
        <v>2095</v>
      </c>
      <c r="AJ3" s="3393" t="s">
        <v>2095</v>
      </c>
      <c r="AK3" s="3393" t="s">
        <v>3330</v>
      </c>
      <c r="AL3" s="3393"/>
      <c r="AM3" s="3393"/>
      <c r="AN3" s="3393"/>
      <c r="AO3" s="3393"/>
      <c r="AP3" s="3393"/>
      <c r="AQ3" s="3393"/>
      <c r="AR3" s="3393"/>
      <c r="AS3" s="3393"/>
      <c r="AT3" s="3393"/>
      <c r="AU3" s="3393"/>
      <c r="AV3" s="3393"/>
      <c r="AW3" s="3393"/>
      <c r="AX3" s="3393"/>
      <c r="AY3" s="3393"/>
      <c r="AZ3" s="3393"/>
      <c r="BA3" s="3393"/>
      <c r="BB3" s="3393"/>
      <c r="BC3" s="3393"/>
      <c r="BD3" s="3393"/>
      <c r="BE3" s="3393"/>
      <c r="BF3" s="3393"/>
      <c r="BG3" s="3393"/>
      <c r="BH3" s="3393"/>
      <c r="BI3" s="3393"/>
      <c r="BJ3" s="3393"/>
      <c r="BK3" s="3393"/>
      <c r="BL3" s="3393"/>
      <c r="BM3" s="3393"/>
      <c r="BN3" s="3393"/>
      <c r="BO3" s="3393"/>
      <c r="BP3" s="3393"/>
      <c r="BQ3" s="3393"/>
      <c r="BR3" s="3393"/>
      <c r="BS3" s="3393"/>
      <c r="BT3" s="3393"/>
      <c r="BU3" s="3393"/>
      <c r="BV3" s="3393"/>
      <c r="BW3" s="3393"/>
      <c r="BX3" s="3393"/>
      <c r="BY3" s="3393"/>
      <c r="BZ3" s="3393"/>
      <c r="CA3" s="3393"/>
      <c r="CB3" s="3393"/>
      <c r="CC3" s="3393"/>
      <c r="CD3" s="3393"/>
      <c r="CE3" s="3393"/>
      <c r="CF3" s="3393"/>
      <c r="CG3" s="3393"/>
      <c r="CH3" s="3393"/>
      <c r="CI3" s="3393"/>
      <c r="CJ3" s="3393"/>
      <c r="CK3" s="3393"/>
      <c r="CL3" s="3393"/>
      <c r="CM3" s="3393"/>
      <c r="CN3" s="3393"/>
      <c r="CO3" s="3393"/>
      <c r="CP3" s="3393"/>
      <c r="CQ3" s="3393"/>
      <c r="CR3" s="3393"/>
      <c r="CS3" s="3393"/>
      <c r="CT3" s="3393"/>
      <c r="CU3" s="3393"/>
      <c r="CV3" s="3393"/>
      <c r="CW3" s="3393"/>
      <c r="CX3" s="3393"/>
      <c r="CY3" s="3393"/>
      <c r="CZ3" s="3393"/>
      <c r="DA3" s="3393"/>
      <c r="DB3" s="3393"/>
      <c r="DC3" s="3393"/>
      <c r="DD3" s="3393"/>
      <c r="DE3" s="3393"/>
      <c r="DF3" s="3393"/>
      <c r="DG3" s="3393"/>
      <c r="DH3" s="3393"/>
      <c r="DI3" s="3393"/>
      <c r="DJ3" s="3393"/>
      <c r="DK3" s="3393"/>
      <c r="DL3" s="3393"/>
      <c r="DM3" s="3393"/>
      <c r="DN3" s="3393"/>
      <c r="DO3" s="3393"/>
      <c r="DP3" s="3393"/>
      <c r="DQ3" s="3393"/>
      <c r="DR3" s="3393"/>
      <c r="DS3" s="3393"/>
      <c r="DT3" s="3393"/>
      <c r="DU3" s="3393"/>
      <c r="DV3" s="3393"/>
      <c r="DW3" s="3393"/>
      <c r="DX3" s="3393"/>
      <c r="DY3" s="3393"/>
      <c r="DZ3" s="3393"/>
      <c r="EA3" s="3393"/>
      <c r="EB3" s="3393"/>
      <c r="EC3" s="3393"/>
      <c r="ED3" s="3393"/>
      <c r="EE3" s="3393"/>
      <c r="EF3" s="3393"/>
      <c r="EG3" s="3393"/>
      <c r="EH3" s="3393"/>
      <c r="EI3" s="3393"/>
      <c r="EJ3" s="3393"/>
      <c r="EK3" s="3393"/>
      <c r="EL3" s="3393"/>
      <c r="EM3" s="3393"/>
      <c r="EN3" s="3393"/>
      <c r="EO3" s="3393"/>
      <c r="EP3" s="3393"/>
      <c r="EQ3" s="3393"/>
      <c r="ER3" s="3393"/>
      <c r="ES3" s="3393"/>
      <c r="ET3" s="3393"/>
      <c r="EU3" s="3393"/>
      <c r="EV3" s="3393"/>
      <c r="EW3" s="3393"/>
      <c r="EX3" s="3393"/>
      <c r="EY3" s="3393"/>
      <c r="EZ3" s="3393"/>
      <c r="FA3" s="3393"/>
      <c r="FB3" s="3393"/>
      <c r="FC3" s="3393"/>
      <c r="FD3" s="3393"/>
      <c r="FE3" s="3393"/>
      <c r="FF3" s="3393"/>
      <c r="FG3" s="3393"/>
      <c r="FH3" s="3393"/>
      <c r="FI3" s="3393"/>
      <c r="FJ3" s="3393"/>
      <c r="FK3" s="3393"/>
      <c r="FL3" s="3393"/>
      <c r="FM3" s="3393"/>
      <c r="FN3" s="3393"/>
      <c r="FO3" s="3393"/>
      <c r="FP3" s="3393"/>
      <c r="FQ3" s="3393"/>
      <c r="FR3" s="3393"/>
      <c r="FS3" s="3393"/>
      <c r="FT3" s="3393"/>
      <c r="FU3" s="3393"/>
      <c r="FV3" s="3393"/>
      <c r="FW3" s="3393"/>
      <c r="FX3" s="3393"/>
      <c r="FY3" s="3393"/>
      <c r="FZ3" s="3393"/>
      <c r="GA3" s="3393"/>
      <c r="GB3" s="3393"/>
      <c r="GC3" s="3393"/>
      <c r="GD3" s="3393"/>
      <c r="GE3" s="3393"/>
      <c r="GF3" s="3393"/>
      <c r="GG3" s="3393"/>
      <c r="GH3" s="3393"/>
      <c r="GI3" s="3393"/>
      <c r="GJ3" s="3393"/>
      <c r="GK3" s="3393"/>
      <c r="GL3" s="3393"/>
      <c r="GM3" s="3393"/>
      <c r="GN3" s="3393"/>
      <c r="GO3" s="3393"/>
      <c r="GP3" s="3393"/>
      <c r="GQ3" s="3393"/>
      <c r="GR3" s="3393"/>
      <c r="GS3" s="3393"/>
      <c r="GT3" s="3393"/>
      <c r="GU3" s="3393"/>
      <c r="GV3" s="3393"/>
      <c r="GW3" s="3393"/>
      <c r="GX3" s="3393"/>
      <c r="GY3" s="3393"/>
      <c r="GZ3" s="3393"/>
      <c r="HA3" s="3393"/>
      <c r="HB3" s="3393"/>
      <c r="HC3" s="3393"/>
      <c r="HD3" s="3393"/>
      <c r="HE3" s="3393"/>
      <c r="HF3" s="3393"/>
      <c r="HG3" s="3393"/>
      <c r="HH3" s="3393"/>
      <c r="HI3" s="3393"/>
      <c r="HJ3" s="3393"/>
      <c r="HK3" s="3393"/>
      <c r="HL3" s="3393"/>
      <c r="HM3" s="3393"/>
      <c r="HN3" s="3393"/>
      <c r="HO3" s="3393"/>
      <c r="HP3" s="3393"/>
      <c r="HQ3" s="3393"/>
      <c r="HR3" s="3393"/>
      <c r="HS3" s="3393"/>
      <c r="HT3" s="3393"/>
      <c r="HU3" s="3393"/>
      <c r="HV3" s="3393"/>
      <c r="HW3" s="3393"/>
      <c r="HX3" s="3393"/>
      <c r="HY3" s="3393"/>
      <c r="HZ3" s="3393"/>
      <c r="IA3" s="3393"/>
      <c r="IB3" s="3393"/>
      <c r="IC3" s="3393"/>
      <c r="ID3" s="3393"/>
      <c r="IE3" s="3393"/>
      <c r="IF3" s="3393"/>
      <c r="IG3" s="3393"/>
      <c r="IH3" s="3393"/>
      <c r="II3" s="3393"/>
      <c r="IJ3" s="3393"/>
      <c r="IK3" s="3393"/>
      <c r="IL3" s="3393"/>
      <c r="IM3" s="3393"/>
    </row>
    <row r="4" spans="1:247">
      <c r="A4" s="3393" t="s">
        <v>3331</v>
      </c>
      <c r="B4" s="3393" t="s">
        <v>3299</v>
      </c>
      <c r="C4" s="3393" t="s">
        <v>3300</v>
      </c>
      <c r="D4" s="3393" t="s">
        <v>3301</v>
      </c>
      <c r="E4" s="3393" t="s">
        <v>3318</v>
      </c>
      <c r="F4" s="3393" t="s">
        <v>3331</v>
      </c>
      <c r="G4" s="3393" t="s">
        <v>3303</v>
      </c>
      <c r="H4" s="3393" t="s">
        <v>3332</v>
      </c>
      <c r="I4" s="3393" t="s">
        <v>3321</v>
      </c>
      <c r="J4" s="3393">
        <v>26568</v>
      </c>
      <c r="K4" s="3393">
        <v>39852</v>
      </c>
      <c r="L4" s="3393" t="s">
        <v>3322</v>
      </c>
      <c r="M4" s="3393" t="s">
        <v>2095</v>
      </c>
      <c r="N4" s="3393" t="s">
        <v>3323</v>
      </c>
      <c r="O4" s="3393" t="s">
        <v>3324</v>
      </c>
      <c r="P4" s="3393" t="s">
        <v>3325</v>
      </c>
      <c r="Q4" s="3393" t="s">
        <v>3326</v>
      </c>
      <c r="R4" s="3393" t="s">
        <v>3327</v>
      </c>
      <c r="S4" s="3393" t="s">
        <v>3327</v>
      </c>
      <c r="T4" s="3393" t="s">
        <v>3328</v>
      </c>
      <c r="U4" s="3393" t="s">
        <v>3313</v>
      </c>
      <c r="V4" s="3393" t="s">
        <v>3333</v>
      </c>
      <c r="W4" s="3393">
        <v>3360</v>
      </c>
      <c r="X4" s="3393">
        <v>3360</v>
      </c>
      <c r="Y4" s="3393">
        <v>3360</v>
      </c>
      <c r="Z4" s="3393">
        <v>84.31</v>
      </c>
      <c r="AA4" s="3393">
        <v>84.31</v>
      </c>
      <c r="AB4" s="3393">
        <v>843.11</v>
      </c>
      <c r="AC4" s="3393">
        <v>843.12</v>
      </c>
      <c r="AD4" s="3393" t="s">
        <v>2095</v>
      </c>
      <c r="AE4" s="3393" t="s">
        <v>2095</v>
      </c>
      <c r="AF4" s="3393">
        <v>0</v>
      </c>
      <c r="AG4" s="3393" t="s">
        <v>3315</v>
      </c>
      <c r="AH4" s="3393" t="s">
        <v>2095</v>
      </c>
      <c r="AI4" s="3393" t="s">
        <v>2095</v>
      </c>
      <c r="AJ4" s="3393" t="s">
        <v>2095</v>
      </c>
      <c r="AK4" s="3393" t="s">
        <v>3330</v>
      </c>
      <c r="AL4" s="3393"/>
      <c r="AM4" s="3393"/>
      <c r="AN4" s="3393"/>
      <c r="AO4" s="3393"/>
      <c r="AP4" s="3393"/>
      <c r="AQ4" s="3393"/>
      <c r="AR4" s="3393"/>
      <c r="AS4" s="3393"/>
      <c r="AT4" s="3393"/>
      <c r="AU4" s="3393"/>
      <c r="AV4" s="3393"/>
      <c r="AW4" s="3393"/>
      <c r="AX4" s="3393"/>
      <c r="AY4" s="3393"/>
      <c r="AZ4" s="3393"/>
      <c r="BA4" s="3393"/>
      <c r="BB4" s="3393"/>
      <c r="BC4" s="3393"/>
      <c r="BD4" s="3393"/>
      <c r="BE4" s="3393"/>
      <c r="BF4" s="3393"/>
      <c r="BG4" s="3393"/>
      <c r="BH4" s="3393"/>
      <c r="BI4" s="3393"/>
      <c r="BJ4" s="3393"/>
      <c r="BK4" s="3393"/>
      <c r="BL4" s="3393"/>
      <c r="BM4" s="3393"/>
      <c r="BN4" s="3393"/>
      <c r="BO4" s="3393"/>
      <c r="BP4" s="3393"/>
      <c r="BQ4" s="3393"/>
      <c r="BR4" s="3393"/>
      <c r="BS4" s="3393"/>
      <c r="BT4" s="3393"/>
      <c r="BU4" s="3393"/>
      <c r="BV4" s="3393"/>
      <c r="BW4" s="3393"/>
      <c r="BX4" s="3393"/>
      <c r="BY4" s="3393"/>
      <c r="BZ4" s="3393"/>
      <c r="CA4" s="3393"/>
      <c r="CB4" s="3393"/>
      <c r="CC4" s="3393"/>
      <c r="CD4" s="3393"/>
      <c r="CE4" s="3393"/>
      <c r="CF4" s="3393"/>
      <c r="CG4" s="3393"/>
      <c r="CH4" s="3393"/>
      <c r="CI4" s="3393"/>
      <c r="CJ4" s="3393"/>
      <c r="CK4" s="3393"/>
      <c r="CL4" s="3393"/>
      <c r="CM4" s="3393"/>
      <c r="CN4" s="3393"/>
      <c r="CO4" s="3393"/>
      <c r="CP4" s="3393"/>
      <c r="CQ4" s="3393"/>
      <c r="CR4" s="3393"/>
      <c r="CS4" s="3393"/>
      <c r="CT4" s="3393"/>
      <c r="CU4" s="3393"/>
      <c r="CV4" s="3393"/>
      <c r="CW4" s="3393"/>
      <c r="CX4" s="3393"/>
      <c r="CY4" s="3393"/>
      <c r="CZ4" s="3393"/>
      <c r="DA4" s="3393"/>
      <c r="DB4" s="3393"/>
      <c r="DC4" s="3393"/>
      <c r="DD4" s="3393"/>
      <c r="DE4" s="3393"/>
      <c r="DF4" s="3393"/>
      <c r="DG4" s="3393"/>
      <c r="DH4" s="3393"/>
      <c r="DI4" s="3393"/>
      <c r="DJ4" s="3393"/>
      <c r="DK4" s="3393"/>
      <c r="DL4" s="3393"/>
      <c r="DM4" s="3393"/>
      <c r="DN4" s="3393"/>
      <c r="DO4" s="3393"/>
      <c r="DP4" s="3393"/>
      <c r="DQ4" s="3393"/>
      <c r="DR4" s="3393"/>
      <c r="DS4" s="3393"/>
      <c r="DT4" s="3393"/>
      <c r="DU4" s="3393"/>
      <c r="DV4" s="3393"/>
      <c r="DW4" s="3393"/>
      <c r="DX4" s="3393"/>
      <c r="DY4" s="3393"/>
      <c r="DZ4" s="3393"/>
      <c r="EA4" s="3393"/>
      <c r="EB4" s="3393"/>
      <c r="EC4" s="3393"/>
      <c r="ED4" s="3393"/>
      <c r="EE4" s="3393"/>
      <c r="EF4" s="3393"/>
      <c r="EG4" s="3393"/>
      <c r="EH4" s="3393"/>
      <c r="EI4" s="3393"/>
      <c r="EJ4" s="3393"/>
      <c r="EK4" s="3393"/>
      <c r="EL4" s="3393"/>
      <c r="EM4" s="3393"/>
      <c r="EN4" s="3393"/>
      <c r="EO4" s="3393"/>
      <c r="EP4" s="3393"/>
      <c r="EQ4" s="3393"/>
      <c r="ER4" s="3393"/>
      <c r="ES4" s="3393"/>
      <c r="ET4" s="3393"/>
      <c r="EU4" s="3393"/>
      <c r="EV4" s="3393"/>
      <c r="EW4" s="3393"/>
      <c r="EX4" s="3393"/>
      <c r="EY4" s="3393"/>
      <c r="EZ4" s="3393"/>
      <c r="FA4" s="3393"/>
      <c r="FB4" s="3393"/>
      <c r="FC4" s="3393"/>
      <c r="FD4" s="3393"/>
      <c r="FE4" s="3393"/>
      <c r="FF4" s="3393"/>
      <c r="FG4" s="3393"/>
      <c r="FH4" s="3393"/>
      <c r="FI4" s="3393"/>
      <c r="FJ4" s="3393"/>
      <c r="FK4" s="3393"/>
      <c r="FL4" s="3393"/>
      <c r="FM4" s="3393"/>
      <c r="FN4" s="3393"/>
      <c r="FO4" s="3393"/>
      <c r="FP4" s="3393"/>
      <c r="FQ4" s="3393"/>
      <c r="FR4" s="3393"/>
      <c r="FS4" s="3393"/>
      <c r="FT4" s="3393"/>
      <c r="FU4" s="3393"/>
      <c r="FV4" s="3393"/>
      <c r="FW4" s="3393"/>
      <c r="FX4" s="3393"/>
      <c r="FY4" s="3393"/>
      <c r="FZ4" s="3393"/>
      <c r="GA4" s="3393"/>
      <c r="GB4" s="3393"/>
      <c r="GC4" s="3393"/>
      <c r="GD4" s="3393"/>
      <c r="GE4" s="3393"/>
      <c r="GF4" s="3393"/>
      <c r="GG4" s="3393"/>
      <c r="GH4" s="3393"/>
      <c r="GI4" s="3393"/>
      <c r="GJ4" s="3393"/>
      <c r="GK4" s="3393"/>
      <c r="GL4" s="3393"/>
      <c r="GM4" s="3393"/>
      <c r="GN4" s="3393"/>
      <c r="GO4" s="3393"/>
      <c r="GP4" s="3393"/>
      <c r="GQ4" s="3393"/>
      <c r="GR4" s="3393"/>
      <c r="GS4" s="3393"/>
      <c r="GT4" s="3393"/>
      <c r="GU4" s="3393"/>
      <c r="GV4" s="3393"/>
      <c r="GW4" s="3393"/>
      <c r="GX4" s="3393"/>
      <c r="GY4" s="3393"/>
      <c r="GZ4" s="3393"/>
      <c r="HA4" s="3393"/>
      <c r="HB4" s="3393"/>
      <c r="HC4" s="3393"/>
      <c r="HD4" s="3393"/>
      <c r="HE4" s="3393"/>
      <c r="HF4" s="3393"/>
      <c r="HG4" s="3393"/>
      <c r="HH4" s="3393"/>
      <c r="HI4" s="3393"/>
      <c r="HJ4" s="3393"/>
      <c r="HK4" s="3393"/>
      <c r="HL4" s="3393"/>
      <c r="HM4" s="3393"/>
      <c r="HN4" s="3393"/>
      <c r="HO4" s="3393"/>
      <c r="HP4" s="3393"/>
      <c r="HQ4" s="3393"/>
      <c r="HR4" s="3393"/>
      <c r="HS4" s="3393"/>
      <c r="HT4" s="3393"/>
      <c r="HU4" s="3393"/>
      <c r="HV4" s="3393"/>
      <c r="HW4" s="3393"/>
      <c r="HX4" s="3393"/>
      <c r="HY4" s="3393"/>
      <c r="HZ4" s="3393"/>
      <c r="IA4" s="3393"/>
      <c r="IB4" s="3393"/>
      <c r="IC4" s="3393"/>
      <c r="ID4" s="3393"/>
      <c r="IE4" s="3393"/>
      <c r="IF4" s="3393"/>
      <c r="IG4" s="3393"/>
      <c r="IH4" s="3393"/>
      <c r="II4" s="3393"/>
      <c r="IJ4" s="3393"/>
      <c r="IK4" s="3393"/>
      <c r="IL4" s="3393"/>
      <c r="IM4" s="3393"/>
    </row>
    <row r="6" spans="1:247" s="2235" customFormat="1">
      <c r="A6" s="2235" t="s">
        <v>3262</v>
      </c>
      <c r="B6" s="2235" t="s">
        <v>3263</v>
      </c>
      <c r="C6" s="2235" t="s">
        <v>3269</v>
      </c>
      <c r="D6" s="2235" t="s">
        <v>3393</v>
      </c>
      <c r="E6" s="2235" t="s">
        <v>3265</v>
      </c>
      <c r="F6" s="2235" t="s">
        <v>3266</v>
      </c>
      <c r="G6" s="2235" t="s">
        <v>3267</v>
      </c>
      <c r="H6" s="2235" t="s">
        <v>3264</v>
      </c>
      <c r="I6" s="2235" t="s">
        <v>3271</v>
      </c>
      <c r="J6" s="2235" t="s">
        <v>3272</v>
      </c>
      <c r="K6" s="2235" t="s">
        <v>1550</v>
      </c>
      <c r="L6" s="2235" t="s">
        <v>3268</v>
      </c>
      <c r="M6" s="2235" t="s">
        <v>3270</v>
      </c>
      <c r="N6" s="2235" t="s">
        <v>3394</v>
      </c>
      <c r="O6" s="2235" t="s">
        <v>3395</v>
      </c>
      <c r="P6" s="2235" t="s">
        <v>3274</v>
      </c>
      <c r="Q6" s="2235" t="s">
        <v>3396</v>
      </c>
      <c r="R6" s="2235" t="s">
        <v>3397</v>
      </c>
      <c r="S6" s="2235" t="s">
        <v>3398</v>
      </c>
      <c r="T6" s="2235" t="s">
        <v>3399</v>
      </c>
      <c r="U6" s="2235" t="s">
        <v>3400</v>
      </c>
      <c r="V6" s="2235" t="s">
        <v>3401</v>
      </c>
      <c r="W6" s="2235" t="s">
        <v>3402</v>
      </c>
      <c r="X6" s="2235" t="s">
        <v>3403</v>
      </c>
      <c r="Y6" s="2235" t="s">
        <v>3404</v>
      </c>
      <c r="Z6" s="2235" t="s">
        <v>3276</v>
      </c>
      <c r="AA6" s="2235" t="s">
        <v>3277</v>
      </c>
      <c r="AB6" s="2235" t="s">
        <v>3278</v>
      </c>
      <c r="AC6" s="2235" t="s">
        <v>3279</v>
      </c>
      <c r="AD6" s="2235" t="s">
        <v>3280</v>
      </c>
      <c r="AE6" s="2235" t="s">
        <v>3405</v>
      </c>
      <c r="AF6" s="2235" t="s">
        <v>3282</v>
      </c>
      <c r="AG6" s="2235" t="s">
        <v>3406</v>
      </c>
      <c r="AH6" s="2235" t="s">
        <v>3407</v>
      </c>
      <c r="AI6" s="2235" t="s">
        <v>3284</v>
      </c>
      <c r="AJ6" s="2235" t="s">
        <v>3283</v>
      </c>
      <c r="AK6" s="2235" t="s">
        <v>3408</v>
      </c>
      <c r="AL6" s="2235" t="s">
        <v>3285</v>
      </c>
      <c r="AM6" s="2235" t="s">
        <v>3286</v>
      </c>
      <c r="AN6" s="2235" t="s">
        <v>3287</v>
      </c>
      <c r="AO6" s="2235" t="s">
        <v>3288</v>
      </c>
      <c r="AP6" s="2235" t="s">
        <v>3289</v>
      </c>
      <c r="AQ6" s="2235" t="s">
        <v>3290</v>
      </c>
      <c r="AR6" s="2235" t="s">
        <v>3291</v>
      </c>
      <c r="AS6" s="2235" t="s">
        <v>3409</v>
      </c>
      <c r="AT6" s="2235" t="s">
        <v>3410</v>
      </c>
      <c r="AU6" s="2235" t="s">
        <v>3411</v>
      </c>
      <c r="AV6" s="2235" t="s">
        <v>3412</v>
      </c>
      <c r="AW6" s="2235" t="s">
        <v>3413</v>
      </c>
      <c r="AX6" s="2235" t="s">
        <v>3414</v>
      </c>
      <c r="AY6" s="2235" t="s">
        <v>3415</v>
      </c>
      <c r="AZ6" s="2235" t="s">
        <v>3416</v>
      </c>
    </row>
    <row r="7" spans="1:247" s="3407" customFormat="1">
      <c r="A7" s="3407" t="s">
        <v>3417</v>
      </c>
      <c r="B7" s="3407" t="s">
        <v>3299</v>
      </c>
      <c r="C7" s="3407" t="s">
        <v>3417</v>
      </c>
      <c r="D7" s="3407" t="s">
        <v>3418</v>
      </c>
      <c r="E7" s="3407" t="s">
        <v>3419</v>
      </c>
      <c r="F7" s="3407" t="s">
        <v>3420</v>
      </c>
      <c r="G7" s="3409" t="s">
        <v>3440</v>
      </c>
      <c r="H7" s="3407" t="s">
        <v>3421</v>
      </c>
      <c r="I7" s="3407">
        <v>16787</v>
      </c>
      <c r="J7" s="3407">
        <v>25180.5</v>
      </c>
      <c r="K7" s="3407" t="s">
        <v>3422</v>
      </c>
      <c r="L7" s="3407" t="s">
        <v>3423</v>
      </c>
      <c r="M7" s="3407" t="s">
        <v>3424</v>
      </c>
      <c r="N7" s="3407" t="s">
        <v>3425</v>
      </c>
      <c r="O7" s="3407" t="s">
        <v>3426</v>
      </c>
      <c r="P7" s="3407" t="s">
        <v>3427</v>
      </c>
      <c r="Q7" s="3407" t="s">
        <v>3428</v>
      </c>
      <c r="R7" s="3407" t="s">
        <v>3429</v>
      </c>
      <c r="S7" s="3407" t="s">
        <v>3429</v>
      </c>
      <c r="T7" s="3407" t="s">
        <v>3429</v>
      </c>
      <c r="U7" s="3407" t="s">
        <v>3429</v>
      </c>
      <c r="V7" s="3407" t="s">
        <v>3429</v>
      </c>
      <c r="W7" s="3407" t="s">
        <v>3429</v>
      </c>
      <c r="X7" s="3407">
        <v>0</v>
      </c>
      <c r="Y7" s="3407">
        <v>0</v>
      </c>
      <c r="Z7" s="3408">
        <v>44957.000497685185</v>
      </c>
      <c r="AA7" s="3408">
        <v>44977.000497685185</v>
      </c>
      <c r="AB7" s="3408">
        <v>44988.000497685185</v>
      </c>
      <c r="AC7" s="3408">
        <v>44988.000497685185</v>
      </c>
      <c r="AD7" s="3407" t="s">
        <v>3430</v>
      </c>
      <c r="AE7" s="3407" t="s">
        <v>3431</v>
      </c>
      <c r="AF7" s="3407" t="s">
        <v>3432</v>
      </c>
      <c r="AG7" s="3407" t="s">
        <v>3429</v>
      </c>
      <c r="AH7" s="3407" t="s">
        <v>3429</v>
      </c>
      <c r="AI7" s="3407">
        <v>2520</v>
      </c>
      <c r="AJ7" s="3407">
        <v>2520</v>
      </c>
      <c r="AK7" s="3407" t="s">
        <v>3433</v>
      </c>
      <c r="AL7" s="3407">
        <v>2520</v>
      </c>
      <c r="AM7" s="3407">
        <v>100.08</v>
      </c>
      <c r="AN7" s="3407">
        <v>100.08</v>
      </c>
      <c r="AO7" s="3407">
        <v>1001</v>
      </c>
      <c r="AP7" s="3407">
        <v>1001</v>
      </c>
      <c r="AQ7" s="3407" t="s">
        <v>3429</v>
      </c>
      <c r="AR7" s="3407" t="s">
        <v>3429</v>
      </c>
      <c r="AS7" s="3407">
        <v>0</v>
      </c>
      <c r="AT7" s="3407" t="s">
        <v>3434</v>
      </c>
      <c r="AU7" s="3407" t="s">
        <v>3426</v>
      </c>
      <c r="AV7" s="3407" t="s">
        <v>3429</v>
      </c>
      <c r="AW7" s="3407" t="s">
        <v>3426</v>
      </c>
      <c r="AX7" s="3407" t="s">
        <v>3429</v>
      </c>
      <c r="AY7" s="3407" t="s">
        <v>3429</v>
      </c>
      <c r="AZ7" s="3407" t="s">
        <v>3429</v>
      </c>
    </row>
    <row r="8" spans="1:247" s="3407" customFormat="1">
      <c r="A8" s="3407" t="s">
        <v>3435</v>
      </c>
      <c r="B8" s="3407" t="s">
        <v>3299</v>
      </c>
      <c r="C8" s="3407" t="s">
        <v>3435</v>
      </c>
      <c r="D8" s="3407" t="s">
        <v>3418</v>
      </c>
      <c r="E8" s="3407" t="s">
        <v>3419</v>
      </c>
      <c r="F8" s="3407" t="s">
        <v>3436</v>
      </c>
      <c r="G8" s="3409" t="s">
        <v>3441</v>
      </c>
      <c r="H8" s="3407" t="s">
        <v>3421</v>
      </c>
      <c r="I8" s="3407">
        <v>28857</v>
      </c>
      <c r="J8" s="3407">
        <v>57714</v>
      </c>
      <c r="K8" s="3407" t="s">
        <v>3437</v>
      </c>
      <c r="L8" s="3407" t="s">
        <v>3423</v>
      </c>
      <c r="M8" s="3407" t="s">
        <v>3424</v>
      </c>
      <c r="N8" s="3407" t="s">
        <v>3425</v>
      </c>
      <c r="O8" s="3407" t="s">
        <v>3426</v>
      </c>
      <c r="P8" s="3407" t="s">
        <v>3438</v>
      </c>
      <c r="Q8" s="3407" t="s">
        <v>3429</v>
      </c>
      <c r="R8" s="3407" t="s">
        <v>3429</v>
      </c>
      <c r="S8" s="3407" t="s">
        <v>3429</v>
      </c>
      <c r="T8" s="3407" t="s">
        <v>3429</v>
      </c>
      <c r="U8" s="3407" t="s">
        <v>3429</v>
      </c>
      <c r="V8" s="3407" t="s">
        <v>3429</v>
      </c>
      <c r="W8" s="3407" t="s">
        <v>3429</v>
      </c>
      <c r="X8" s="3407">
        <v>0</v>
      </c>
      <c r="Y8" s="3407">
        <v>0</v>
      </c>
      <c r="Z8" s="3408">
        <v>44957.000497685185</v>
      </c>
      <c r="AA8" s="3408">
        <v>44977.000497685185</v>
      </c>
      <c r="AB8" s="3408">
        <v>44988.000497685185</v>
      </c>
      <c r="AC8" s="3408">
        <v>44988.000497685185</v>
      </c>
      <c r="AD8" s="3407" t="s">
        <v>3430</v>
      </c>
      <c r="AE8" s="3407" t="s">
        <v>3431</v>
      </c>
      <c r="AF8" s="3407" t="s">
        <v>3439</v>
      </c>
      <c r="AG8" s="3407" t="s">
        <v>3429</v>
      </c>
      <c r="AH8" s="3407" t="s">
        <v>3429</v>
      </c>
      <c r="AI8" s="3407">
        <v>4330</v>
      </c>
      <c r="AJ8" s="3407">
        <v>4330</v>
      </c>
      <c r="AK8" s="3407" t="s">
        <v>3433</v>
      </c>
      <c r="AL8" s="3407">
        <v>4330</v>
      </c>
      <c r="AM8" s="3407">
        <v>100.03</v>
      </c>
      <c r="AN8" s="3407">
        <v>100.03</v>
      </c>
      <c r="AO8" s="3407">
        <v>750</v>
      </c>
      <c r="AP8" s="3407">
        <v>750</v>
      </c>
      <c r="AQ8" s="3407" t="s">
        <v>3429</v>
      </c>
      <c r="AR8" s="3407" t="s">
        <v>3429</v>
      </c>
      <c r="AS8" s="3407">
        <v>0</v>
      </c>
      <c r="AT8" s="3407" t="s">
        <v>3434</v>
      </c>
      <c r="AU8" s="3407" t="s">
        <v>3426</v>
      </c>
      <c r="AV8" s="3407" t="s">
        <v>3429</v>
      </c>
      <c r="AW8" s="3407" t="s">
        <v>3426</v>
      </c>
      <c r="AX8" s="3407" t="s">
        <v>3429</v>
      </c>
      <c r="AY8" s="3407" t="s">
        <v>3429</v>
      </c>
      <c r="AZ8" s="3407" t="s">
        <v>3429</v>
      </c>
    </row>
    <row r="13" spans="1:247">
      <c r="V13" s="3394">
        <v>1</v>
      </c>
      <c r="W13" s="3394">
        <v>1</v>
      </c>
      <c r="X13" s="3394">
        <v>3</v>
      </c>
      <c r="Y13" s="3396">
        <f>Y21/X21*X13</f>
        <v>12121.379310344828</v>
      </c>
    </row>
    <row r="14" spans="1:247">
      <c r="V14" s="3394">
        <v>2</v>
      </c>
      <c r="W14" s="3394">
        <v>0.6</v>
      </c>
      <c r="X14" s="3394">
        <f>$X$13*W14</f>
        <v>1.7999999999999998</v>
      </c>
      <c r="Y14" s="3396">
        <f>W14*$Y$13</f>
        <v>7272.8275862068967</v>
      </c>
    </row>
    <row r="15" spans="1:247">
      <c r="V15" s="3394">
        <v>3</v>
      </c>
      <c r="W15" s="3394">
        <v>0.5</v>
      </c>
      <c r="X15" s="3394">
        <f t="shared" ref="X15:X20" si="0">$X$13*W15</f>
        <v>1.5</v>
      </c>
      <c r="Y15" s="3396">
        <f t="shared" ref="Y15:Y20" si="1">W15*$Y$13</f>
        <v>6060.6896551724139</v>
      </c>
    </row>
    <row r="16" spans="1:247">
      <c r="V16" s="3394">
        <v>4</v>
      </c>
      <c r="W16" s="3394">
        <v>0.45</v>
      </c>
      <c r="X16" s="3394">
        <f t="shared" si="0"/>
        <v>1.35</v>
      </c>
      <c r="Y16" s="3396">
        <f t="shared" si="1"/>
        <v>5454.620689655173</v>
      </c>
    </row>
    <row r="17" spans="20:25">
      <c r="V17" s="3394">
        <v>5</v>
      </c>
      <c r="W17" s="3394">
        <f t="shared" ref="W17:W20" si="2">W16</f>
        <v>0.45</v>
      </c>
      <c r="X17" s="3394">
        <f t="shared" si="0"/>
        <v>1.35</v>
      </c>
      <c r="Y17" s="3396">
        <f t="shared" si="1"/>
        <v>5454.620689655173</v>
      </c>
    </row>
    <row r="18" spans="20:25">
      <c r="V18" s="3394">
        <v>6</v>
      </c>
      <c r="W18" s="3394">
        <f t="shared" si="2"/>
        <v>0.45</v>
      </c>
      <c r="X18" s="3394">
        <f t="shared" si="0"/>
        <v>1.35</v>
      </c>
      <c r="Y18" s="3396">
        <f t="shared" si="1"/>
        <v>5454.620689655173</v>
      </c>
    </row>
    <row r="19" spans="20:25">
      <c r="V19" s="3394">
        <v>7</v>
      </c>
      <c r="W19" s="3394">
        <f t="shared" si="2"/>
        <v>0.45</v>
      </c>
      <c r="X19" s="3394">
        <f t="shared" si="0"/>
        <v>1.35</v>
      </c>
      <c r="Y19" s="3396">
        <f t="shared" si="1"/>
        <v>5454.620689655173</v>
      </c>
    </row>
    <row r="20" spans="20:25">
      <c r="V20" s="3394">
        <v>8</v>
      </c>
      <c r="W20" s="3394">
        <f t="shared" si="2"/>
        <v>0.45</v>
      </c>
      <c r="X20" s="3394">
        <f t="shared" si="0"/>
        <v>1.35</v>
      </c>
      <c r="Y20" s="3396">
        <f t="shared" si="1"/>
        <v>5454.620689655173</v>
      </c>
    </row>
    <row r="21" spans="20:25">
      <c r="X21" s="3394">
        <f>SUM(X13:X20)/8</f>
        <v>1.6312499999999999</v>
      </c>
      <c r="Y21" s="3394">
        <f>[1]不动产收益法!C43</f>
        <v>6591</v>
      </c>
    </row>
    <row r="26" spans="20:25">
      <c r="T26" s="3394" t="s">
        <v>3334</v>
      </c>
    </row>
  </sheetData>
  <phoneticPr fontId="224" type="noConversion"/>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4" customWidth="1"/>
    <col min="2" max="2" width="10.75" style="1374" customWidth="1"/>
    <col min="3" max="4" width="11.625" style="1374" customWidth="1"/>
    <col min="5" max="5" width="6.625" style="1374" customWidth="1"/>
    <col min="6" max="16384" width="9" style="1374"/>
  </cols>
  <sheetData>
    <row r="36" spans="1:9">
      <c r="A36" s="1373" t="s">
        <v>1425</v>
      </c>
      <c r="B36" s="1373" t="s">
        <v>1426</v>
      </c>
    </row>
    <row r="37" spans="1:9" ht="28.5" customHeight="1">
      <c r="A37" s="1373"/>
      <c r="B37" s="3410" t="str">
        <f>项目基本情况!B1</f>
        <v>江苏省连云港海州区锦屏山东南侧4号地出让国有建设用地使用权抵押价格预评估</v>
      </c>
      <c r="C37" s="3410"/>
      <c r="D37" s="3410"/>
      <c r="E37" s="3410"/>
      <c r="F37" s="3410"/>
      <c r="G37" s="3410"/>
      <c r="H37" s="3410"/>
      <c r="I37" s="3410"/>
    </row>
    <row r="38" spans="1:9">
      <c r="A38" s="1375"/>
      <c r="B38" s="1375"/>
    </row>
    <row r="39" spans="1:9">
      <c r="A39" s="1373" t="s">
        <v>1425</v>
      </c>
      <c r="B39" s="1373" t="s">
        <v>1564</v>
      </c>
    </row>
    <row r="40" spans="1:9">
      <c r="A40" s="1373"/>
      <c r="B40" s="1373">
        <f>项目基本情况!B5</f>
        <v>0</v>
      </c>
    </row>
    <row r="41" spans="1:9">
      <c r="A41" s="1373"/>
      <c r="B41" s="1373"/>
    </row>
    <row r="42" spans="1:9">
      <c r="A42" s="1373" t="s">
        <v>1425</v>
      </c>
      <c r="B42" s="1373" t="s">
        <v>1565</v>
      </c>
    </row>
    <row r="43" spans="1:9">
      <c r="A43" s="1373"/>
      <c r="B43" s="1373" t="s">
        <v>1427</v>
      </c>
    </row>
    <row r="44" spans="1:9">
      <c r="A44" s="1373"/>
      <c r="B44" s="1373"/>
    </row>
    <row r="45" spans="1:9">
      <c r="A45" s="1373" t="s">
        <v>1425</v>
      </c>
      <c r="B45" s="1373" t="s">
        <v>1563</v>
      </c>
    </row>
    <row r="46" spans="1:9" s="1373" customFormat="1" ht="12.75">
      <c r="B46" s="1373" t="str">
        <f>项目基本情况!K4</f>
        <v>王鹏、郑燚</v>
      </c>
    </row>
    <row r="47" spans="1:9">
      <c r="A47" s="1373"/>
      <c r="B47" s="1373"/>
    </row>
    <row r="48" spans="1:9">
      <c r="A48" s="1373" t="s">
        <v>1425</v>
      </c>
      <c r="B48" s="1373" t="s">
        <v>1566</v>
      </c>
    </row>
    <row r="49" spans="2:2">
      <c r="B49" s="137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E490"/>
  <sheetViews>
    <sheetView view="pageBreakPreview" zoomScale="80" zoomScaleNormal="80" zoomScaleSheetLayoutView="80" workbookViewId="0">
      <selection activeCell="C9" sqref="C9"/>
    </sheetView>
  </sheetViews>
  <sheetFormatPr defaultColWidth="6.625" defaultRowHeight="12.75"/>
  <cols>
    <col min="1" max="1" width="9.75" style="1732" customWidth="1"/>
    <col min="2" max="2" width="25.75" style="1722" customWidth="1"/>
    <col min="3" max="3" width="10.375" style="1733" customWidth="1"/>
    <col min="4" max="4" width="12" style="1722" customWidth="1"/>
    <col min="5" max="5" width="9.5" style="1732" customWidth="1"/>
    <col min="6" max="6" width="10.125" style="1722" customWidth="1"/>
    <col min="7" max="7" width="11.62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31" s="1654" customFormat="1" ht="20.25">
      <c r="A1" s="1711" t="s">
        <v>426</v>
      </c>
      <c r="B1" s="2119"/>
      <c r="C1" s="1712"/>
      <c r="D1" s="1712"/>
      <c r="E1" s="1712"/>
      <c r="F1" s="1712"/>
      <c r="G1" s="1712"/>
      <c r="H1" s="1712"/>
      <c r="I1" s="1712"/>
      <c r="J1" s="1712"/>
      <c r="K1" s="392">
        <f>MATCH(B1,'数据-取费表'!A6:A16,0)+5</f>
        <v>7</v>
      </c>
      <c r="L1" s="237"/>
      <c r="M1" s="237"/>
      <c r="N1" s="237"/>
      <c r="O1" s="237"/>
      <c r="P1" s="237"/>
      <c r="Q1" s="237"/>
      <c r="R1" s="237"/>
      <c r="S1" s="237"/>
      <c r="T1" s="237"/>
      <c r="U1" s="237"/>
      <c r="V1" s="237"/>
      <c r="W1" s="237"/>
      <c r="X1" s="237"/>
      <c r="Y1" s="237"/>
      <c r="Z1" s="237"/>
    </row>
    <row r="2" spans="1:31" s="1654" customFormat="1" ht="18" customHeight="1">
      <c r="A2" s="1709" t="s">
        <v>427</v>
      </c>
      <c r="B2" s="1713">
        <f ca="1">C36</f>
        <v>58206</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31" s="1654" customFormat="1" ht="18" customHeight="1">
      <c r="A3" s="1714" t="s">
        <v>1217</v>
      </c>
      <c r="B3" s="1715">
        <f ca="1">ROUND(B2*10000/IF(B1="",'数据-汇总表'!E3,INDIRECT("'数据-取费表'!K"&amp;$K$1)),0)</f>
        <v>1923</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31" s="1654" customFormat="1" ht="18" customHeight="1">
      <c r="A4" s="396" t="s">
        <v>428</v>
      </c>
      <c r="B4" s="397">
        <f ca="1">ROUND(B2*10000/IF(B1="",'数据-汇总表'!D3,INDIRECT("'数据-取费表'!R"&amp;$K$1)),0)</f>
        <v>6730</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4" customFormat="1" ht="18" customHeight="1" thickBot="1">
      <c r="A5" s="399"/>
      <c r="B5" s="400">
        <f ca="1">ROUND(B2/(IF(B1="",'数据-汇总表'!D3,INDIRECT("'数据-取费表'!R"&amp;$K$1))/666.67),0)</f>
        <v>449</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9" customFormat="1" ht="16.5" customHeight="1">
      <c r="A6" s="2134" t="s">
        <v>1371</v>
      </c>
      <c r="B6" s="2135"/>
      <c r="C6" s="2136">
        <f>SUM(C10:K10)</f>
        <v>215691.91875000001</v>
      </c>
      <c r="D6" s="2135"/>
      <c r="E6" s="2135"/>
      <c r="F6" s="2135"/>
      <c r="G6" s="2135"/>
      <c r="H6" s="2135"/>
      <c r="I6" s="2135"/>
      <c r="J6" s="2135"/>
      <c r="K6" s="2137"/>
      <c r="L6" s="2705"/>
      <c r="M6" s="2705"/>
      <c r="N6" s="2705"/>
      <c r="O6" s="2705"/>
      <c r="P6" s="2705"/>
      <c r="Q6" s="2705"/>
      <c r="R6" s="2705"/>
      <c r="S6" s="2705"/>
      <c r="T6" s="2705"/>
      <c r="U6" s="2705"/>
      <c r="V6" s="2705"/>
      <c r="W6" s="2705"/>
      <c r="X6" s="2705"/>
      <c r="Y6" s="2705"/>
      <c r="Z6" s="2705"/>
    </row>
    <row r="7" spans="1:31" s="1721" customFormat="1" ht="15">
      <c r="A7" s="2138" t="s">
        <v>430</v>
      </c>
      <c r="B7" s="2139" t="s">
        <v>431</v>
      </c>
      <c r="C7" s="406" t="s">
        <v>2736</v>
      </c>
      <c r="D7" s="406"/>
      <c r="E7" s="406"/>
      <c r="F7" s="406"/>
      <c r="G7" s="406"/>
      <c r="H7" s="406"/>
      <c r="I7" s="406"/>
      <c r="J7" s="406"/>
      <c r="K7" s="407"/>
      <c r="AA7" s="1720"/>
      <c r="AB7" s="1720"/>
      <c r="AC7" s="1720"/>
      <c r="AD7" s="1720"/>
      <c r="AE7" s="1720"/>
    </row>
    <row r="8" spans="1:31" s="1723" customFormat="1" ht="13.5" customHeight="1">
      <c r="A8" s="738" t="s">
        <v>1374</v>
      </c>
      <c r="B8" s="241" t="s">
        <v>432</v>
      </c>
      <c r="C8" s="2140">
        <f>'不动产比较法-商业'!B3</f>
        <v>7125</v>
      </c>
      <c r="D8" s="2140"/>
      <c r="E8" s="2140"/>
      <c r="F8" s="2140"/>
      <c r="G8" s="2140"/>
      <c r="H8" s="2140"/>
      <c r="I8" s="2140"/>
      <c r="J8" s="2140"/>
      <c r="K8" s="2141"/>
      <c r="AA8" s="1722"/>
      <c r="AB8" s="1722"/>
      <c r="AC8" s="1722"/>
      <c r="AD8" s="1722"/>
      <c r="AE8" s="1722"/>
    </row>
    <row r="9" spans="1:31" s="1723" customFormat="1" ht="13.5" customHeight="1">
      <c r="A9" s="738" t="s">
        <v>1375</v>
      </c>
      <c r="B9" s="241" t="s">
        <v>433</v>
      </c>
      <c r="C9" s="411">
        <f>SUMIF('数据-汇总表'!$C19:$C33,'剩余法-待开发'!C7,'数据-汇总表'!$E19:$E33)</f>
        <v>302725.5</v>
      </c>
      <c r="D9" s="411">
        <f>SUMIF('数据-汇总表'!$C19:$C33,'剩余法-待开发'!D7,'数据-汇总表'!$E19:$E33)</f>
        <v>0</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2"/>
      <c r="AB9" s="1722"/>
      <c r="AC9" s="1722"/>
      <c r="AD9" s="1722"/>
      <c r="AE9" s="1722"/>
    </row>
    <row r="10" spans="1:31" s="1723" customFormat="1" ht="13.5" customHeight="1" thickBot="1">
      <c r="A10" s="2142" t="s">
        <v>1376</v>
      </c>
      <c r="B10" s="2128" t="s">
        <v>434</v>
      </c>
      <c r="C10" s="2315">
        <f>C8*C9/10000</f>
        <v>215691.91875000001</v>
      </c>
      <c r="D10" s="2315"/>
      <c r="E10" s="2315"/>
      <c r="F10" s="2143"/>
      <c r="G10" s="2143"/>
      <c r="H10" s="2143"/>
      <c r="I10" s="2143"/>
      <c r="J10" s="2143"/>
      <c r="K10" s="2144"/>
      <c r="AA10" s="1722"/>
      <c r="AB10" s="1722"/>
      <c r="AC10" s="1722"/>
      <c r="AD10" s="1722"/>
      <c r="AE10" s="1722"/>
    </row>
    <row r="11" spans="1:31" s="1719" customFormat="1" ht="16.5" customHeight="1">
      <c r="A11" s="2145" t="s">
        <v>1372</v>
      </c>
      <c r="B11" s="2135"/>
      <c r="C11" s="2135"/>
      <c r="D11" s="2135"/>
      <c r="E11" s="2135"/>
      <c r="F11" s="2135"/>
      <c r="G11" s="2135"/>
      <c r="H11" s="2135"/>
      <c r="I11" s="2135"/>
      <c r="J11" s="2135"/>
      <c r="K11" s="2137"/>
      <c r="L11" s="2705"/>
      <c r="M11" s="2705"/>
      <c r="N11" s="2705"/>
      <c r="O11" s="2705"/>
      <c r="P11" s="2705"/>
      <c r="Q11" s="2705"/>
      <c r="R11" s="2705"/>
      <c r="S11" s="2705"/>
      <c r="T11" s="2705"/>
      <c r="U11" s="2705"/>
      <c r="V11" s="2705"/>
      <c r="W11" s="2705"/>
      <c r="X11" s="2705"/>
      <c r="Y11" s="2705"/>
      <c r="Z11" s="2705"/>
    </row>
    <row r="12" spans="1:31" s="1695" customFormat="1" ht="13.5" customHeight="1">
      <c r="A12" s="2146" t="s">
        <v>430</v>
      </c>
      <c r="B12" s="2122" t="s">
        <v>431</v>
      </c>
      <c r="C12" s="2147" t="s">
        <v>435</v>
      </c>
      <c r="D12" s="1631" t="s">
        <v>436</v>
      </c>
      <c r="E12" s="1631" t="s">
        <v>437</v>
      </c>
      <c r="F12" s="1631" t="s">
        <v>438</v>
      </c>
      <c r="G12" s="2122"/>
      <c r="H12" s="2123"/>
      <c r="I12" s="2123"/>
      <c r="J12" s="2123"/>
      <c r="K12" s="2124"/>
      <c r="L12" s="2706"/>
      <c r="M12" s="2706"/>
      <c r="N12" s="2706"/>
      <c r="O12" s="2706"/>
      <c r="P12" s="2706"/>
      <c r="Q12" s="2706"/>
      <c r="R12" s="2706"/>
      <c r="S12" s="2706"/>
      <c r="T12" s="2706"/>
      <c r="U12" s="2706"/>
      <c r="V12" s="2706"/>
      <c r="W12" s="2706"/>
      <c r="X12" s="2706"/>
      <c r="Y12" s="2706"/>
      <c r="Z12" s="2706"/>
    </row>
    <row r="13" spans="1:31" s="1724" customFormat="1" ht="13.5" customHeight="1">
      <c r="A13" s="2148" t="s">
        <v>1377</v>
      </c>
      <c r="B13" s="2149" t="s">
        <v>439</v>
      </c>
      <c r="C13" s="419">
        <f ca="1">IF(B1="",'数据-取费表'!P16,INDIRECT("'数据-取费表'!p"&amp;$K$1)+INDIRECT("'数据-取费表'!t"&amp;$K$1))</f>
        <v>80222</v>
      </c>
      <c r="D13" s="2150"/>
      <c r="E13" s="339"/>
      <c r="F13" s="2151"/>
      <c r="G13" s="2122"/>
      <c r="H13" s="2123"/>
      <c r="I13" s="2123"/>
      <c r="J13" s="2123"/>
      <c r="K13" s="2124"/>
      <c r="L13" s="1725"/>
      <c r="M13" s="1725"/>
      <c r="N13" s="1725"/>
      <c r="O13" s="1725"/>
      <c r="P13" s="1725"/>
      <c r="Q13" s="1725"/>
      <c r="R13" s="1725"/>
      <c r="S13" s="1725"/>
      <c r="T13" s="1725"/>
      <c r="U13" s="1725"/>
      <c r="V13" s="1725"/>
      <c r="W13" s="1725"/>
      <c r="X13" s="1725"/>
      <c r="Y13" s="1725"/>
      <c r="Z13" s="1725"/>
    </row>
    <row r="14" spans="1:31" s="1724" customFormat="1" ht="13.5" customHeight="1">
      <c r="A14" s="2148" t="s">
        <v>1378</v>
      </c>
      <c r="B14" s="2149" t="s">
        <v>440</v>
      </c>
      <c r="C14" s="49">
        <f ca="1">ROUND(C13*F14,0)</f>
        <v>2407</v>
      </c>
      <c r="D14" s="2150"/>
      <c r="E14" s="339"/>
      <c r="F14" s="2154">
        <f>'数据-取费表'!B33</f>
        <v>0.03</v>
      </c>
      <c r="G14" s="2122" t="s">
        <v>441</v>
      </c>
      <c r="H14" s="2123"/>
      <c r="I14" s="2123"/>
      <c r="J14" s="2123"/>
      <c r="K14" s="2124"/>
      <c r="L14" s="1725"/>
      <c r="M14" s="1725"/>
      <c r="N14" s="1725"/>
      <c r="O14" s="1725"/>
      <c r="P14" s="1725"/>
      <c r="Q14" s="1725"/>
      <c r="R14" s="1725"/>
      <c r="S14" s="1725"/>
      <c r="T14" s="1725"/>
      <c r="U14" s="1725"/>
      <c r="V14" s="1725"/>
      <c r="W14" s="1725"/>
      <c r="X14" s="1725"/>
      <c r="Y14" s="1725"/>
      <c r="Z14" s="1725"/>
    </row>
    <row r="15" spans="1:31" s="1724" customFormat="1" ht="13.5" customHeight="1">
      <c r="A15" s="2148" t="s">
        <v>1379</v>
      </c>
      <c r="B15" s="2149" t="s">
        <v>442</v>
      </c>
      <c r="C15" s="49">
        <f ca="1">ROUND(IF(B1="",SUMIF('数据-取费表'!C:C,"住宅",'数据-取费表'!P:P)*F15,IF(INDIRECT("'数据-取费表'!c"&amp;$K$1)="住宅",INDIRECT("'数据-取费表'!P"&amp;$K$1)*F15,0)),0)</f>
        <v>0</v>
      </c>
      <c r="D15" s="2150"/>
      <c r="E15" s="339"/>
      <c r="F15" s="2154">
        <f>'数据-取费表'!B34</f>
        <v>0</v>
      </c>
      <c r="G15" s="2122" t="s">
        <v>443</v>
      </c>
      <c r="H15" s="2123"/>
      <c r="I15" s="2123"/>
      <c r="J15" s="2123"/>
      <c r="K15" s="2124"/>
      <c r="L15" s="1725"/>
      <c r="M15" s="1725"/>
      <c r="N15" s="1725"/>
      <c r="O15" s="1725"/>
      <c r="P15" s="1725"/>
      <c r="Q15" s="1725"/>
      <c r="R15" s="1725"/>
      <c r="S15" s="1725"/>
      <c r="T15" s="1725"/>
      <c r="U15" s="1725"/>
      <c r="V15" s="1725"/>
      <c r="W15" s="1725"/>
      <c r="X15" s="1725"/>
      <c r="Y15" s="1725"/>
      <c r="Z15" s="1725"/>
    </row>
    <row r="16" spans="1:31" s="1725" customFormat="1" ht="13.5" customHeight="1">
      <c r="A16" s="2148" t="s">
        <v>1380</v>
      </c>
      <c r="B16" s="2149" t="s">
        <v>444</v>
      </c>
      <c r="C16" s="49">
        <f ca="1">ROUND(D16*E16/10000,0)</f>
        <v>4541</v>
      </c>
      <c r="D16" s="2150">
        <f ca="1">IF(B1="",'数据-汇总表'!E3,INDIRECT("'数据-取费表'!K"&amp;$K$1)+INDIRECT("'数据-取费表'!S"&amp;$K$1))</f>
        <v>302725.5</v>
      </c>
      <c r="E16" s="49">
        <f>'数据-取费表'!B35</f>
        <v>150</v>
      </c>
      <c r="F16" s="2152"/>
      <c r="G16" s="2122"/>
      <c r="H16" s="2123"/>
      <c r="I16" s="2123"/>
      <c r="J16" s="2123"/>
      <c r="K16" s="2124"/>
      <c r="AA16" s="1724"/>
      <c r="AB16" s="1724"/>
      <c r="AC16" s="1724"/>
      <c r="AD16" s="1724"/>
      <c r="AE16" s="1724"/>
    </row>
    <row r="17" spans="1:26" s="1724" customFormat="1" ht="13.5" customHeight="1">
      <c r="A17" s="2148" t="s">
        <v>1381</v>
      </c>
      <c r="B17" s="2149" t="s">
        <v>445</v>
      </c>
      <c r="C17" s="2153">
        <f ca="1">ROUND(C13*F17,0)</f>
        <v>1203</v>
      </c>
      <c r="D17" s="444"/>
      <c r="E17" s="2153"/>
      <c r="F17" s="2154">
        <f>'数据-取费表'!B36</f>
        <v>1.4999999999999999E-2</v>
      </c>
      <c r="G17" s="241" t="s">
        <v>446</v>
      </c>
      <c r="H17" s="1060"/>
      <c r="I17" s="1060"/>
      <c r="J17" s="1060"/>
      <c r="K17" s="258"/>
      <c r="L17" s="1725"/>
      <c r="M17" s="1725"/>
      <c r="N17" s="1725"/>
      <c r="O17" s="1725"/>
      <c r="P17" s="1725"/>
      <c r="Q17" s="1725"/>
      <c r="R17" s="1725"/>
      <c r="S17" s="1725"/>
      <c r="T17" s="1725"/>
      <c r="U17" s="1725"/>
      <c r="V17" s="1725"/>
      <c r="W17" s="1725"/>
      <c r="X17" s="1725"/>
      <c r="Y17" s="1725"/>
      <c r="Z17" s="1725"/>
    </row>
    <row r="18" spans="1:26" s="1724" customFormat="1" ht="13.5" customHeight="1">
      <c r="A18" s="2155" t="s">
        <v>1382</v>
      </c>
      <c r="B18" s="2156" t="s">
        <v>447</v>
      </c>
      <c r="C18" s="2157">
        <f ca="1">SUM(C13:C17)</f>
        <v>88373</v>
      </c>
      <c r="D18" s="2158"/>
      <c r="E18" s="437"/>
      <c r="F18" s="437"/>
      <c r="G18" s="1041" t="s">
        <v>1781</v>
      </c>
      <c r="H18" s="1042"/>
      <c r="I18" s="1042"/>
      <c r="J18" s="1042"/>
      <c r="K18" s="130"/>
      <c r="L18" s="1725"/>
      <c r="M18" s="1725"/>
      <c r="N18" s="1725"/>
      <c r="O18" s="1725"/>
      <c r="P18" s="1725"/>
      <c r="Q18" s="1725"/>
      <c r="R18" s="1725"/>
      <c r="S18" s="1725"/>
      <c r="T18" s="1725"/>
      <c r="U18" s="1725"/>
      <c r="V18" s="1725"/>
      <c r="W18" s="1725"/>
      <c r="X18" s="1725"/>
      <c r="Y18" s="1725"/>
      <c r="Z18" s="1725"/>
    </row>
    <row r="19" spans="1:26" s="1724" customFormat="1" ht="13.5" customHeight="1">
      <c r="A19" s="2155" t="s">
        <v>1383</v>
      </c>
      <c r="B19" s="2156" t="s">
        <v>448</v>
      </c>
      <c r="C19" s="1631">
        <f ca="1">ROUND(D19*E19/10000,0)</f>
        <v>2422</v>
      </c>
      <c r="D19" s="2159">
        <f ca="1">D16</f>
        <v>302725.5</v>
      </c>
      <c r="E19" s="1631">
        <f>'数据-取费表'!B32</f>
        <v>80</v>
      </c>
      <c r="F19" s="437"/>
      <c r="G19" s="2122" t="s">
        <v>449</v>
      </c>
      <c r="H19" s="2123"/>
      <c r="I19" s="1042"/>
      <c r="J19" s="1042"/>
      <c r="K19" s="130"/>
      <c r="L19" s="1725"/>
      <c r="M19" s="1725"/>
      <c r="N19" s="1725"/>
      <c r="O19" s="1725"/>
      <c r="P19" s="1725"/>
      <c r="Q19" s="1725"/>
      <c r="R19" s="1725"/>
      <c r="S19" s="1725"/>
      <c r="T19" s="1725"/>
      <c r="U19" s="1725"/>
      <c r="V19" s="1725"/>
      <c r="W19" s="1725"/>
      <c r="X19" s="1725"/>
      <c r="Y19" s="1725"/>
      <c r="Z19" s="1725"/>
    </row>
    <row r="20" spans="1:26" s="1724" customFormat="1" ht="13.5" customHeight="1">
      <c r="A20" s="2155" t="s">
        <v>1384</v>
      </c>
      <c r="B20" s="2156" t="s">
        <v>450</v>
      </c>
      <c r="C20" s="1631">
        <f ca="1">C21+C22-IF(B1="",'数据-取费表'!B29,IF(G20="已全部缴纳",C21+C22,H20))</f>
        <v>3179</v>
      </c>
      <c r="D20" s="2159"/>
      <c r="E20" s="1631"/>
      <c r="F20" s="2160"/>
      <c r="G20" s="2344"/>
      <c r="H20" s="2120"/>
      <c r="I20" s="2121" t="s">
        <v>1933</v>
      </c>
      <c r="J20" s="1042"/>
      <c r="K20" s="130"/>
      <c r="L20" s="1725"/>
      <c r="M20" s="1725"/>
      <c r="N20" s="1725"/>
      <c r="O20" s="1725"/>
      <c r="P20" s="1725"/>
      <c r="Q20" s="1725"/>
      <c r="R20" s="1725"/>
      <c r="S20" s="1725"/>
      <c r="T20" s="1725"/>
      <c r="U20" s="1725"/>
      <c r="V20" s="1725"/>
      <c r="W20" s="1725"/>
      <c r="X20" s="1725"/>
      <c r="Y20" s="1725"/>
      <c r="Z20" s="1725"/>
    </row>
    <row r="21" spans="1:26" s="1724" customFormat="1" ht="13.5" customHeight="1">
      <c r="A21" s="2148" t="s">
        <v>1385</v>
      </c>
      <c r="B21" s="2149" t="s">
        <v>451</v>
      </c>
      <c r="C21" s="49">
        <f ca="1">ROUND(D21*E21/10000,0)</f>
        <v>0</v>
      </c>
      <c r="D21" s="2150">
        <f ca="1">IF(B1="",'数据-汇总表'!E5,IF(INDIRECT("'数据-取费表'!c"&amp;$K$1)="住宅",INDIRECT("'数据-取费表'!k"&amp;$K$1),0))</f>
        <v>0</v>
      </c>
      <c r="E21" s="49">
        <f>'数据-取费表'!B27</f>
        <v>0</v>
      </c>
      <c r="F21" s="2152"/>
      <c r="G21" s="22"/>
      <c r="H21" s="47"/>
      <c r="I21" s="47"/>
      <c r="J21" s="47"/>
      <c r="K21" s="2125"/>
      <c r="L21" s="1725"/>
      <c r="M21" s="1725"/>
      <c r="N21" s="1725"/>
      <c r="O21" s="1725"/>
      <c r="P21" s="1725"/>
      <c r="Q21" s="1725"/>
      <c r="R21" s="1725"/>
      <c r="S21" s="1725"/>
      <c r="T21" s="1725"/>
      <c r="U21" s="1725"/>
      <c r="V21" s="1725"/>
      <c r="W21" s="1725"/>
      <c r="X21" s="1725"/>
      <c r="Y21" s="1725"/>
      <c r="Z21" s="1725"/>
    </row>
    <row r="22" spans="1:26" s="1724" customFormat="1" ht="13.5" customHeight="1">
      <c r="A22" s="2148" t="s">
        <v>1386</v>
      </c>
      <c r="B22" s="2149" t="s">
        <v>452</v>
      </c>
      <c r="C22" s="49">
        <f ca="1">ROUND(D22*E22/10000,0)</f>
        <v>3179</v>
      </c>
      <c r="D22" s="2150">
        <f ca="1">IF(B1="",'数据-汇总表'!E6,IF(INDIRECT("'数据-取费表'!c"&amp;$K$1)="住宅",INDIRECT("'数据-取费表'!s"&amp;$K$1),INDIRECT("'数据-取费表'!k"&amp;$K$1)+INDIRECT("'数据-取费表'!s"&amp;$K$1)))</f>
        <v>302725.5</v>
      </c>
      <c r="E22" s="49">
        <f>'数据-取费表'!B28</f>
        <v>105</v>
      </c>
      <c r="F22" s="2152"/>
      <c r="G22" s="22"/>
      <c r="H22" s="47"/>
      <c r="I22" s="47"/>
      <c r="J22" s="47"/>
      <c r="K22" s="2125"/>
      <c r="L22" s="1725"/>
      <c r="M22" s="1725"/>
      <c r="N22" s="1725"/>
      <c r="O22" s="1725"/>
      <c r="P22" s="1725"/>
      <c r="Q22" s="1725"/>
      <c r="R22" s="1725"/>
      <c r="S22" s="1725"/>
      <c r="T22" s="1725"/>
      <c r="U22" s="1725"/>
      <c r="V22" s="1725"/>
      <c r="W22" s="1725"/>
      <c r="X22" s="1725"/>
      <c r="Y22" s="1725"/>
      <c r="Z22" s="1725"/>
    </row>
    <row r="23" spans="1:26" s="1724" customFormat="1" ht="13.5" customHeight="1">
      <c r="A23" s="2155" t="s">
        <v>1387</v>
      </c>
      <c r="B23" s="2319" t="s">
        <v>2109</v>
      </c>
      <c r="C23" s="2157">
        <f ca="1">ROUND((C18+C19+C20)*F23,0)</f>
        <v>1410</v>
      </c>
      <c r="D23" s="437"/>
      <c r="E23" s="437"/>
      <c r="F23" s="2161">
        <f>'数据-取费表'!B37</f>
        <v>1.4999999999999999E-2</v>
      </c>
      <c r="G23" s="2122" t="s">
        <v>1782</v>
      </c>
      <c r="H23" s="2123"/>
      <c r="I23" s="2123"/>
      <c r="J23" s="2123"/>
      <c r="K23" s="2124"/>
      <c r="L23" s="2707"/>
      <c r="M23" s="2707"/>
      <c r="N23" s="2707"/>
      <c r="O23" s="1725"/>
      <c r="P23" s="1725"/>
      <c r="Q23" s="1725"/>
      <c r="R23" s="1725"/>
      <c r="S23" s="1725"/>
      <c r="T23" s="1725"/>
      <c r="U23" s="1725"/>
      <c r="V23" s="1725"/>
      <c r="W23" s="1725"/>
      <c r="X23" s="1725"/>
      <c r="Y23" s="1725"/>
      <c r="Z23" s="1725"/>
    </row>
    <row r="24" spans="1:26" s="1724" customFormat="1" ht="13.5" customHeight="1">
      <c r="A24" s="2155" t="s">
        <v>1388</v>
      </c>
      <c r="B24" s="2319" t="s">
        <v>2112</v>
      </c>
      <c r="C24" s="2157">
        <f>ROUND(C6*F24,0)</f>
        <v>3235</v>
      </c>
      <c r="D24" s="444"/>
      <c r="E24" s="442"/>
      <c r="F24" s="2161">
        <f>'数据-取费表'!B38</f>
        <v>1.4999999999999999E-2</v>
      </c>
      <c r="G24" s="2127" t="s">
        <v>459</v>
      </c>
      <c r="H24" s="1060"/>
      <c r="I24" s="1060"/>
      <c r="J24" s="1060"/>
      <c r="K24" s="258"/>
      <c r="L24" s="2707"/>
      <c r="M24" s="2707"/>
      <c r="N24" s="2707"/>
      <c r="O24" s="1725"/>
      <c r="P24" s="1725"/>
      <c r="Q24" s="1725"/>
      <c r="R24" s="1725"/>
      <c r="S24" s="1725"/>
      <c r="T24" s="1725"/>
      <c r="U24" s="1725"/>
      <c r="V24" s="1725"/>
      <c r="W24" s="1725"/>
      <c r="X24" s="1725"/>
      <c r="Y24" s="1725"/>
      <c r="Z24" s="1725"/>
    </row>
    <row r="25" spans="1:26" s="1727" customFormat="1" ht="13.5" customHeight="1">
      <c r="A25" s="2155" t="s">
        <v>1389</v>
      </c>
      <c r="B25" s="2319" t="s">
        <v>2110</v>
      </c>
      <c r="C25" s="436">
        <f>ROUND(F25/(1+'数据-取费表'!C42),4)</f>
        <v>2.9000000000000001E-2</v>
      </c>
      <c r="D25" s="431" t="s">
        <v>2105</v>
      </c>
      <c r="E25" s="438"/>
      <c r="F25" s="2161">
        <f>IF(项目基本情况!B8="出让",0,'数据-取费表'!B48+'数据-取费表'!B49)</f>
        <v>3.0499999999999999E-2</v>
      </c>
      <c r="G25" s="2126" t="s">
        <v>1647</v>
      </c>
      <c r="H25" s="2123"/>
      <c r="I25" s="2123"/>
      <c r="J25" s="2123"/>
      <c r="K25" s="2124"/>
      <c r="L25" s="2708"/>
      <c r="M25" s="2708"/>
      <c r="N25" s="2708"/>
      <c r="O25" s="2708"/>
      <c r="P25" s="2708"/>
      <c r="Q25" s="2708"/>
      <c r="R25" s="2708"/>
      <c r="S25" s="2708"/>
      <c r="T25" s="2708"/>
      <c r="U25" s="2708"/>
      <c r="V25" s="2708"/>
      <c r="W25" s="2708"/>
      <c r="X25" s="2708"/>
      <c r="Y25" s="2708"/>
      <c r="Z25" s="2708"/>
    </row>
    <row r="26" spans="1:26" s="1726" customFormat="1" ht="13.5" customHeight="1">
      <c r="A26" s="2155" t="s">
        <v>1390</v>
      </c>
      <c r="B26" s="2320" t="s">
        <v>2111</v>
      </c>
      <c r="C26" s="2162">
        <f ca="1">C28</f>
        <v>6202</v>
      </c>
      <c r="D26" s="436">
        <f ca="1">C27</f>
        <v>0.13350000000000001</v>
      </c>
      <c r="E26" s="438" t="s">
        <v>455</v>
      </c>
      <c r="F26" s="440">
        <f ca="1">'数据-取费表'!B40</f>
        <v>4.1499999999999995E-2</v>
      </c>
      <c r="G26" s="2045" t="str">
        <f>IF('数据-取费表'!B22&lt;=1,"单利计息。","复利计息。")&amp;"后续开发成本、管理费用及销售费用产生的利息。"</f>
        <v>复利计息。后续开发成本、管理费用及销售费用产生的利息。</v>
      </c>
      <c r="H26" s="1042"/>
      <c r="I26" s="1042"/>
      <c r="J26" s="1042"/>
      <c r="K26" s="130"/>
      <c r="L26" s="2707"/>
      <c r="M26" s="2707"/>
      <c r="N26" s="2707"/>
      <c r="O26" s="2707"/>
      <c r="P26" s="2707"/>
      <c r="Q26" s="2707"/>
      <c r="R26" s="2707"/>
      <c r="S26" s="2707"/>
      <c r="T26" s="2707"/>
      <c r="U26" s="2707"/>
      <c r="V26" s="2707"/>
      <c r="W26" s="2707"/>
      <c r="X26" s="2707"/>
      <c r="Y26" s="2707"/>
      <c r="Z26" s="2707"/>
    </row>
    <row r="27" spans="1:26" s="1728" customFormat="1" ht="13.5" customHeight="1">
      <c r="A27" s="738" t="s">
        <v>1385</v>
      </c>
      <c r="B27" s="2163" t="s">
        <v>456</v>
      </c>
      <c r="C27" s="2164">
        <f ca="1">ROUND(IF('数据-取费表'!B22&lt;=1,(1+C25)*F26*'数据-取费表'!B24,(1+C25)*(POWER((1+F26),'数据-取费表'!B24)-1)),4)</f>
        <v>0.13350000000000001</v>
      </c>
      <c r="D27" s="441"/>
      <c r="E27" s="442"/>
      <c r="F27" s="443"/>
      <c r="G27" s="2045" t="str">
        <f>IF('数据-取费表'!B22&lt;=1,"（1+取得税费率/(1+5%)）×年利率×建设期","（1+取得税费率）/(1+5%)×((1+年利率)^建设期-1)")</f>
        <v>（1+取得税费率）/(1+5%)×((1+年利率)^建设期-1)</v>
      </c>
      <c r="H27" s="1060"/>
      <c r="I27" s="1060"/>
      <c r="J27" s="1060"/>
      <c r="K27" s="258"/>
      <c r="L27" s="2709"/>
      <c r="M27" s="2709"/>
      <c r="N27" s="2709"/>
      <c r="O27" s="2709"/>
      <c r="P27" s="2709"/>
      <c r="Q27" s="2709"/>
      <c r="R27" s="2709"/>
      <c r="S27" s="2709"/>
      <c r="T27" s="2709"/>
      <c r="U27" s="2709"/>
      <c r="V27" s="2709"/>
      <c r="W27" s="2709"/>
      <c r="X27" s="2709"/>
      <c r="Y27" s="2709"/>
      <c r="Z27" s="2709"/>
    </row>
    <row r="28" spans="1:26" s="1728" customFormat="1" ht="13.5" customHeight="1">
      <c r="A28" s="738" t="s">
        <v>1386</v>
      </c>
      <c r="B28" s="2163" t="s">
        <v>2113</v>
      </c>
      <c r="C28" s="2165">
        <f ca="1">ROUND(IF('数据-取费表'!B22&lt;=1,(C18+C19+C20+C23+C24)*F26*'数据-取费表'!B24/2,(C18+C19+C20+C23+C24)*(POWER((1+F26),'数据-取费表'!B24/2)-1)),0)</f>
        <v>6202</v>
      </c>
      <c r="D28" s="441"/>
      <c r="E28" s="442"/>
      <c r="F28" s="443"/>
      <c r="G28" s="2045" t="str">
        <f>IF('数据-取费表'!B22&lt;=1,"（1）-（4）项×年利率×建设期÷2","（1）-（4）项×((1+年利率)^(建设期÷2)-1)")</f>
        <v>（1）-（4）项×((1+年利率)^(建设期÷2)-1)</v>
      </c>
      <c r="H28" s="1060"/>
      <c r="I28" s="1060"/>
      <c r="J28" s="1060"/>
      <c r="K28" s="258"/>
      <c r="L28" s="2709"/>
      <c r="M28" s="2709"/>
      <c r="N28" s="2709"/>
      <c r="O28" s="2709"/>
      <c r="P28" s="2709"/>
      <c r="Q28" s="2709"/>
      <c r="R28" s="2709"/>
      <c r="S28" s="2709"/>
      <c r="T28" s="2709"/>
      <c r="U28" s="2709"/>
      <c r="V28" s="2709"/>
      <c r="W28" s="2709"/>
      <c r="X28" s="2709"/>
      <c r="Y28" s="2709"/>
      <c r="Z28" s="2709"/>
    </row>
    <row r="29" spans="1:26" s="1728" customFormat="1" ht="13.5" customHeight="1">
      <c r="A29" s="2166" t="s">
        <v>1391</v>
      </c>
      <c r="B29" s="2156" t="s">
        <v>457</v>
      </c>
      <c r="C29" s="2157">
        <f>ROUND(C6*F29/(1+'数据-取费表'!C42),0)</f>
        <v>11504</v>
      </c>
      <c r="D29" s="437"/>
      <c r="E29" s="437"/>
      <c r="F29" s="2321">
        <f>'数据-取费表'!B41</f>
        <v>5.6000000000000001E-2</v>
      </c>
      <c r="G29" s="2127" t="s">
        <v>458</v>
      </c>
      <c r="H29" s="2123"/>
      <c r="I29" s="2123"/>
      <c r="J29" s="2123"/>
      <c r="K29" s="2124"/>
      <c r="L29" s="2709"/>
      <c r="M29" s="2709"/>
      <c r="N29" s="2709"/>
      <c r="O29" s="2709"/>
      <c r="P29" s="2709"/>
      <c r="Q29" s="2709"/>
      <c r="R29" s="2709"/>
      <c r="S29" s="2709"/>
      <c r="T29" s="2709"/>
      <c r="U29" s="2709"/>
      <c r="V29" s="2709"/>
      <c r="W29" s="2709"/>
      <c r="X29" s="2709"/>
      <c r="Y29" s="2709"/>
      <c r="Z29" s="2709"/>
    </row>
    <row r="30" spans="1:26" s="1729" customFormat="1" ht="13.5" customHeight="1">
      <c r="A30" s="1357" t="s">
        <v>1392</v>
      </c>
      <c r="B30" s="2167" t="s">
        <v>460</v>
      </c>
      <c r="C30" s="2162">
        <f ca="1">C31</f>
        <v>116325</v>
      </c>
      <c r="D30" s="446">
        <f ca="1">C32</f>
        <v>0.16250000000000001</v>
      </c>
      <c r="E30" s="438" t="s">
        <v>455</v>
      </c>
      <c r="F30" s="440"/>
      <c r="G30" s="2126" t="s">
        <v>2225</v>
      </c>
      <c r="H30" s="2123"/>
      <c r="I30" s="2123"/>
      <c r="J30" s="2123"/>
      <c r="K30" s="2124"/>
      <c r="L30" s="2710"/>
      <c r="M30" s="2710"/>
      <c r="N30" s="2710"/>
      <c r="O30" s="2710"/>
      <c r="P30" s="2710"/>
      <c r="Q30" s="2710"/>
      <c r="R30" s="2710"/>
      <c r="S30" s="2710"/>
      <c r="T30" s="2710"/>
      <c r="U30" s="2710"/>
      <c r="V30" s="2710"/>
      <c r="W30" s="2710"/>
      <c r="X30" s="2710"/>
      <c r="Y30" s="2710"/>
      <c r="Z30" s="2710"/>
    </row>
    <row r="31" spans="1:26" s="1728" customFormat="1" ht="13.5" customHeight="1">
      <c r="A31" s="738" t="s">
        <v>1385</v>
      </c>
      <c r="B31" s="2163"/>
      <c r="C31" s="419">
        <f ca="1">C18+C19+C20+C23+C24+C26+C29</f>
        <v>116325</v>
      </c>
      <c r="D31" s="441"/>
      <c r="E31" s="442"/>
      <c r="F31" s="443"/>
      <c r="G31" s="241"/>
      <c r="H31" s="1060"/>
      <c r="I31" s="1060"/>
      <c r="J31" s="1060"/>
      <c r="K31" s="258"/>
      <c r="L31" s="2709"/>
      <c r="M31" s="2709"/>
      <c r="N31" s="2709"/>
      <c r="O31" s="2709"/>
      <c r="P31" s="2709"/>
      <c r="Q31" s="2709"/>
      <c r="R31" s="2709"/>
      <c r="S31" s="2709"/>
      <c r="T31" s="2709"/>
      <c r="U31" s="2709"/>
      <c r="V31" s="2709"/>
      <c r="W31" s="2709"/>
      <c r="X31" s="2709"/>
      <c r="Y31" s="2709"/>
      <c r="Z31" s="2709"/>
    </row>
    <row r="32" spans="1:26" s="1728" customFormat="1" ht="13.5" customHeight="1">
      <c r="A32" s="738" t="s">
        <v>1386</v>
      </c>
      <c r="B32" s="2163"/>
      <c r="C32" s="49">
        <f ca="1">ROUND(C25+D26,4)</f>
        <v>0.16250000000000001</v>
      </c>
      <c r="D32" s="441"/>
      <c r="E32" s="442"/>
      <c r="F32" s="443"/>
      <c r="G32" s="241"/>
      <c r="H32" s="1060"/>
      <c r="I32" s="1060"/>
      <c r="J32" s="1060"/>
      <c r="K32" s="258"/>
      <c r="L32" s="2709"/>
      <c r="M32" s="2709"/>
      <c r="N32" s="2709"/>
      <c r="O32" s="2709"/>
      <c r="P32" s="2709"/>
      <c r="Q32" s="2709"/>
      <c r="R32" s="2709"/>
      <c r="S32" s="2709"/>
      <c r="T32" s="2709"/>
      <c r="U32" s="2709"/>
      <c r="V32" s="2709"/>
      <c r="W32" s="2709"/>
      <c r="X32" s="2709"/>
      <c r="Y32" s="2709"/>
      <c r="Z32" s="2709"/>
    </row>
    <row r="33" spans="1:26" s="1730" customFormat="1" ht="13.5" customHeight="1">
      <c r="A33" s="2318" t="s">
        <v>2108</v>
      </c>
      <c r="B33" s="2316" t="s">
        <v>2106</v>
      </c>
      <c r="C33" s="447">
        <f ca="1">C35</f>
        <v>19724</v>
      </c>
      <c r="D33" s="436">
        <f ca="1">C34</f>
        <v>0.20580000000000001</v>
      </c>
      <c r="E33" s="438" t="s">
        <v>455</v>
      </c>
      <c r="F33" s="448">
        <f ca="1">IF(B1="",'数据-取费表'!Q16,INDIRECT("'数据-取费表'!q"&amp;$K$1))</f>
        <v>0.2</v>
      </c>
      <c r="G33" s="1041"/>
      <c r="H33" s="1042"/>
      <c r="I33" s="1042"/>
      <c r="J33" s="1042"/>
      <c r="K33" s="130"/>
      <c r="L33" s="2711"/>
      <c r="M33" s="2711"/>
      <c r="N33" s="2711"/>
      <c r="O33" s="2711"/>
      <c r="P33" s="2711"/>
      <c r="Q33" s="2711"/>
      <c r="R33" s="2711"/>
      <c r="S33" s="2711"/>
      <c r="T33" s="2711"/>
      <c r="U33" s="2711"/>
      <c r="V33" s="2711"/>
      <c r="W33" s="2711"/>
      <c r="X33" s="2711"/>
      <c r="Y33" s="2711"/>
      <c r="Z33" s="2711"/>
    </row>
    <row r="34" spans="1:26" s="1731" customFormat="1" ht="13.5" customHeight="1">
      <c r="A34" s="345" t="s">
        <v>1385</v>
      </c>
      <c r="B34" s="2168" t="s">
        <v>461</v>
      </c>
      <c r="C34" s="441">
        <f ca="1">ROUND((1+C25)*F33,4)</f>
        <v>0.20580000000000001</v>
      </c>
      <c r="D34" s="441"/>
      <c r="E34" s="442"/>
      <c r="F34" s="449"/>
      <c r="G34" s="241" t="s">
        <v>1648</v>
      </c>
      <c r="H34" s="1060"/>
      <c r="I34" s="1060"/>
      <c r="J34" s="1060"/>
      <c r="K34" s="258"/>
      <c r="L34" s="2712"/>
      <c r="M34" s="2712"/>
      <c r="N34" s="2712"/>
      <c r="O34" s="2712"/>
      <c r="P34" s="2712"/>
      <c r="Q34" s="2712"/>
      <c r="R34" s="2712"/>
      <c r="S34" s="2712"/>
      <c r="T34" s="2712"/>
      <c r="U34" s="2712"/>
      <c r="V34" s="2712"/>
      <c r="W34" s="2712"/>
      <c r="X34" s="2712"/>
      <c r="Y34" s="2712"/>
      <c r="Z34" s="2712"/>
    </row>
    <row r="35" spans="1:26" s="1731" customFormat="1" ht="13.5" customHeight="1" thickBot="1">
      <c r="A35" s="1358" t="s">
        <v>1386</v>
      </c>
      <c r="B35" s="2317" t="s">
        <v>2114</v>
      </c>
      <c r="C35" s="1350">
        <f ca="1">ROUND((C18+C19+C20+C23+C24)*F33,0)</f>
        <v>19724</v>
      </c>
      <c r="D35" s="1351"/>
      <c r="E35" s="2169"/>
      <c r="F35" s="1352"/>
      <c r="G35" s="2128"/>
      <c r="H35" s="2129"/>
      <c r="I35" s="2129"/>
      <c r="J35" s="2129"/>
      <c r="K35" s="2130"/>
      <c r="L35" s="2712"/>
      <c r="M35" s="2712"/>
      <c r="N35" s="2712"/>
      <c r="O35" s="2712"/>
      <c r="P35" s="2712"/>
      <c r="Q35" s="2712"/>
      <c r="R35" s="2712"/>
      <c r="S35" s="2712"/>
      <c r="T35" s="2712"/>
      <c r="U35" s="2712"/>
      <c r="V35" s="2712"/>
      <c r="W35" s="2712"/>
      <c r="X35" s="2712"/>
      <c r="Y35" s="2712"/>
      <c r="Z35" s="2712"/>
    </row>
    <row r="36" spans="1:26" s="1695" customFormat="1" ht="13.5" customHeight="1" thickBot="1">
      <c r="A36" s="262" t="s">
        <v>1373</v>
      </c>
      <c r="B36" s="2132"/>
      <c r="C36" s="2170">
        <f ca="1">ROUND((C6-C30-C33)/(1+D30+D33),0)</f>
        <v>58206</v>
      </c>
      <c r="D36" s="2132"/>
      <c r="E36" s="2132"/>
      <c r="F36" s="2132"/>
      <c r="G36" s="2131" t="s">
        <v>2115</v>
      </c>
      <c r="H36" s="2132"/>
      <c r="I36" s="2132"/>
      <c r="J36" s="2132"/>
      <c r="K36" s="2133"/>
      <c r="L36" s="2706"/>
      <c r="M36" s="2706"/>
      <c r="N36" s="2706"/>
      <c r="O36" s="2706"/>
      <c r="P36" s="2706"/>
      <c r="Q36" s="2706"/>
      <c r="R36" s="2706"/>
      <c r="S36" s="2706"/>
      <c r="T36" s="2706"/>
      <c r="U36" s="2706"/>
      <c r="V36" s="2706"/>
      <c r="W36" s="2706"/>
      <c r="X36" s="2706"/>
      <c r="Y36" s="2706"/>
      <c r="Z36" s="2706"/>
    </row>
    <row r="37" spans="1:26" s="1723" customFormat="1">
      <c r="A37" s="2713"/>
      <c r="C37" s="2714"/>
      <c r="E37" s="2713"/>
    </row>
    <row r="38" spans="1:26" s="1723" customFormat="1" ht="12.75" customHeight="1">
      <c r="A38" s="2713"/>
      <c r="C38" s="2714"/>
      <c r="E38" s="2713"/>
    </row>
    <row r="39" spans="1:26" s="1723" customFormat="1">
      <c r="A39" s="2713"/>
      <c r="C39" s="2714"/>
      <c r="E39" s="2713"/>
    </row>
    <row r="40" spans="1:26" s="1723" customFormat="1">
      <c r="A40" s="2713"/>
      <c r="C40" s="2714"/>
      <c r="E40" s="2713"/>
    </row>
    <row r="41" spans="1:26" s="1723" customFormat="1">
      <c r="A41" s="2713"/>
      <c r="C41" s="2714"/>
      <c r="E41" s="2713"/>
    </row>
    <row r="42" spans="1:26" s="1723" customFormat="1">
      <c r="A42" s="2713"/>
      <c r="C42" s="2714"/>
      <c r="E42" s="2713"/>
    </row>
    <row r="43" spans="1:26" s="1723" customFormat="1">
      <c r="A43" s="2713"/>
      <c r="C43" s="2714"/>
      <c r="E43" s="2713"/>
    </row>
    <row r="44" spans="1:26" s="1723" customFormat="1">
      <c r="A44" s="2713"/>
      <c r="C44" s="2714"/>
      <c r="E44" s="2713"/>
    </row>
    <row r="45" spans="1:26" s="1723" customFormat="1">
      <c r="A45" s="2713"/>
      <c r="C45" s="2714"/>
      <c r="E45" s="2713"/>
    </row>
    <row r="46" spans="1:26" s="1723" customFormat="1">
      <c r="A46" s="2713"/>
      <c r="C46" s="2714"/>
      <c r="E46" s="2713"/>
    </row>
    <row r="47" spans="1:26" s="1723" customFormat="1">
      <c r="A47" s="2713"/>
      <c r="C47" s="2714"/>
      <c r="E47" s="2713"/>
    </row>
    <row r="48" spans="1:26" s="1723" customFormat="1">
      <c r="A48" s="2713"/>
      <c r="C48" s="2714"/>
      <c r="E48" s="2713"/>
    </row>
    <row r="49" spans="1:5" s="1723" customFormat="1">
      <c r="A49" s="2713"/>
      <c r="C49" s="2714"/>
      <c r="E49" s="2713"/>
    </row>
    <row r="50" spans="1:5" s="1723" customFormat="1">
      <c r="A50" s="2713"/>
      <c r="C50" s="2714"/>
      <c r="E50" s="2713"/>
    </row>
    <row r="51" spans="1:5" s="1723" customFormat="1">
      <c r="A51" s="2713"/>
      <c r="C51" s="2714"/>
      <c r="E51" s="2713"/>
    </row>
    <row r="52" spans="1:5" s="1723" customFormat="1">
      <c r="A52" s="2713"/>
      <c r="C52" s="2714"/>
      <c r="E52" s="2713"/>
    </row>
    <row r="53" spans="1:5" s="1723" customFormat="1">
      <c r="A53" s="2713"/>
      <c r="C53" s="2714"/>
      <c r="E53" s="2713"/>
    </row>
    <row r="54" spans="1:5" s="1723" customFormat="1">
      <c r="A54" s="2713"/>
      <c r="C54" s="2714"/>
      <c r="E54" s="2713"/>
    </row>
    <row r="55" spans="1:5" s="1723" customFormat="1">
      <c r="A55" s="2713"/>
      <c r="C55" s="2714"/>
      <c r="E55" s="2713"/>
    </row>
    <row r="56" spans="1:5" s="1723" customFormat="1">
      <c r="A56" s="2713"/>
      <c r="C56" s="2714"/>
      <c r="E56" s="2713"/>
    </row>
    <row r="57" spans="1:5" s="1723" customFormat="1">
      <c r="A57" s="2713"/>
      <c r="C57" s="2714"/>
      <c r="E57" s="2713"/>
    </row>
    <row r="58" spans="1:5" s="1723" customFormat="1">
      <c r="A58" s="2713"/>
      <c r="C58" s="2714"/>
      <c r="E58" s="2713"/>
    </row>
    <row r="59" spans="1:5" s="1723" customFormat="1">
      <c r="A59" s="2713"/>
      <c r="C59" s="2714"/>
      <c r="E59" s="2713"/>
    </row>
    <row r="60" spans="1:5" s="1723" customFormat="1">
      <c r="A60" s="2713"/>
      <c r="C60" s="2714"/>
      <c r="E60" s="2713"/>
    </row>
    <row r="61" spans="1:5" s="1723" customFormat="1">
      <c r="A61" s="2713"/>
      <c r="C61" s="2714"/>
      <c r="E61" s="2713"/>
    </row>
    <row r="62" spans="1:5" s="1723" customFormat="1">
      <c r="A62" s="2713"/>
      <c r="C62" s="2714"/>
      <c r="E62" s="2713"/>
    </row>
    <row r="63" spans="1:5" s="1723" customFormat="1">
      <c r="A63" s="2713"/>
      <c r="C63" s="2714"/>
      <c r="E63" s="2713"/>
    </row>
    <row r="64" spans="1:5" s="1723" customFormat="1">
      <c r="A64" s="2713"/>
      <c r="C64" s="2714"/>
      <c r="E64" s="2713"/>
    </row>
    <row r="65" spans="1:5" s="1723" customFormat="1">
      <c r="A65" s="2713"/>
      <c r="C65" s="2714"/>
      <c r="E65" s="2713"/>
    </row>
    <row r="66" spans="1:5" s="1723" customFormat="1">
      <c r="A66" s="2713"/>
      <c r="C66" s="2714"/>
      <c r="E66" s="2713"/>
    </row>
    <row r="67" spans="1:5" s="1723" customFormat="1">
      <c r="A67" s="2713"/>
      <c r="C67" s="2714"/>
      <c r="E67" s="2713"/>
    </row>
    <row r="68" spans="1:5" s="1723" customFormat="1">
      <c r="A68" s="2713"/>
      <c r="C68" s="2714"/>
      <c r="E68" s="2713"/>
    </row>
    <row r="69" spans="1:5" s="1723" customFormat="1">
      <c r="A69" s="2713"/>
      <c r="C69" s="2714"/>
      <c r="E69" s="2713"/>
    </row>
    <row r="70" spans="1:5" s="1723" customFormat="1">
      <c r="A70" s="2713"/>
      <c r="C70" s="2714"/>
      <c r="E70" s="2713"/>
    </row>
    <row r="71" spans="1:5" s="1723" customFormat="1">
      <c r="A71" s="2713"/>
      <c r="C71" s="2714"/>
      <c r="E71" s="2713"/>
    </row>
    <row r="72" spans="1:5" s="1723" customFormat="1">
      <c r="A72" s="2713"/>
      <c r="C72" s="2714"/>
      <c r="E72" s="2713"/>
    </row>
    <row r="73" spans="1:5" s="1723" customFormat="1">
      <c r="A73" s="2713"/>
      <c r="C73" s="2714"/>
      <c r="E73" s="2713"/>
    </row>
    <row r="74" spans="1:5" s="1723" customFormat="1">
      <c r="A74" s="2713"/>
      <c r="C74" s="2714"/>
      <c r="E74" s="2713"/>
    </row>
    <row r="75" spans="1:5" s="1723" customFormat="1">
      <c r="A75" s="2713"/>
      <c r="C75" s="2714"/>
      <c r="E75" s="2713"/>
    </row>
    <row r="76" spans="1:5" s="1723" customFormat="1">
      <c r="A76" s="2713"/>
      <c r="C76" s="2714"/>
      <c r="E76" s="2713"/>
    </row>
    <row r="77" spans="1:5" s="1723" customFormat="1">
      <c r="A77" s="2713"/>
      <c r="C77" s="2714"/>
      <c r="E77" s="2713"/>
    </row>
    <row r="78" spans="1:5" s="1723" customFormat="1">
      <c r="A78" s="2713"/>
      <c r="C78" s="2714"/>
      <c r="E78" s="2713"/>
    </row>
    <row r="79" spans="1:5" s="1723" customFormat="1">
      <c r="A79" s="2713"/>
      <c r="C79" s="2714"/>
      <c r="E79" s="2713"/>
    </row>
    <row r="80" spans="1:5" s="1723" customFormat="1">
      <c r="A80" s="2713"/>
      <c r="C80" s="2714"/>
      <c r="E80" s="2713"/>
    </row>
    <row r="81" spans="1:5" s="1723" customFormat="1">
      <c r="A81" s="2713"/>
      <c r="C81" s="2714"/>
      <c r="E81" s="2713"/>
    </row>
    <row r="82" spans="1:5" s="1723" customFormat="1">
      <c r="A82" s="2713"/>
      <c r="C82" s="2714"/>
      <c r="E82" s="2713"/>
    </row>
    <row r="83" spans="1:5" s="1723" customFormat="1">
      <c r="A83" s="2713"/>
      <c r="C83" s="2714"/>
      <c r="E83" s="2713"/>
    </row>
    <row r="84" spans="1:5" s="1723" customFormat="1">
      <c r="A84" s="2713"/>
      <c r="C84" s="2714"/>
      <c r="E84" s="2713"/>
    </row>
    <row r="85" spans="1:5" s="1723" customFormat="1">
      <c r="A85" s="2713"/>
      <c r="C85" s="2714"/>
      <c r="E85" s="2713"/>
    </row>
    <row r="86" spans="1:5" s="1723" customFormat="1">
      <c r="A86" s="2713"/>
      <c r="C86" s="2714"/>
      <c r="E86" s="2713"/>
    </row>
    <row r="87" spans="1:5" s="1723" customFormat="1">
      <c r="A87" s="2713"/>
      <c r="C87" s="2714"/>
      <c r="E87" s="2713"/>
    </row>
    <row r="88" spans="1:5" s="1723" customFormat="1">
      <c r="A88" s="2713"/>
      <c r="C88" s="2714"/>
      <c r="E88" s="2713"/>
    </row>
    <row r="89" spans="1:5" s="1723" customFormat="1">
      <c r="A89" s="2713"/>
      <c r="C89" s="2714"/>
      <c r="E89" s="2713"/>
    </row>
    <row r="90" spans="1:5" s="1723" customFormat="1">
      <c r="A90" s="2713"/>
      <c r="C90" s="2714"/>
      <c r="E90" s="2713"/>
    </row>
    <row r="91" spans="1:5" s="1723" customFormat="1">
      <c r="A91" s="2713"/>
      <c r="C91" s="2714"/>
      <c r="E91" s="2713"/>
    </row>
    <row r="92" spans="1:5" s="1723" customFormat="1">
      <c r="A92" s="2713"/>
      <c r="C92" s="2714"/>
      <c r="E92" s="2713"/>
    </row>
    <row r="93" spans="1:5" s="1723" customFormat="1">
      <c r="A93" s="2713"/>
      <c r="C93" s="2714"/>
      <c r="E93" s="2713"/>
    </row>
    <row r="94" spans="1:5" s="1723" customFormat="1">
      <c r="A94" s="2713"/>
      <c r="C94" s="2714"/>
      <c r="E94" s="2713"/>
    </row>
    <row r="95" spans="1:5" s="1723" customFormat="1">
      <c r="A95" s="2713"/>
      <c r="C95" s="2714"/>
      <c r="E95" s="2713"/>
    </row>
    <row r="96" spans="1:5" s="1723" customFormat="1">
      <c r="A96" s="2713"/>
      <c r="C96" s="2714"/>
      <c r="E96" s="2713"/>
    </row>
    <row r="97" spans="1:5" s="1723" customFormat="1">
      <c r="A97" s="2713"/>
      <c r="C97" s="2714"/>
      <c r="E97" s="2713"/>
    </row>
    <row r="98" spans="1:5" s="1723" customFormat="1">
      <c r="A98" s="2713"/>
      <c r="C98" s="2714"/>
      <c r="E98" s="2713"/>
    </row>
    <row r="99" spans="1:5" s="1723" customFormat="1">
      <c r="A99" s="2713"/>
      <c r="C99" s="2714"/>
      <c r="E99" s="2713"/>
    </row>
    <row r="100" spans="1:5" s="1723" customFormat="1">
      <c r="A100" s="2713"/>
      <c r="C100" s="2714"/>
      <c r="E100" s="2713"/>
    </row>
    <row r="101" spans="1:5" s="1723" customFormat="1">
      <c r="A101" s="2713"/>
      <c r="C101" s="2714"/>
      <c r="E101" s="2713"/>
    </row>
    <row r="102" spans="1:5" s="1723" customFormat="1">
      <c r="A102" s="2713"/>
      <c r="C102" s="2714"/>
      <c r="E102" s="2713"/>
    </row>
    <row r="103" spans="1:5" s="1723" customFormat="1">
      <c r="A103" s="2713"/>
      <c r="C103" s="2714"/>
      <c r="E103" s="2713"/>
    </row>
    <row r="104" spans="1:5" s="1723" customFormat="1">
      <c r="A104" s="2713"/>
      <c r="C104" s="2714"/>
      <c r="E104" s="2713"/>
    </row>
    <row r="105" spans="1:5" s="1723" customFormat="1">
      <c r="A105" s="2713"/>
      <c r="C105" s="2714"/>
      <c r="E105" s="2713"/>
    </row>
    <row r="106" spans="1:5" s="1723" customFormat="1">
      <c r="A106" s="2713"/>
      <c r="C106" s="2714"/>
      <c r="E106" s="2713"/>
    </row>
    <row r="107" spans="1:5" s="1723" customFormat="1">
      <c r="A107" s="2713"/>
      <c r="C107" s="2714"/>
      <c r="E107" s="2713"/>
    </row>
    <row r="108" spans="1:5" s="1723" customFormat="1">
      <c r="A108" s="2713"/>
      <c r="C108" s="2714"/>
      <c r="E108" s="2713"/>
    </row>
    <row r="109" spans="1:5" s="1723" customFormat="1">
      <c r="A109" s="2713"/>
      <c r="C109" s="2714"/>
      <c r="E109" s="2713"/>
    </row>
    <row r="110" spans="1:5" s="1723" customFormat="1">
      <c r="A110" s="2713"/>
      <c r="C110" s="2714"/>
      <c r="E110" s="2713"/>
    </row>
    <row r="111" spans="1:5" s="1723" customFormat="1">
      <c r="A111" s="2713"/>
      <c r="C111" s="2714"/>
      <c r="E111" s="2713"/>
    </row>
    <row r="112" spans="1:5" s="1723" customFormat="1">
      <c r="A112" s="2713"/>
      <c r="C112" s="2714"/>
      <c r="E112" s="2713"/>
    </row>
    <row r="113" spans="1:5" s="1723" customFormat="1">
      <c r="A113" s="2713"/>
      <c r="C113" s="2714"/>
      <c r="E113" s="2713"/>
    </row>
    <row r="114" spans="1:5" s="1723" customFormat="1">
      <c r="A114" s="2713"/>
      <c r="C114" s="2714"/>
      <c r="E114" s="2713"/>
    </row>
    <row r="115" spans="1:5" s="1723" customFormat="1">
      <c r="A115" s="2713"/>
      <c r="C115" s="2714"/>
      <c r="E115" s="2713"/>
    </row>
    <row r="116" spans="1:5" s="1723" customFormat="1">
      <c r="A116" s="2713"/>
      <c r="C116" s="2714"/>
      <c r="E116" s="2713"/>
    </row>
    <row r="117" spans="1:5" s="1723" customFormat="1">
      <c r="A117" s="2713"/>
      <c r="C117" s="2714"/>
      <c r="E117" s="2713"/>
    </row>
    <row r="118" spans="1:5" s="1723" customFormat="1">
      <c r="A118" s="2713"/>
      <c r="C118" s="2714"/>
      <c r="E118" s="2713"/>
    </row>
    <row r="119" spans="1:5" s="1723" customFormat="1">
      <c r="A119" s="2713"/>
      <c r="C119" s="2714"/>
      <c r="E119" s="2713"/>
    </row>
    <row r="120" spans="1:5" s="1723" customFormat="1">
      <c r="A120" s="2713"/>
      <c r="C120" s="2714"/>
      <c r="E120" s="2713"/>
    </row>
    <row r="121" spans="1:5" s="1723" customFormat="1">
      <c r="A121" s="2713"/>
      <c r="C121" s="2714"/>
      <c r="E121" s="2713"/>
    </row>
    <row r="122" spans="1:5" s="1723" customFormat="1">
      <c r="A122" s="2713"/>
      <c r="C122" s="2714"/>
      <c r="E122" s="2713"/>
    </row>
    <row r="123" spans="1:5" s="1723" customFormat="1">
      <c r="A123" s="2713"/>
      <c r="C123" s="2714"/>
      <c r="E123" s="2713"/>
    </row>
    <row r="124" spans="1:5" s="1723" customFormat="1">
      <c r="A124" s="2713"/>
      <c r="C124" s="2714"/>
      <c r="E124" s="2713"/>
    </row>
    <row r="125" spans="1:5" s="1723" customFormat="1">
      <c r="A125" s="2713"/>
      <c r="C125" s="2714"/>
      <c r="E125" s="2713"/>
    </row>
    <row r="126" spans="1:5" s="1723" customFormat="1">
      <c r="A126" s="2713"/>
      <c r="C126" s="2714"/>
      <c r="E126" s="2713"/>
    </row>
    <row r="127" spans="1:5" s="1723" customFormat="1">
      <c r="A127" s="2713"/>
      <c r="C127" s="2714"/>
      <c r="E127" s="2713"/>
    </row>
    <row r="128" spans="1:5" s="1723" customFormat="1">
      <c r="A128" s="2713"/>
      <c r="C128" s="2714"/>
      <c r="E128" s="2713"/>
    </row>
    <row r="129" spans="1:5" s="1723" customFormat="1">
      <c r="A129" s="2713"/>
      <c r="C129" s="2714"/>
      <c r="E129" s="2713"/>
    </row>
    <row r="130" spans="1:5" s="1723" customFormat="1">
      <c r="A130" s="2713"/>
      <c r="C130" s="2714"/>
      <c r="E130" s="2713"/>
    </row>
    <row r="131" spans="1:5" s="1723" customFormat="1">
      <c r="A131" s="2713"/>
      <c r="C131" s="2714"/>
      <c r="E131" s="2713"/>
    </row>
    <row r="132" spans="1:5" s="1723" customFormat="1">
      <c r="A132" s="2713"/>
      <c r="C132" s="2714"/>
      <c r="E132" s="2713"/>
    </row>
    <row r="133" spans="1:5" s="1723" customFormat="1">
      <c r="A133" s="2713"/>
      <c r="C133" s="2714"/>
      <c r="E133" s="2713"/>
    </row>
    <row r="134" spans="1:5" s="1723" customFormat="1">
      <c r="A134" s="2713"/>
      <c r="C134" s="2714"/>
      <c r="E134" s="2713"/>
    </row>
    <row r="135" spans="1:5" s="1723" customFormat="1">
      <c r="A135" s="2713"/>
      <c r="C135" s="2714"/>
      <c r="E135" s="2713"/>
    </row>
    <row r="136" spans="1:5" s="1723" customFormat="1">
      <c r="A136" s="2713"/>
      <c r="C136" s="2714"/>
      <c r="E136" s="2713"/>
    </row>
    <row r="137" spans="1:5" s="1723" customFormat="1">
      <c r="A137" s="2713"/>
      <c r="C137" s="2714"/>
      <c r="E137" s="2713"/>
    </row>
    <row r="138" spans="1:5" s="1723" customFormat="1">
      <c r="A138" s="2713"/>
      <c r="C138" s="2714"/>
      <c r="E138" s="2713"/>
    </row>
    <row r="139" spans="1:5" s="1723" customFormat="1">
      <c r="A139" s="2713"/>
      <c r="C139" s="2714"/>
      <c r="E139" s="2713"/>
    </row>
    <row r="140" spans="1:5" s="1723" customFormat="1">
      <c r="A140" s="2713"/>
      <c r="C140" s="2714"/>
      <c r="E140" s="2713"/>
    </row>
    <row r="141" spans="1:5" s="1723" customFormat="1">
      <c r="A141" s="2713"/>
      <c r="C141" s="2714"/>
      <c r="E141" s="2713"/>
    </row>
    <row r="142" spans="1:5" s="1723" customFormat="1">
      <c r="A142" s="2713"/>
      <c r="C142" s="2714"/>
      <c r="E142" s="2713"/>
    </row>
    <row r="143" spans="1:5" s="1723" customFormat="1">
      <c r="A143" s="2713"/>
      <c r="C143" s="2714"/>
      <c r="E143" s="2713"/>
    </row>
    <row r="144" spans="1:5" s="1723" customFormat="1">
      <c r="A144" s="2713"/>
      <c r="C144" s="2714"/>
      <c r="E144" s="2713"/>
    </row>
    <row r="145" spans="1:5" s="1723" customFormat="1">
      <c r="A145" s="2713"/>
      <c r="C145" s="2714"/>
      <c r="E145" s="2713"/>
    </row>
    <row r="146" spans="1:5" s="1723" customFormat="1">
      <c r="A146" s="2713"/>
      <c r="C146" s="2714"/>
      <c r="E146" s="2713"/>
    </row>
    <row r="147" spans="1:5" s="1723" customFormat="1">
      <c r="A147" s="2713"/>
      <c r="C147" s="2714"/>
      <c r="E147" s="2713"/>
    </row>
    <row r="148" spans="1:5" s="1723" customFormat="1">
      <c r="A148" s="2713"/>
      <c r="C148" s="2714"/>
      <c r="E148" s="2713"/>
    </row>
    <row r="149" spans="1:5" s="1723" customFormat="1">
      <c r="A149" s="2713"/>
      <c r="C149" s="2714"/>
      <c r="E149" s="2713"/>
    </row>
    <row r="150" spans="1:5" s="1723" customFormat="1">
      <c r="A150" s="2713"/>
      <c r="C150" s="2714"/>
      <c r="E150" s="2713"/>
    </row>
    <row r="151" spans="1:5" s="1723" customFormat="1">
      <c r="A151" s="2713"/>
      <c r="C151" s="2714"/>
      <c r="E151" s="2713"/>
    </row>
    <row r="152" spans="1:5" s="1723" customFormat="1">
      <c r="A152" s="2713"/>
      <c r="C152" s="2714"/>
      <c r="E152" s="2713"/>
    </row>
    <row r="153" spans="1:5" s="1723" customFormat="1">
      <c r="A153" s="2713"/>
      <c r="C153" s="2714"/>
      <c r="E153" s="2713"/>
    </row>
    <row r="154" spans="1:5" s="1723" customFormat="1">
      <c r="A154" s="2713"/>
      <c r="C154" s="2714"/>
      <c r="E154" s="2713"/>
    </row>
    <row r="155" spans="1:5" s="1723" customFormat="1">
      <c r="A155" s="2713"/>
      <c r="C155" s="2714"/>
      <c r="E155" s="2713"/>
    </row>
    <row r="156" spans="1:5" s="1723" customFormat="1">
      <c r="A156" s="2713"/>
      <c r="C156" s="2714"/>
      <c r="E156" s="2713"/>
    </row>
    <row r="157" spans="1:5" s="1723" customFormat="1">
      <c r="A157" s="2713"/>
      <c r="C157" s="2714"/>
      <c r="E157" s="2713"/>
    </row>
    <row r="158" spans="1:5" s="1723" customFormat="1">
      <c r="A158" s="2713"/>
      <c r="C158" s="2714"/>
      <c r="E158" s="2713"/>
    </row>
    <row r="159" spans="1:5" s="1723" customFormat="1">
      <c r="A159" s="2713"/>
      <c r="C159" s="2714"/>
      <c r="E159" s="2713"/>
    </row>
    <row r="160" spans="1:5" s="1723" customFormat="1">
      <c r="A160" s="2713"/>
      <c r="C160" s="2714"/>
      <c r="E160" s="2713"/>
    </row>
    <row r="161" spans="1:5" s="1723" customFormat="1">
      <c r="A161" s="2713"/>
      <c r="C161" s="2714"/>
      <c r="E161" s="2713"/>
    </row>
    <row r="162" spans="1:5" s="1723" customFormat="1">
      <c r="A162" s="2713"/>
      <c r="C162" s="2714"/>
      <c r="E162" s="2713"/>
    </row>
    <row r="163" spans="1:5" s="1723" customFormat="1">
      <c r="A163" s="2713"/>
      <c r="C163" s="2714"/>
      <c r="E163" s="2713"/>
    </row>
    <row r="164" spans="1:5" s="1723" customFormat="1">
      <c r="A164" s="2713"/>
      <c r="C164" s="2714"/>
      <c r="E164" s="2713"/>
    </row>
    <row r="165" spans="1:5" s="1723" customFormat="1">
      <c r="A165" s="2713"/>
      <c r="C165" s="2714"/>
      <c r="E165" s="2713"/>
    </row>
    <row r="166" spans="1:5" s="1723" customFormat="1">
      <c r="A166" s="2713"/>
      <c r="C166" s="2714"/>
      <c r="E166" s="2713"/>
    </row>
    <row r="167" spans="1:5" s="1723" customFormat="1">
      <c r="A167" s="2713"/>
      <c r="C167" s="2714"/>
      <c r="E167" s="2713"/>
    </row>
    <row r="168" spans="1:5" s="1723" customFormat="1">
      <c r="A168" s="2713"/>
      <c r="C168" s="2714"/>
      <c r="E168" s="2713"/>
    </row>
    <row r="169" spans="1:5" s="1723" customFormat="1">
      <c r="A169" s="2713"/>
      <c r="C169" s="2714"/>
      <c r="E169" s="2713"/>
    </row>
    <row r="170" spans="1:5" s="1723" customFormat="1">
      <c r="A170" s="2713"/>
      <c r="C170" s="2714"/>
      <c r="E170" s="2713"/>
    </row>
    <row r="171" spans="1:5" s="1723" customFormat="1">
      <c r="A171" s="2713"/>
      <c r="C171" s="2714"/>
      <c r="E171" s="2713"/>
    </row>
    <row r="172" spans="1:5" s="1723" customFormat="1">
      <c r="A172" s="2713"/>
      <c r="C172" s="2714"/>
      <c r="E172" s="2713"/>
    </row>
    <row r="173" spans="1:5" s="1723" customFormat="1">
      <c r="A173" s="2713"/>
      <c r="C173" s="2714"/>
      <c r="E173" s="2713"/>
    </row>
    <row r="174" spans="1:5" s="1723" customFormat="1">
      <c r="A174" s="2713"/>
      <c r="C174" s="2714"/>
      <c r="E174" s="2713"/>
    </row>
    <row r="175" spans="1:5" s="1723" customFormat="1">
      <c r="A175" s="2713"/>
      <c r="C175" s="2714"/>
      <c r="E175" s="2713"/>
    </row>
    <row r="176" spans="1:5" s="1723" customFormat="1">
      <c r="A176" s="2713"/>
      <c r="C176" s="2714"/>
      <c r="E176" s="2713"/>
    </row>
    <row r="177" spans="1:5" s="1723" customFormat="1">
      <c r="A177" s="2713"/>
      <c r="C177" s="2714"/>
      <c r="E177" s="2713"/>
    </row>
    <row r="178" spans="1:5" s="1723" customFormat="1">
      <c r="A178" s="2713"/>
      <c r="C178" s="2714"/>
      <c r="E178" s="2713"/>
    </row>
    <row r="179" spans="1:5" s="1723" customFormat="1">
      <c r="A179" s="2713"/>
      <c r="C179" s="2714"/>
      <c r="E179" s="2713"/>
    </row>
    <row r="180" spans="1:5" s="1723" customFormat="1">
      <c r="A180" s="2713"/>
      <c r="C180" s="2714"/>
      <c r="E180" s="2713"/>
    </row>
    <row r="181" spans="1:5" s="1723" customFormat="1">
      <c r="A181" s="2713"/>
      <c r="C181" s="2714"/>
      <c r="E181" s="2713"/>
    </row>
    <row r="182" spans="1:5" s="1723" customFormat="1">
      <c r="A182" s="2713"/>
      <c r="C182" s="2714"/>
      <c r="E182" s="2713"/>
    </row>
    <row r="183" spans="1:5" s="1723" customFormat="1">
      <c r="A183" s="2713"/>
      <c r="C183" s="2714"/>
      <c r="E183" s="2713"/>
    </row>
    <row r="184" spans="1:5" s="1723" customFormat="1">
      <c r="A184" s="2713"/>
      <c r="C184" s="2714"/>
      <c r="E184" s="2713"/>
    </row>
    <row r="185" spans="1:5" s="1723" customFormat="1">
      <c r="A185" s="2713"/>
      <c r="C185" s="2714"/>
      <c r="E185" s="2713"/>
    </row>
    <row r="186" spans="1:5" s="1723" customFormat="1">
      <c r="A186" s="2713"/>
      <c r="C186" s="2714"/>
      <c r="E186" s="2713"/>
    </row>
    <row r="187" spans="1:5" s="1723" customFormat="1">
      <c r="A187" s="2713"/>
      <c r="C187" s="2714"/>
      <c r="E187" s="2713"/>
    </row>
    <row r="188" spans="1:5" s="1723" customFormat="1">
      <c r="A188" s="2713"/>
      <c r="C188" s="2714"/>
      <c r="E188" s="2713"/>
    </row>
    <row r="189" spans="1:5" s="1723" customFormat="1">
      <c r="A189" s="2713"/>
      <c r="C189" s="2714"/>
      <c r="E189" s="2713"/>
    </row>
    <row r="190" spans="1:5" s="1723" customFormat="1">
      <c r="A190" s="2713"/>
      <c r="C190" s="2714"/>
      <c r="E190" s="2713"/>
    </row>
    <row r="191" spans="1:5" s="1723" customFormat="1">
      <c r="A191" s="2713"/>
      <c r="C191" s="2714"/>
      <c r="E191" s="2713"/>
    </row>
    <row r="192" spans="1:5" s="1723" customFormat="1">
      <c r="A192" s="2713"/>
      <c r="C192" s="2714"/>
      <c r="E192" s="2713"/>
    </row>
    <row r="193" spans="1:5" s="1723" customFormat="1">
      <c r="A193" s="2713"/>
      <c r="C193" s="2714"/>
      <c r="E193" s="2713"/>
    </row>
    <row r="194" spans="1:5" s="1723" customFormat="1">
      <c r="A194" s="2713"/>
      <c r="C194" s="2714"/>
      <c r="E194" s="2713"/>
    </row>
    <row r="195" spans="1:5" s="1723" customFormat="1">
      <c r="A195" s="2713"/>
      <c r="C195" s="2714"/>
      <c r="E195" s="2713"/>
    </row>
    <row r="196" spans="1:5" s="1723" customFormat="1">
      <c r="A196" s="2713"/>
      <c r="C196" s="2714"/>
      <c r="E196" s="2713"/>
    </row>
    <row r="197" spans="1:5" s="1723" customFormat="1">
      <c r="A197" s="2713"/>
      <c r="C197" s="2714"/>
      <c r="E197" s="2713"/>
    </row>
    <row r="198" spans="1:5" s="1723" customFormat="1">
      <c r="A198" s="2713"/>
      <c r="C198" s="2714"/>
      <c r="E198" s="2713"/>
    </row>
    <row r="199" spans="1:5" s="1723" customFormat="1">
      <c r="A199" s="2713"/>
      <c r="C199" s="2714"/>
      <c r="E199" s="2713"/>
    </row>
    <row r="200" spans="1:5" s="1723" customFormat="1">
      <c r="A200" s="2713"/>
      <c r="C200" s="2714"/>
      <c r="E200" s="2713"/>
    </row>
    <row r="201" spans="1:5" s="1723" customFormat="1">
      <c r="A201" s="2713"/>
      <c r="C201" s="2714"/>
      <c r="E201" s="2713"/>
    </row>
    <row r="202" spans="1:5" s="1723" customFormat="1">
      <c r="A202" s="2713"/>
      <c r="C202" s="2714"/>
      <c r="E202" s="2713"/>
    </row>
    <row r="203" spans="1:5" s="1723" customFormat="1">
      <c r="A203" s="2713"/>
      <c r="C203" s="2714"/>
      <c r="E203" s="2713"/>
    </row>
    <row r="204" spans="1:5" s="1723" customFormat="1">
      <c r="A204" s="2713"/>
      <c r="C204" s="2714"/>
      <c r="E204" s="2713"/>
    </row>
    <row r="205" spans="1:5" s="1723" customFormat="1">
      <c r="A205" s="2713"/>
      <c r="C205" s="2714"/>
      <c r="E205" s="2713"/>
    </row>
    <row r="206" spans="1:5" s="1723" customFormat="1">
      <c r="A206" s="2713"/>
      <c r="C206" s="2714"/>
      <c r="E206" s="2713"/>
    </row>
    <row r="207" spans="1:5" s="1723" customFormat="1">
      <c r="A207" s="2713"/>
      <c r="C207" s="2714"/>
      <c r="E207" s="2713"/>
    </row>
    <row r="208" spans="1:5" s="1723" customFormat="1">
      <c r="A208" s="2713"/>
      <c r="C208" s="2714"/>
      <c r="E208" s="2713"/>
    </row>
    <row r="209" spans="1:5" s="1723" customFormat="1">
      <c r="A209" s="2713"/>
      <c r="C209" s="2714"/>
      <c r="E209" s="2713"/>
    </row>
    <row r="210" spans="1:5" s="1723" customFormat="1">
      <c r="A210" s="2713"/>
      <c r="C210" s="2714"/>
      <c r="E210" s="2713"/>
    </row>
    <row r="211" spans="1:5" s="1723" customFormat="1">
      <c r="A211" s="2713"/>
      <c r="C211" s="2714"/>
      <c r="E211" s="2713"/>
    </row>
    <row r="212" spans="1:5" s="1723" customFormat="1">
      <c r="A212" s="2713"/>
      <c r="C212" s="2714"/>
      <c r="E212" s="2713"/>
    </row>
    <row r="213" spans="1:5" s="1723" customFormat="1">
      <c r="A213" s="2713"/>
      <c r="C213" s="2714"/>
      <c r="E213" s="2713"/>
    </row>
    <row r="214" spans="1:5" s="1723" customFormat="1">
      <c r="A214" s="2713"/>
      <c r="C214" s="2714"/>
      <c r="E214" s="2713"/>
    </row>
    <row r="215" spans="1:5" s="1723" customFormat="1">
      <c r="A215" s="2713"/>
      <c r="C215" s="2714"/>
      <c r="E215" s="2713"/>
    </row>
    <row r="216" spans="1:5" s="1723" customFormat="1">
      <c r="A216" s="2713"/>
      <c r="C216" s="2714"/>
      <c r="E216" s="2713"/>
    </row>
    <row r="217" spans="1:5" s="1723" customFormat="1">
      <c r="A217" s="2713"/>
      <c r="C217" s="2714"/>
      <c r="E217" s="2713"/>
    </row>
    <row r="218" spans="1:5" s="1723" customFormat="1">
      <c r="A218" s="2713"/>
      <c r="C218" s="2714"/>
      <c r="E218" s="2713"/>
    </row>
    <row r="219" spans="1:5" s="1723" customFormat="1">
      <c r="A219" s="2713"/>
      <c r="C219" s="2714"/>
      <c r="E219" s="2713"/>
    </row>
    <row r="220" spans="1:5" s="1723" customFormat="1">
      <c r="A220" s="2713"/>
      <c r="C220" s="2714"/>
      <c r="E220" s="2713"/>
    </row>
    <row r="221" spans="1:5" s="1723" customFormat="1">
      <c r="A221" s="2713"/>
      <c r="C221" s="2714"/>
      <c r="E221" s="2713"/>
    </row>
    <row r="222" spans="1:5" s="1723" customFormat="1">
      <c r="A222" s="2713"/>
      <c r="C222" s="2714"/>
      <c r="E222" s="2713"/>
    </row>
    <row r="223" spans="1:5" s="1723" customFormat="1">
      <c r="A223" s="2713"/>
      <c r="C223" s="2714"/>
      <c r="E223" s="2713"/>
    </row>
    <row r="224" spans="1:5" s="1723" customFormat="1">
      <c r="A224" s="2713"/>
      <c r="C224" s="2714"/>
      <c r="E224" s="2713"/>
    </row>
    <row r="225" spans="1:5" s="1723" customFormat="1">
      <c r="A225" s="2713"/>
      <c r="C225" s="2714"/>
      <c r="E225" s="2713"/>
    </row>
    <row r="226" spans="1:5" s="1723" customFormat="1">
      <c r="A226" s="2713"/>
      <c r="C226" s="2714"/>
      <c r="E226" s="2713"/>
    </row>
    <row r="227" spans="1:5" s="1723" customFormat="1">
      <c r="A227" s="2713"/>
      <c r="C227" s="2714"/>
      <c r="E227" s="2713"/>
    </row>
    <row r="228" spans="1:5" s="1723" customFormat="1">
      <c r="A228" s="2713"/>
      <c r="C228" s="2714"/>
      <c r="E228" s="2713"/>
    </row>
    <row r="229" spans="1:5" s="1723" customFormat="1">
      <c r="A229" s="2713"/>
      <c r="C229" s="2714"/>
      <c r="E229" s="2713"/>
    </row>
    <row r="230" spans="1:5" s="1723" customFormat="1">
      <c r="A230" s="2713"/>
      <c r="C230" s="2714"/>
      <c r="E230" s="2713"/>
    </row>
    <row r="231" spans="1:5" s="1723" customFormat="1">
      <c r="A231" s="2713"/>
      <c r="C231" s="2714"/>
      <c r="E231" s="2713"/>
    </row>
    <row r="232" spans="1:5" s="1723" customFormat="1">
      <c r="A232" s="2713"/>
      <c r="C232" s="2714"/>
      <c r="E232" s="2713"/>
    </row>
    <row r="233" spans="1:5" s="1723" customFormat="1">
      <c r="A233" s="2713"/>
      <c r="C233" s="2714"/>
      <c r="E233" s="2713"/>
    </row>
    <row r="234" spans="1:5" s="1723" customFormat="1">
      <c r="A234" s="2713"/>
      <c r="C234" s="2714"/>
      <c r="E234" s="2713"/>
    </row>
    <row r="235" spans="1:5" s="1723" customFormat="1">
      <c r="A235" s="2713"/>
      <c r="C235" s="2714"/>
      <c r="E235" s="2713"/>
    </row>
    <row r="236" spans="1:5" s="1723" customFormat="1">
      <c r="A236" s="2713"/>
      <c r="C236" s="2714"/>
      <c r="E236" s="2713"/>
    </row>
    <row r="237" spans="1:5" s="1723" customFormat="1">
      <c r="A237" s="2713"/>
      <c r="C237" s="2714"/>
      <c r="E237" s="2713"/>
    </row>
    <row r="238" spans="1:5" s="1723" customFormat="1">
      <c r="A238" s="2713"/>
      <c r="C238" s="2714"/>
      <c r="E238" s="2713"/>
    </row>
    <row r="239" spans="1:5" s="1723" customFormat="1">
      <c r="A239" s="2713"/>
      <c r="C239" s="2714"/>
      <c r="E239" s="2713"/>
    </row>
    <row r="240" spans="1:5" s="1723" customFormat="1">
      <c r="A240" s="2713"/>
      <c r="C240" s="2714"/>
      <c r="E240" s="2713"/>
    </row>
    <row r="241" spans="1:5" s="1723" customFormat="1">
      <c r="A241" s="2713"/>
      <c r="C241" s="2714"/>
      <c r="E241" s="2713"/>
    </row>
    <row r="242" spans="1:5" s="1723" customFormat="1">
      <c r="A242" s="2713"/>
      <c r="C242" s="2714"/>
      <c r="E242" s="2713"/>
    </row>
    <row r="243" spans="1:5" s="1723" customFormat="1">
      <c r="A243" s="2713"/>
      <c r="C243" s="2714"/>
      <c r="E243" s="2713"/>
    </row>
    <row r="244" spans="1:5" s="1723" customFormat="1">
      <c r="A244" s="2713"/>
      <c r="C244" s="2714"/>
      <c r="E244" s="2713"/>
    </row>
    <row r="245" spans="1:5" s="1723" customFormat="1">
      <c r="A245" s="2713"/>
      <c r="C245" s="2714"/>
      <c r="E245" s="2713"/>
    </row>
    <row r="246" spans="1:5" s="1723" customFormat="1">
      <c r="A246" s="2713"/>
      <c r="C246" s="2714"/>
      <c r="E246" s="2713"/>
    </row>
    <row r="247" spans="1:5" s="1723" customFormat="1">
      <c r="A247" s="2713"/>
      <c r="C247" s="2714"/>
      <c r="E247" s="2713"/>
    </row>
    <row r="248" spans="1:5" s="1723" customFormat="1">
      <c r="A248" s="2713"/>
      <c r="C248" s="2714"/>
      <c r="E248" s="2713"/>
    </row>
    <row r="249" spans="1:5" s="1723" customFormat="1">
      <c r="A249" s="2713"/>
      <c r="C249" s="2714"/>
      <c r="E249" s="2713"/>
    </row>
    <row r="250" spans="1:5" s="1723" customFormat="1">
      <c r="A250" s="2713"/>
      <c r="C250" s="2714"/>
      <c r="E250" s="2713"/>
    </row>
    <row r="251" spans="1:5" s="1723" customFormat="1">
      <c r="A251" s="2713"/>
      <c r="C251" s="2714"/>
      <c r="E251" s="2713"/>
    </row>
    <row r="252" spans="1:5" s="1723" customFormat="1">
      <c r="A252" s="2713"/>
      <c r="C252" s="2714"/>
      <c r="E252" s="2713"/>
    </row>
    <row r="253" spans="1:5" s="1723" customFormat="1">
      <c r="A253" s="2713"/>
      <c r="C253" s="2714"/>
      <c r="E253" s="2713"/>
    </row>
    <row r="254" spans="1:5" s="1723" customFormat="1">
      <c r="A254" s="2713"/>
      <c r="C254" s="2714"/>
      <c r="E254" s="2713"/>
    </row>
    <row r="255" spans="1:5" s="1723" customFormat="1">
      <c r="A255" s="2713"/>
      <c r="C255" s="2714"/>
      <c r="E255" s="2713"/>
    </row>
    <row r="256" spans="1:5" s="1723" customFormat="1">
      <c r="A256" s="2713"/>
      <c r="C256" s="2714"/>
      <c r="E256" s="2713"/>
    </row>
    <row r="257" spans="1:5" s="1723" customFormat="1">
      <c r="A257" s="2713"/>
      <c r="C257" s="2714"/>
      <c r="E257" s="2713"/>
    </row>
    <row r="258" spans="1:5" s="1723" customFormat="1">
      <c r="A258" s="2713"/>
      <c r="C258" s="2714"/>
      <c r="E258" s="2713"/>
    </row>
    <row r="259" spans="1:5" s="1723" customFormat="1">
      <c r="A259" s="2713"/>
      <c r="C259" s="2714"/>
      <c r="E259" s="2713"/>
    </row>
    <row r="260" spans="1:5" s="1723" customFormat="1">
      <c r="A260" s="2713"/>
      <c r="C260" s="2714"/>
      <c r="E260" s="2713"/>
    </row>
    <row r="261" spans="1:5" s="1723" customFormat="1">
      <c r="A261" s="2713"/>
      <c r="C261" s="2714"/>
      <c r="E261" s="2713"/>
    </row>
    <row r="262" spans="1:5" s="1723" customFormat="1">
      <c r="A262" s="2713"/>
      <c r="C262" s="2714"/>
      <c r="E262" s="2713"/>
    </row>
    <row r="263" spans="1:5" s="1723" customFormat="1">
      <c r="A263" s="2713"/>
      <c r="C263" s="2714"/>
      <c r="E263" s="2713"/>
    </row>
    <row r="264" spans="1:5" s="1723" customFormat="1">
      <c r="A264" s="2713"/>
      <c r="C264" s="2714"/>
      <c r="E264" s="2713"/>
    </row>
    <row r="265" spans="1:5" s="1723" customFormat="1">
      <c r="A265" s="2713"/>
      <c r="C265" s="2714"/>
      <c r="E265" s="2713"/>
    </row>
    <row r="266" spans="1:5" s="1723" customFormat="1">
      <c r="A266" s="2713"/>
      <c r="C266" s="2714"/>
      <c r="E266" s="2713"/>
    </row>
    <row r="267" spans="1:5" s="1723" customFormat="1">
      <c r="A267" s="2713"/>
      <c r="C267" s="2714"/>
      <c r="E267" s="2713"/>
    </row>
    <row r="268" spans="1:5" s="1723" customFormat="1">
      <c r="A268" s="2713"/>
      <c r="C268" s="2714"/>
      <c r="E268" s="2713"/>
    </row>
    <row r="269" spans="1:5" s="1723" customFormat="1">
      <c r="A269" s="2713"/>
      <c r="C269" s="2714"/>
      <c r="E269" s="2713"/>
    </row>
    <row r="270" spans="1:5" s="1723" customFormat="1">
      <c r="A270" s="2713"/>
      <c r="C270" s="2714"/>
      <c r="E270" s="2713"/>
    </row>
    <row r="271" spans="1:5" s="1723" customFormat="1">
      <c r="A271" s="2713"/>
      <c r="C271" s="2714"/>
      <c r="E271" s="2713"/>
    </row>
    <row r="272" spans="1:5" s="1723" customFormat="1">
      <c r="A272" s="2713"/>
      <c r="C272" s="2714"/>
      <c r="E272" s="2713"/>
    </row>
    <row r="273" spans="1:5" s="1723" customFormat="1">
      <c r="A273" s="2713"/>
      <c r="C273" s="2714"/>
      <c r="E273" s="2713"/>
    </row>
    <row r="274" spans="1:5" s="1723" customFormat="1">
      <c r="A274" s="2713"/>
      <c r="C274" s="2714"/>
      <c r="E274" s="2713"/>
    </row>
    <row r="275" spans="1:5" s="1723" customFormat="1">
      <c r="A275" s="2713"/>
      <c r="C275" s="2714"/>
      <c r="E275" s="2713"/>
    </row>
    <row r="276" spans="1:5" s="1723" customFormat="1">
      <c r="A276" s="2713"/>
      <c r="C276" s="2714"/>
      <c r="E276" s="2713"/>
    </row>
    <row r="277" spans="1:5" s="1723" customFormat="1">
      <c r="A277" s="2713"/>
      <c r="C277" s="2714"/>
      <c r="E277" s="2713"/>
    </row>
    <row r="278" spans="1:5" s="1723" customFormat="1">
      <c r="A278" s="2713"/>
      <c r="C278" s="2714"/>
      <c r="E278" s="2713"/>
    </row>
    <row r="279" spans="1:5" s="1723" customFormat="1">
      <c r="A279" s="2713"/>
      <c r="C279" s="2714"/>
      <c r="E279" s="2713"/>
    </row>
    <row r="280" spans="1:5" s="1723" customFormat="1">
      <c r="A280" s="2713"/>
      <c r="C280" s="2714"/>
      <c r="E280" s="2713"/>
    </row>
    <row r="281" spans="1:5" s="1723" customFormat="1">
      <c r="A281" s="2713"/>
      <c r="C281" s="2714"/>
      <c r="E281" s="2713"/>
    </row>
    <row r="282" spans="1:5" s="1723" customFormat="1">
      <c r="A282" s="2713"/>
      <c r="C282" s="2714"/>
      <c r="E282" s="2713"/>
    </row>
    <row r="283" spans="1:5" s="1723" customFormat="1">
      <c r="A283" s="2713"/>
      <c r="C283" s="2714"/>
      <c r="E283" s="2713"/>
    </row>
    <row r="284" spans="1:5" s="1723" customFormat="1">
      <c r="A284" s="2713"/>
      <c r="C284" s="2714"/>
      <c r="E284" s="2713"/>
    </row>
    <row r="285" spans="1:5" s="1723" customFormat="1">
      <c r="A285" s="2713"/>
      <c r="C285" s="2714"/>
      <c r="E285" s="2713"/>
    </row>
    <row r="286" spans="1:5" s="1723" customFormat="1">
      <c r="A286" s="2713"/>
      <c r="C286" s="2714"/>
      <c r="E286" s="2713"/>
    </row>
    <row r="287" spans="1:5" s="1723" customFormat="1">
      <c r="A287" s="2713"/>
      <c r="C287" s="2714"/>
      <c r="E287" s="2713"/>
    </row>
    <row r="288" spans="1:5" s="1723" customFormat="1">
      <c r="A288" s="2713"/>
      <c r="C288" s="2714"/>
      <c r="E288" s="2713"/>
    </row>
    <row r="289" spans="1:5" s="1723" customFormat="1">
      <c r="A289" s="2713"/>
      <c r="C289" s="2714"/>
      <c r="E289" s="2713"/>
    </row>
    <row r="290" spans="1:5" s="1723" customFormat="1">
      <c r="A290" s="2713"/>
      <c r="C290" s="2714"/>
      <c r="E290" s="2713"/>
    </row>
    <row r="291" spans="1:5" s="1723" customFormat="1">
      <c r="A291" s="2713"/>
      <c r="C291" s="2714"/>
      <c r="E291" s="2713"/>
    </row>
    <row r="292" spans="1:5" s="1723" customFormat="1">
      <c r="A292" s="2713"/>
      <c r="C292" s="2714"/>
      <c r="E292" s="2713"/>
    </row>
    <row r="293" spans="1:5" s="1723" customFormat="1">
      <c r="A293" s="2713"/>
      <c r="C293" s="2714"/>
      <c r="E293" s="2713"/>
    </row>
    <row r="294" spans="1:5" s="1723" customFormat="1">
      <c r="A294" s="2713"/>
      <c r="C294" s="2714"/>
      <c r="E294" s="2713"/>
    </row>
    <row r="295" spans="1:5" s="1723" customFormat="1">
      <c r="A295" s="2713"/>
      <c r="C295" s="2714"/>
      <c r="E295" s="2713"/>
    </row>
    <row r="296" spans="1:5" s="1723" customFormat="1">
      <c r="A296" s="2713"/>
      <c r="C296" s="2714"/>
      <c r="E296" s="2713"/>
    </row>
    <row r="297" spans="1:5" s="1723" customFormat="1">
      <c r="A297" s="2713"/>
      <c r="C297" s="2714"/>
      <c r="E297" s="2713"/>
    </row>
    <row r="298" spans="1:5" s="1723" customFormat="1">
      <c r="A298" s="2713"/>
      <c r="C298" s="2714"/>
      <c r="E298" s="2713"/>
    </row>
    <row r="299" spans="1:5" s="1723" customFormat="1">
      <c r="A299" s="2713"/>
      <c r="C299" s="2714"/>
      <c r="E299" s="2713"/>
    </row>
    <row r="300" spans="1:5" s="1723" customFormat="1">
      <c r="A300" s="2713"/>
      <c r="C300" s="2714"/>
      <c r="E300" s="2713"/>
    </row>
    <row r="301" spans="1:5" s="1723" customFormat="1">
      <c r="A301" s="2713"/>
      <c r="C301" s="2714"/>
      <c r="E301" s="2713"/>
    </row>
    <row r="302" spans="1:5" s="1723" customFormat="1">
      <c r="A302" s="2713"/>
      <c r="C302" s="2714"/>
      <c r="E302" s="2713"/>
    </row>
    <row r="303" spans="1:5" s="1723" customFormat="1">
      <c r="A303" s="2713"/>
      <c r="C303" s="2714"/>
      <c r="E303" s="2713"/>
    </row>
    <row r="304" spans="1:5" s="1723" customFormat="1">
      <c r="A304" s="2713"/>
      <c r="C304" s="2714"/>
      <c r="E304" s="2713"/>
    </row>
    <row r="305" spans="1:5" s="1723" customFormat="1">
      <c r="A305" s="2713"/>
      <c r="C305" s="2714"/>
      <c r="E305" s="2713"/>
    </row>
    <row r="306" spans="1:5" s="1723" customFormat="1">
      <c r="A306" s="2713"/>
      <c r="C306" s="2714"/>
      <c r="E306" s="2713"/>
    </row>
    <row r="307" spans="1:5" s="1723" customFormat="1">
      <c r="A307" s="2713"/>
      <c r="C307" s="2714"/>
      <c r="E307" s="2713"/>
    </row>
    <row r="308" spans="1:5" s="1723" customFormat="1">
      <c r="A308" s="2713"/>
      <c r="C308" s="2714"/>
      <c r="E308" s="2713"/>
    </row>
    <row r="309" spans="1:5" s="1723" customFormat="1">
      <c r="A309" s="2713"/>
      <c r="C309" s="2714"/>
      <c r="E309" s="2713"/>
    </row>
    <row r="310" spans="1:5" s="1723" customFormat="1">
      <c r="A310" s="2713"/>
      <c r="C310" s="2714"/>
      <c r="E310" s="2713"/>
    </row>
    <row r="311" spans="1:5" s="1723" customFormat="1">
      <c r="A311" s="2713"/>
      <c r="C311" s="2714"/>
      <c r="E311" s="2713"/>
    </row>
    <row r="312" spans="1:5" s="1723" customFormat="1">
      <c r="A312" s="2713"/>
      <c r="C312" s="2714"/>
      <c r="E312" s="2713"/>
    </row>
    <row r="313" spans="1:5" s="1723" customFormat="1">
      <c r="A313" s="2713"/>
      <c r="C313" s="2714"/>
      <c r="E313" s="2713"/>
    </row>
    <row r="314" spans="1:5" s="1723" customFormat="1">
      <c r="A314" s="2713"/>
      <c r="C314" s="2714"/>
      <c r="E314" s="2713"/>
    </row>
    <row r="315" spans="1:5" s="1723" customFormat="1">
      <c r="A315" s="2713"/>
      <c r="C315" s="2714"/>
      <c r="E315" s="2713"/>
    </row>
    <row r="316" spans="1:5" s="1723" customFormat="1">
      <c r="A316" s="2713"/>
      <c r="C316" s="2714"/>
      <c r="E316" s="2713"/>
    </row>
    <row r="317" spans="1:5" s="1723" customFormat="1">
      <c r="A317" s="2713"/>
      <c r="C317" s="2714"/>
      <c r="E317" s="2713"/>
    </row>
    <row r="318" spans="1:5" s="1723" customFormat="1">
      <c r="A318" s="2713"/>
      <c r="C318" s="2714"/>
      <c r="E318" s="2713"/>
    </row>
    <row r="319" spans="1:5" s="1723" customFormat="1">
      <c r="A319" s="2713"/>
      <c r="C319" s="2714"/>
      <c r="E319" s="2713"/>
    </row>
    <row r="320" spans="1:5" s="1723" customFormat="1">
      <c r="A320" s="2713"/>
      <c r="C320" s="2714"/>
      <c r="E320" s="2713"/>
    </row>
    <row r="321" spans="1:5" s="1723" customFormat="1">
      <c r="A321" s="2713"/>
      <c r="C321" s="2714"/>
      <c r="E321" s="2713"/>
    </row>
    <row r="322" spans="1:5" s="1723" customFormat="1">
      <c r="A322" s="2713"/>
      <c r="C322" s="2714"/>
      <c r="E322" s="2713"/>
    </row>
    <row r="323" spans="1:5" s="1723" customFormat="1">
      <c r="A323" s="2713"/>
      <c r="C323" s="2714"/>
      <c r="E323" s="2713"/>
    </row>
    <row r="324" spans="1:5" s="1723" customFormat="1">
      <c r="A324" s="2713"/>
      <c r="C324" s="2714"/>
      <c r="E324" s="2713"/>
    </row>
    <row r="325" spans="1:5" s="1723" customFormat="1">
      <c r="A325" s="2713"/>
      <c r="C325" s="2714"/>
      <c r="E325" s="2713"/>
    </row>
    <row r="326" spans="1:5" s="1723" customFormat="1">
      <c r="A326" s="2713"/>
      <c r="C326" s="2714"/>
      <c r="E326" s="2713"/>
    </row>
    <row r="327" spans="1:5" s="1723" customFormat="1">
      <c r="A327" s="2713"/>
      <c r="C327" s="2714"/>
      <c r="E327" s="2713"/>
    </row>
    <row r="328" spans="1:5" s="1723" customFormat="1">
      <c r="A328" s="2713"/>
      <c r="C328" s="2714"/>
      <c r="E328" s="2713"/>
    </row>
    <row r="329" spans="1:5" s="1723" customFormat="1">
      <c r="A329" s="2713"/>
      <c r="C329" s="2714"/>
      <c r="E329" s="2713"/>
    </row>
    <row r="330" spans="1:5" s="1723" customFormat="1">
      <c r="A330" s="2713"/>
      <c r="C330" s="2714"/>
      <c r="E330" s="2713"/>
    </row>
    <row r="331" spans="1:5" s="1723" customFormat="1">
      <c r="A331" s="2713"/>
      <c r="C331" s="2714"/>
      <c r="E331" s="2713"/>
    </row>
    <row r="332" spans="1:5" s="1723" customFormat="1">
      <c r="A332" s="2713"/>
      <c r="C332" s="2714"/>
      <c r="E332" s="2713"/>
    </row>
    <row r="333" spans="1:5" s="1723" customFormat="1">
      <c r="A333" s="2713"/>
      <c r="C333" s="2714"/>
      <c r="E333" s="2713"/>
    </row>
    <row r="334" spans="1:5" s="1723" customFormat="1">
      <c r="A334" s="2713"/>
      <c r="C334" s="2714"/>
      <c r="E334" s="2713"/>
    </row>
    <row r="335" spans="1:5" s="1723" customFormat="1">
      <c r="A335" s="2713"/>
      <c r="C335" s="2714"/>
      <c r="E335" s="2713"/>
    </row>
    <row r="336" spans="1:5" s="1723" customFormat="1">
      <c r="A336" s="2713"/>
      <c r="C336" s="2714"/>
      <c r="E336" s="2713"/>
    </row>
    <row r="337" spans="1:5" s="1723" customFormat="1">
      <c r="A337" s="2713"/>
      <c r="C337" s="2714"/>
      <c r="E337" s="2713"/>
    </row>
    <row r="338" spans="1:5" s="1723" customFormat="1">
      <c r="A338" s="2713"/>
      <c r="C338" s="2714"/>
      <c r="E338" s="2713"/>
    </row>
    <row r="339" spans="1:5" s="1723" customFormat="1">
      <c r="A339" s="2713"/>
      <c r="C339" s="2714"/>
      <c r="E339" s="2713"/>
    </row>
    <row r="340" spans="1:5" s="1723" customFormat="1">
      <c r="A340" s="2713"/>
      <c r="C340" s="2714"/>
      <c r="E340" s="2713"/>
    </row>
    <row r="341" spans="1:5" s="1723" customFormat="1">
      <c r="A341" s="2713"/>
      <c r="C341" s="2714"/>
      <c r="E341" s="2713"/>
    </row>
    <row r="342" spans="1:5" s="1723" customFormat="1">
      <c r="A342" s="2713"/>
      <c r="C342" s="2714"/>
      <c r="E342" s="2713"/>
    </row>
    <row r="343" spans="1:5" s="1723" customFormat="1">
      <c r="A343" s="2713"/>
      <c r="C343" s="2714"/>
      <c r="E343" s="2713"/>
    </row>
    <row r="344" spans="1:5" s="1723" customFormat="1">
      <c r="A344" s="2713"/>
      <c r="C344" s="2714"/>
      <c r="E344" s="2713"/>
    </row>
    <row r="345" spans="1:5" s="1723" customFormat="1">
      <c r="A345" s="2713"/>
      <c r="C345" s="2714"/>
      <c r="E345" s="2713"/>
    </row>
    <row r="346" spans="1:5" s="1723" customFormat="1">
      <c r="A346" s="2713"/>
      <c r="C346" s="2714"/>
      <c r="E346" s="2713"/>
    </row>
    <row r="347" spans="1:5" s="1723" customFormat="1">
      <c r="A347" s="2713"/>
      <c r="C347" s="2714"/>
      <c r="E347" s="2713"/>
    </row>
    <row r="348" spans="1:5" s="1723" customFormat="1">
      <c r="A348" s="2713"/>
      <c r="C348" s="2714"/>
      <c r="E348" s="2713"/>
    </row>
    <row r="349" spans="1:5" s="1723" customFormat="1">
      <c r="A349" s="2713"/>
      <c r="C349" s="2714"/>
      <c r="E349" s="2713"/>
    </row>
    <row r="350" spans="1:5" s="1723" customFormat="1">
      <c r="A350" s="2713"/>
      <c r="C350" s="2714"/>
      <c r="E350" s="2713"/>
    </row>
    <row r="351" spans="1:5" s="1723" customFormat="1">
      <c r="A351" s="2713"/>
      <c r="C351" s="2714"/>
      <c r="E351" s="2713"/>
    </row>
    <row r="352" spans="1:5" s="1723" customFormat="1">
      <c r="A352" s="2713"/>
      <c r="C352" s="2714"/>
      <c r="E352" s="2713"/>
    </row>
    <row r="353" spans="1:5" s="1723" customFormat="1">
      <c r="A353" s="2713"/>
      <c r="C353" s="2714"/>
      <c r="E353" s="2713"/>
    </row>
    <row r="354" spans="1:5" s="1723" customFormat="1">
      <c r="A354" s="2713"/>
      <c r="C354" s="2714"/>
      <c r="E354" s="2713"/>
    </row>
    <row r="355" spans="1:5" s="1723" customFormat="1">
      <c r="A355" s="2713"/>
      <c r="C355" s="2714"/>
      <c r="E355" s="2713"/>
    </row>
    <row r="356" spans="1:5" s="1723" customFormat="1">
      <c r="A356" s="2713"/>
      <c r="C356" s="2714"/>
      <c r="E356" s="2713"/>
    </row>
    <row r="357" spans="1:5" s="1723" customFormat="1">
      <c r="A357" s="2713"/>
      <c r="C357" s="2714"/>
      <c r="E357" s="2713"/>
    </row>
    <row r="358" spans="1:5" s="1723" customFormat="1">
      <c r="A358" s="2713"/>
      <c r="C358" s="2714"/>
      <c r="E358" s="2713"/>
    </row>
    <row r="359" spans="1:5" s="1723" customFormat="1">
      <c r="A359" s="2713"/>
      <c r="C359" s="2714"/>
      <c r="E359" s="2713"/>
    </row>
    <row r="360" spans="1:5" s="1723" customFormat="1">
      <c r="A360" s="2713"/>
      <c r="C360" s="2714"/>
      <c r="E360" s="2713"/>
    </row>
    <row r="361" spans="1:5" s="1723" customFormat="1">
      <c r="A361" s="2713"/>
      <c r="C361" s="2714"/>
      <c r="E361" s="2713"/>
    </row>
    <row r="362" spans="1:5" s="1723" customFormat="1">
      <c r="A362" s="2713"/>
      <c r="C362" s="2714"/>
      <c r="E362" s="2713"/>
    </row>
    <row r="363" spans="1:5" s="1723" customFormat="1">
      <c r="A363" s="2713"/>
      <c r="C363" s="2714"/>
      <c r="E363" s="2713"/>
    </row>
    <row r="364" spans="1:5" s="1723" customFormat="1">
      <c r="A364" s="2713"/>
      <c r="C364" s="2714"/>
      <c r="E364" s="2713"/>
    </row>
    <row r="365" spans="1:5" s="1723" customFormat="1">
      <c r="A365" s="2713"/>
      <c r="C365" s="2714"/>
      <c r="E365" s="2713"/>
    </row>
    <row r="366" spans="1:5" s="1723" customFormat="1">
      <c r="A366" s="2713"/>
      <c r="C366" s="2714"/>
      <c r="E366" s="2713"/>
    </row>
    <row r="367" spans="1:5" s="1723" customFormat="1">
      <c r="A367" s="2713"/>
      <c r="C367" s="2714"/>
      <c r="E367" s="2713"/>
    </row>
    <row r="368" spans="1:5" s="1723" customFormat="1">
      <c r="A368" s="2713"/>
      <c r="C368" s="2714"/>
      <c r="E368" s="2713"/>
    </row>
    <row r="369" spans="1:5" s="1723" customFormat="1">
      <c r="A369" s="2713"/>
      <c r="C369" s="2714"/>
      <c r="E369" s="2713"/>
    </row>
    <row r="370" spans="1:5" s="1723" customFormat="1">
      <c r="A370" s="2713"/>
      <c r="C370" s="2714"/>
      <c r="E370" s="2713"/>
    </row>
    <row r="371" spans="1:5" s="1723" customFormat="1">
      <c r="A371" s="2713"/>
      <c r="C371" s="2714"/>
      <c r="E371" s="2713"/>
    </row>
    <row r="372" spans="1:5" s="1723" customFormat="1">
      <c r="A372" s="2713"/>
      <c r="C372" s="2714"/>
      <c r="E372" s="2713"/>
    </row>
    <row r="373" spans="1:5" s="1723" customFormat="1">
      <c r="A373" s="2713"/>
      <c r="C373" s="2714"/>
      <c r="E373" s="2713"/>
    </row>
    <row r="374" spans="1:5" s="1723" customFormat="1">
      <c r="A374" s="2713"/>
      <c r="C374" s="2714"/>
      <c r="E374" s="2713"/>
    </row>
    <row r="375" spans="1:5" s="1723" customFormat="1">
      <c r="A375" s="2713"/>
      <c r="C375" s="2714"/>
      <c r="E375" s="2713"/>
    </row>
    <row r="376" spans="1:5" s="1723" customFormat="1">
      <c r="A376" s="2713"/>
      <c r="C376" s="2714"/>
      <c r="E376" s="2713"/>
    </row>
    <row r="377" spans="1:5" s="1723" customFormat="1">
      <c r="A377" s="2713"/>
      <c r="C377" s="2714"/>
      <c r="E377" s="2713"/>
    </row>
    <row r="378" spans="1:5" s="1723" customFormat="1">
      <c r="A378" s="2713"/>
      <c r="C378" s="2714"/>
      <c r="E378" s="2713"/>
    </row>
    <row r="379" spans="1:5" s="1723" customFormat="1">
      <c r="A379" s="2713"/>
      <c r="C379" s="2714"/>
      <c r="E379" s="2713"/>
    </row>
    <row r="380" spans="1:5" s="1723" customFormat="1">
      <c r="A380" s="2713"/>
      <c r="C380" s="2714"/>
      <c r="E380" s="2713"/>
    </row>
    <row r="381" spans="1:5" s="1723" customFormat="1">
      <c r="A381" s="2713"/>
      <c r="C381" s="2714"/>
      <c r="E381" s="2713"/>
    </row>
    <row r="382" spans="1:5" s="1723" customFormat="1">
      <c r="A382" s="2713"/>
      <c r="C382" s="2714"/>
      <c r="E382" s="2713"/>
    </row>
    <row r="383" spans="1:5" s="1723" customFormat="1">
      <c r="A383" s="2713"/>
      <c r="C383" s="2714"/>
      <c r="E383" s="2713"/>
    </row>
    <row r="384" spans="1:5" s="1723" customFormat="1">
      <c r="A384" s="2713"/>
      <c r="C384" s="2714"/>
      <c r="E384" s="2713"/>
    </row>
    <row r="385" spans="1:5" s="1723" customFormat="1">
      <c r="A385" s="2713"/>
      <c r="C385" s="2714"/>
      <c r="E385" s="2713"/>
    </row>
    <row r="386" spans="1:5" s="1723" customFormat="1">
      <c r="A386" s="2713"/>
      <c r="C386" s="2714"/>
      <c r="E386" s="2713"/>
    </row>
    <row r="387" spans="1:5" s="1723" customFormat="1">
      <c r="A387" s="2713"/>
      <c r="C387" s="2714"/>
      <c r="E387" s="2713"/>
    </row>
    <row r="388" spans="1:5" s="1723" customFormat="1">
      <c r="A388" s="2713"/>
      <c r="C388" s="2714"/>
      <c r="E388" s="2713"/>
    </row>
    <row r="389" spans="1:5" s="1723" customFormat="1">
      <c r="A389" s="2713"/>
      <c r="C389" s="2714"/>
      <c r="E389" s="2713"/>
    </row>
    <row r="390" spans="1:5" s="1723" customFormat="1">
      <c r="A390" s="2713"/>
      <c r="C390" s="2714"/>
      <c r="E390" s="2713"/>
    </row>
    <row r="391" spans="1:5" s="1723" customFormat="1">
      <c r="A391" s="2713"/>
      <c r="C391" s="2714"/>
      <c r="E391" s="2713"/>
    </row>
    <row r="392" spans="1:5" s="1723" customFormat="1">
      <c r="A392" s="2713"/>
      <c r="C392" s="2714"/>
      <c r="E392" s="2713"/>
    </row>
    <row r="393" spans="1:5" s="1723" customFormat="1">
      <c r="A393" s="2713"/>
      <c r="C393" s="2714"/>
      <c r="E393" s="2713"/>
    </row>
    <row r="394" spans="1:5" s="1723" customFormat="1">
      <c r="A394" s="2713"/>
      <c r="C394" s="2714"/>
      <c r="E394" s="2713"/>
    </row>
    <row r="395" spans="1:5" s="1723" customFormat="1">
      <c r="A395" s="2713"/>
      <c r="C395" s="2714"/>
      <c r="E395" s="2713"/>
    </row>
    <row r="396" spans="1:5" s="1723" customFormat="1">
      <c r="A396" s="2713"/>
      <c r="C396" s="2714"/>
      <c r="E396" s="2713"/>
    </row>
    <row r="397" spans="1:5" s="1723" customFormat="1">
      <c r="A397" s="2713"/>
      <c r="C397" s="2714"/>
      <c r="E397" s="2713"/>
    </row>
    <row r="398" spans="1:5" s="1723" customFormat="1">
      <c r="A398" s="2713"/>
      <c r="C398" s="2714"/>
      <c r="E398" s="2713"/>
    </row>
    <row r="399" spans="1:5" s="1723" customFormat="1">
      <c r="A399" s="2713"/>
      <c r="C399" s="2714"/>
      <c r="E399" s="2713"/>
    </row>
    <row r="400" spans="1:5" s="1723" customFormat="1">
      <c r="A400" s="2713"/>
      <c r="C400" s="2714"/>
      <c r="E400" s="2713"/>
    </row>
    <row r="401" spans="1:5" s="1723" customFormat="1">
      <c r="A401" s="2713"/>
      <c r="C401" s="2714"/>
      <c r="E401" s="2713"/>
    </row>
    <row r="402" spans="1:5" s="1723" customFormat="1">
      <c r="A402" s="2713"/>
      <c r="C402" s="2714"/>
      <c r="E402" s="2713"/>
    </row>
    <row r="403" spans="1:5" s="1723" customFormat="1">
      <c r="A403" s="2713"/>
      <c r="C403" s="2714"/>
      <c r="E403" s="2713"/>
    </row>
    <row r="404" spans="1:5" s="1723" customFormat="1">
      <c r="A404" s="2713"/>
      <c r="C404" s="2714"/>
      <c r="E404" s="2713"/>
    </row>
    <row r="405" spans="1:5" s="1723" customFormat="1">
      <c r="A405" s="2713"/>
      <c r="C405" s="2714"/>
      <c r="E405" s="2713"/>
    </row>
    <row r="406" spans="1:5" s="1723" customFormat="1">
      <c r="A406" s="2713"/>
      <c r="C406" s="2714"/>
      <c r="E406" s="2713"/>
    </row>
    <row r="407" spans="1:5" s="1723" customFormat="1">
      <c r="A407" s="2713"/>
      <c r="C407" s="2714"/>
      <c r="E407" s="2713"/>
    </row>
    <row r="408" spans="1:5" s="1723" customFormat="1">
      <c r="A408" s="2713"/>
      <c r="C408" s="2714"/>
      <c r="E408" s="2713"/>
    </row>
    <row r="409" spans="1:5" s="1723" customFormat="1">
      <c r="A409" s="2713"/>
      <c r="C409" s="2714"/>
      <c r="E409" s="2713"/>
    </row>
    <row r="410" spans="1:5" s="1723" customFormat="1">
      <c r="A410" s="2713"/>
      <c r="C410" s="2714"/>
      <c r="E410" s="2713"/>
    </row>
    <row r="411" spans="1:5" s="1723" customFormat="1">
      <c r="A411" s="2713"/>
      <c r="C411" s="2714"/>
      <c r="E411" s="2713"/>
    </row>
    <row r="412" spans="1:5" s="1723" customFormat="1">
      <c r="A412" s="2713"/>
      <c r="C412" s="2714"/>
      <c r="E412" s="2713"/>
    </row>
    <row r="413" spans="1:5" s="1723" customFormat="1">
      <c r="A413" s="2713"/>
      <c r="C413" s="2714"/>
      <c r="E413" s="2713"/>
    </row>
    <row r="414" spans="1:5" s="1723" customFormat="1">
      <c r="A414" s="2713"/>
      <c r="C414" s="2714"/>
      <c r="E414" s="2713"/>
    </row>
    <row r="415" spans="1:5" s="1723" customFormat="1">
      <c r="A415" s="2713"/>
      <c r="C415" s="2714"/>
      <c r="E415" s="2713"/>
    </row>
    <row r="416" spans="1:5" s="1723" customFormat="1">
      <c r="A416" s="2713"/>
      <c r="C416" s="2714"/>
      <c r="E416" s="2713"/>
    </row>
    <row r="417" spans="1:5" s="1723" customFormat="1">
      <c r="A417" s="2713"/>
      <c r="C417" s="2714"/>
      <c r="E417" s="2713"/>
    </row>
    <row r="418" spans="1:5" s="1723" customFormat="1">
      <c r="A418" s="2713"/>
      <c r="C418" s="2714"/>
      <c r="E418" s="2713"/>
    </row>
    <row r="419" spans="1:5" s="1723" customFormat="1">
      <c r="A419" s="2713"/>
      <c r="C419" s="2714"/>
      <c r="E419" s="2713"/>
    </row>
    <row r="420" spans="1:5" s="1723" customFormat="1">
      <c r="A420" s="2713"/>
      <c r="C420" s="2714"/>
      <c r="E420" s="2713"/>
    </row>
    <row r="421" spans="1:5" s="1723" customFormat="1">
      <c r="A421" s="2713"/>
      <c r="C421" s="2714"/>
      <c r="E421" s="2713"/>
    </row>
    <row r="422" spans="1:5" s="1723" customFormat="1">
      <c r="A422" s="2713"/>
      <c r="C422" s="2714"/>
      <c r="E422" s="2713"/>
    </row>
    <row r="423" spans="1:5" s="1723" customFormat="1">
      <c r="A423" s="2713"/>
      <c r="C423" s="2714"/>
      <c r="E423" s="2713"/>
    </row>
    <row r="424" spans="1:5" s="1723" customFormat="1">
      <c r="A424" s="2713"/>
      <c r="C424" s="2714"/>
      <c r="E424" s="2713"/>
    </row>
    <row r="425" spans="1:5" s="1723" customFormat="1">
      <c r="A425" s="2713"/>
      <c r="C425" s="2714"/>
      <c r="E425" s="2713"/>
    </row>
    <row r="426" spans="1:5" s="1723" customFormat="1">
      <c r="A426" s="2713"/>
      <c r="C426" s="2714"/>
      <c r="E426" s="2713"/>
    </row>
    <row r="427" spans="1:5" s="1723" customFormat="1">
      <c r="A427" s="2713"/>
      <c r="C427" s="2714"/>
      <c r="E427" s="2713"/>
    </row>
    <row r="428" spans="1:5" s="1723" customFormat="1">
      <c r="A428" s="2713"/>
      <c r="C428" s="2714"/>
      <c r="E428" s="2713"/>
    </row>
    <row r="429" spans="1:5" s="1723" customFormat="1">
      <c r="A429" s="2713"/>
      <c r="C429" s="2714"/>
      <c r="E429" s="2713"/>
    </row>
    <row r="430" spans="1:5" s="1723" customFormat="1">
      <c r="A430" s="2713"/>
      <c r="C430" s="2714"/>
      <c r="E430" s="2713"/>
    </row>
    <row r="431" spans="1:5" s="1723" customFormat="1">
      <c r="A431" s="2713"/>
      <c r="C431" s="2714"/>
      <c r="E431" s="2713"/>
    </row>
    <row r="432" spans="1:5" s="1723" customFormat="1">
      <c r="A432" s="2713"/>
      <c r="C432" s="2714"/>
      <c r="E432" s="2713"/>
    </row>
    <row r="433" spans="1:5" s="1723" customFormat="1">
      <c r="A433" s="2713"/>
      <c r="C433" s="2714"/>
      <c r="E433" s="2713"/>
    </row>
    <row r="434" spans="1:5" s="1723" customFormat="1">
      <c r="A434" s="2713"/>
      <c r="C434" s="2714"/>
      <c r="E434" s="2713"/>
    </row>
    <row r="435" spans="1:5" s="1723" customFormat="1">
      <c r="A435" s="2713"/>
      <c r="C435" s="2714"/>
      <c r="E435" s="2713"/>
    </row>
    <row r="436" spans="1:5" s="1723" customFormat="1">
      <c r="A436" s="2713"/>
      <c r="C436" s="2714"/>
      <c r="E436" s="2713"/>
    </row>
    <row r="437" spans="1:5" s="1723" customFormat="1">
      <c r="A437" s="2713"/>
      <c r="C437" s="2714"/>
      <c r="E437" s="2713"/>
    </row>
    <row r="438" spans="1:5" s="1723" customFormat="1">
      <c r="A438" s="2713"/>
      <c r="C438" s="2714"/>
      <c r="E438" s="2713"/>
    </row>
    <row r="439" spans="1:5" s="1723" customFormat="1">
      <c r="A439" s="2713"/>
      <c r="C439" s="2714"/>
      <c r="E439" s="2713"/>
    </row>
    <row r="440" spans="1:5" s="1723" customFormat="1">
      <c r="A440" s="2713"/>
      <c r="C440" s="2714"/>
      <c r="E440" s="2713"/>
    </row>
    <row r="441" spans="1:5" s="1723" customFormat="1">
      <c r="A441" s="2713"/>
      <c r="C441" s="2714"/>
      <c r="E441" s="2713"/>
    </row>
    <row r="442" spans="1:5" s="1723" customFormat="1">
      <c r="A442" s="2713"/>
      <c r="C442" s="2714"/>
      <c r="E442" s="2713"/>
    </row>
    <row r="443" spans="1:5" s="1723" customFormat="1">
      <c r="A443" s="2713"/>
      <c r="C443" s="2714"/>
      <c r="E443" s="2713"/>
    </row>
    <row r="444" spans="1:5" s="1723" customFormat="1">
      <c r="A444" s="2713"/>
      <c r="C444" s="2714"/>
      <c r="E444" s="2713"/>
    </row>
    <row r="445" spans="1:5" s="1723" customFormat="1">
      <c r="A445" s="2713"/>
      <c r="C445" s="2714"/>
      <c r="E445" s="2713"/>
    </row>
    <row r="446" spans="1:5" s="1723" customFormat="1">
      <c r="A446" s="2713"/>
      <c r="C446" s="2714"/>
      <c r="E446" s="2713"/>
    </row>
    <row r="447" spans="1:5" s="1723" customFormat="1">
      <c r="A447" s="2713"/>
      <c r="C447" s="2714"/>
      <c r="E447" s="2713"/>
    </row>
    <row r="448" spans="1:5" s="1723" customFormat="1">
      <c r="A448" s="2713"/>
      <c r="C448" s="2714"/>
      <c r="E448" s="2713"/>
    </row>
    <row r="449" spans="1:5" s="1723" customFormat="1">
      <c r="A449" s="2713"/>
      <c r="C449" s="2714"/>
      <c r="E449" s="2713"/>
    </row>
    <row r="450" spans="1:5" s="1723" customFormat="1">
      <c r="A450" s="2713"/>
      <c r="C450" s="2714"/>
      <c r="E450" s="2713"/>
    </row>
    <row r="451" spans="1:5" s="1723" customFormat="1">
      <c r="A451" s="2713"/>
      <c r="C451" s="2714"/>
      <c r="E451" s="2713"/>
    </row>
    <row r="452" spans="1:5" s="1723" customFormat="1">
      <c r="A452" s="2713"/>
      <c r="C452" s="2714"/>
      <c r="E452" s="2713"/>
    </row>
    <row r="453" spans="1:5" s="1723" customFormat="1">
      <c r="A453" s="2713"/>
      <c r="C453" s="2714"/>
      <c r="E453" s="2713"/>
    </row>
    <row r="454" spans="1:5" s="1723" customFormat="1">
      <c r="A454" s="2713"/>
      <c r="C454" s="2714"/>
      <c r="E454" s="2713"/>
    </row>
    <row r="455" spans="1:5" s="1723" customFormat="1">
      <c r="A455" s="2713"/>
      <c r="C455" s="2714"/>
      <c r="E455" s="2713"/>
    </row>
    <row r="456" spans="1:5" s="1723" customFormat="1">
      <c r="A456" s="2713"/>
      <c r="C456" s="2714"/>
      <c r="E456" s="2713"/>
    </row>
    <row r="457" spans="1:5" s="1723" customFormat="1">
      <c r="A457" s="2713"/>
      <c r="C457" s="2714"/>
      <c r="E457" s="2713"/>
    </row>
    <row r="458" spans="1:5" s="1723" customFormat="1">
      <c r="A458" s="2713"/>
      <c r="C458" s="2714"/>
      <c r="E458" s="2713"/>
    </row>
    <row r="459" spans="1:5" s="1723" customFormat="1">
      <c r="A459" s="2713"/>
      <c r="C459" s="2714"/>
      <c r="E459" s="2713"/>
    </row>
    <row r="460" spans="1:5" s="1723" customFormat="1">
      <c r="A460" s="2713"/>
      <c r="C460" s="2714"/>
      <c r="E460" s="2713"/>
    </row>
    <row r="461" spans="1:5" s="1723" customFormat="1">
      <c r="A461" s="2713"/>
      <c r="C461" s="2714"/>
      <c r="E461" s="2713"/>
    </row>
    <row r="462" spans="1:5" s="1723" customFormat="1">
      <c r="A462" s="2713"/>
      <c r="C462" s="2714"/>
      <c r="E462" s="2713"/>
    </row>
    <row r="463" spans="1:5" s="1723" customFormat="1">
      <c r="A463" s="2713"/>
      <c r="C463" s="2714"/>
      <c r="E463" s="2713"/>
    </row>
    <row r="464" spans="1:5" s="1723" customFormat="1">
      <c r="A464" s="2713"/>
      <c r="C464" s="2714"/>
      <c r="E464" s="2713"/>
    </row>
    <row r="465" spans="1:5" s="1723" customFormat="1">
      <c r="A465" s="2713"/>
      <c r="C465" s="2714"/>
      <c r="E465" s="2713"/>
    </row>
    <row r="466" spans="1:5" s="1723" customFormat="1">
      <c r="A466" s="2713"/>
      <c r="C466" s="2714"/>
      <c r="E466" s="2713"/>
    </row>
    <row r="467" spans="1:5" s="1723" customFormat="1">
      <c r="A467" s="2713"/>
      <c r="C467" s="2714"/>
      <c r="E467" s="2713"/>
    </row>
    <row r="468" spans="1:5" s="1723" customFormat="1">
      <c r="A468" s="2713"/>
      <c r="C468" s="2714"/>
      <c r="E468" s="2713"/>
    </row>
    <row r="469" spans="1:5" s="1723" customFormat="1">
      <c r="A469" s="2713"/>
      <c r="C469" s="2714"/>
      <c r="E469" s="2713"/>
    </row>
    <row r="470" spans="1:5" s="1723" customFormat="1">
      <c r="A470" s="2713"/>
      <c r="C470" s="2714"/>
      <c r="E470" s="2713"/>
    </row>
    <row r="471" spans="1:5" s="1723" customFormat="1">
      <c r="A471" s="2713"/>
      <c r="C471" s="2714"/>
      <c r="E471" s="2713"/>
    </row>
    <row r="472" spans="1:5" s="1723" customFormat="1">
      <c r="A472" s="2713"/>
      <c r="C472" s="2714"/>
      <c r="E472" s="2713"/>
    </row>
    <row r="473" spans="1:5" s="1723" customFormat="1">
      <c r="A473" s="2713"/>
      <c r="C473" s="2714"/>
      <c r="E473" s="2713"/>
    </row>
    <row r="474" spans="1:5" s="1723" customFormat="1">
      <c r="A474" s="2713"/>
      <c r="C474" s="2714"/>
      <c r="E474" s="2713"/>
    </row>
    <row r="475" spans="1:5" s="1723" customFormat="1">
      <c r="A475" s="2713"/>
      <c r="C475" s="2714"/>
      <c r="E475" s="2713"/>
    </row>
    <row r="476" spans="1:5" s="1723" customFormat="1">
      <c r="A476" s="2713"/>
      <c r="C476" s="2714"/>
      <c r="E476" s="2713"/>
    </row>
    <row r="477" spans="1:5" s="1723" customFormat="1">
      <c r="A477" s="2713"/>
      <c r="C477" s="2714"/>
      <c r="E477" s="2713"/>
    </row>
    <row r="478" spans="1:5" s="1723" customFormat="1">
      <c r="A478" s="2713"/>
      <c r="C478" s="2714"/>
      <c r="E478" s="2713"/>
    </row>
    <row r="479" spans="1:5" s="1723" customFormat="1">
      <c r="A479" s="2713"/>
      <c r="C479" s="2714"/>
      <c r="E479" s="2713"/>
    </row>
    <row r="480" spans="1:5" s="1723" customFormat="1">
      <c r="A480" s="2713"/>
      <c r="C480" s="2714"/>
      <c r="E480" s="2713"/>
    </row>
    <row r="481" spans="1:5" s="1723" customFormat="1">
      <c r="A481" s="2713"/>
      <c r="C481" s="2714"/>
      <c r="E481" s="2713"/>
    </row>
    <row r="482" spans="1:5" s="1723" customFormat="1">
      <c r="A482" s="2713"/>
      <c r="C482" s="2714"/>
      <c r="E482" s="2713"/>
    </row>
    <row r="483" spans="1:5" s="1723" customFormat="1">
      <c r="A483" s="2713"/>
      <c r="C483" s="2714"/>
      <c r="E483" s="2713"/>
    </row>
    <row r="484" spans="1:5" s="1723" customFormat="1">
      <c r="A484" s="2713"/>
      <c r="C484" s="2714"/>
      <c r="E484" s="2713"/>
    </row>
    <row r="485" spans="1:5" s="1723" customFormat="1">
      <c r="A485" s="2713"/>
      <c r="C485" s="2714"/>
      <c r="E485" s="2713"/>
    </row>
    <row r="486" spans="1:5" s="1723" customFormat="1">
      <c r="A486" s="2713"/>
      <c r="C486" s="2714"/>
      <c r="E486" s="2713"/>
    </row>
    <row r="487" spans="1:5" s="1723" customFormat="1">
      <c r="A487" s="2713"/>
      <c r="C487" s="2714"/>
      <c r="E487" s="2713"/>
    </row>
    <row r="488" spans="1:5" s="1723" customFormat="1">
      <c r="A488" s="2713"/>
      <c r="C488" s="2714"/>
      <c r="E488" s="2713"/>
    </row>
    <row r="489" spans="1:5" s="1723" customFormat="1">
      <c r="A489" s="2713"/>
      <c r="C489" s="2714"/>
      <c r="E489" s="2713"/>
    </row>
    <row r="490" spans="1:5" s="1723" customFormat="1">
      <c r="A490" s="2713"/>
      <c r="C490" s="2714"/>
      <c r="E490" s="2713"/>
    </row>
  </sheetData>
  <sheetProtection password="CEE9" sheet="1" objects="1" scenarios="1" formatCells="0" formatColumns="0" formatRows="0"/>
  <phoneticPr fontId="15" type="noConversion"/>
  <dataValidations count="2">
    <dataValidation type="list" allowBlank="1" showInputMessage="1" showErrorMessage="1" sqref="C7:K7 B1" xr:uid="{00000000-0002-0000-1300-000000000000}">
      <formula1>项目类型</formula1>
    </dataValidation>
    <dataValidation type="list" allowBlank="1" showInputMessage="1" showErrorMessage="1" sqref="G20" xr:uid="{00000000-0002-0000-1300-00000100000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2" customWidth="1"/>
    <col min="2" max="2" width="25.75" style="1722" customWidth="1"/>
    <col min="3" max="3" width="11.5" style="1733" customWidth="1"/>
    <col min="4" max="4" width="12" style="1722" customWidth="1"/>
    <col min="5" max="5" width="9.5" style="1732" customWidth="1"/>
    <col min="6" max="6" width="10.125" style="1722" customWidth="1"/>
    <col min="7" max="7" width="9.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41" s="1654" customFormat="1" ht="20.25">
      <c r="A1" s="391" t="s">
        <v>426</v>
      </c>
      <c r="B1" s="2119"/>
      <c r="C1" s="1712"/>
      <c r="D1" s="1712"/>
      <c r="E1" s="1712"/>
      <c r="F1" s="1712"/>
      <c r="G1" s="1712"/>
      <c r="H1" s="1712"/>
      <c r="I1" s="1712"/>
      <c r="J1" s="1712"/>
      <c r="K1" s="392">
        <f>MATCH(B1,'数据-取费表'!A6:A16,0)+5</f>
        <v>7</v>
      </c>
      <c r="L1" s="237"/>
      <c r="M1" s="237"/>
      <c r="N1" s="237"/>
      <c r="O1" s="237"/>
      <c r="P1" s="237"/>
      <c r="Q1" s="237"/>
      <c r="R1" s="237"/>
      <c r="S1" s="237"/>
      <c r="T1" s="237"/>
      <c r="U1" s="237"/>
      <c r="V1" s="237"/>
      <c r="W1" s="237"/>
      <c r="X1" s="237"/>
      <c r="Y1" s="237"/>
      <c r="Z1" s="237"/>
    </row>
    <row r="2" spans="1:41" s="1654" customFormat="1" ht="18" customHeight="1">
      <c r="A2" s="393" t="s">
        <v>427</v>
      </c>
      <c r="B2" s="394">
        <f ca="1">C27</f>
        <v>0</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41" s="1654" customFormat="1" ht="18" customHeight="1">
      <c r="A3" s="1170" t="s">
        <v>1217</v>
      </c>
      <c r="B3" s="395">
        <f ca="1">ROUND(B2*10000/IF(B1="",'数据-汇总表'!E3,INDIRECT("'数据-取费表'!K"&amp;$K$1)),0)</f>
        <v>0</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41" s="1654" customFormat="1" ht="18" customHeight="1">
      <c r="A4" s="396" t="s">
        <v>428</v>
      </c>
      <c r="B4" s="397">
        <f ca="1">ROUND(B2*10000/IF(B1="",'数据-汇总表'!D3,INDIRECT("'数据-取费表'!R"&amp;$K$1)),0)</f>
        <v>0</v>
      </c>
      <c r="C4" s="1674"/>
      <c r="D4" s="1712"/>
      <c r="E4" s="1712"/>
      <c r="F4" s="1712"/>
      <c r="G4" s="1712"/>
      <c r="H4" s="1712"/>
      <c r="I4" s="1712"/>
      <c r="J4" s="1712"/>
      <c r="K4" s="1712"/>
      <c r="L4" s="237"/>
      <c r="M4" s="237"/>
      <c r="N4" s="237"/>
      <c r="O4" s="237"/>
      <c r="P4" s="237"/>
      <c r="Q4" s="237"/>
      <c r="R4" s="237"/>
      <c r="S4" s="237"/>
      <c r="T4" s="237"/>
      <c r="U4" s="237"/>
      <c r="V4" s="237"/>
      <c r="W4" s="237"/>
      <c r="X4" s="237"/>
      <c r="Y4" s="237"/>
      <c r="Z4" s="237"/>
    </row>
    <row r="5" spans="1:41" s="1654" customFormat="1" ht="18" customHeight="1" thickBot="1">
      <c r="A5" s="399"/>
      <c r="B5" s="400">
        <f ca="1">ROUND(B2/(IF(B1="",'数据-汇总表'!D3,INDIRECT("'数据-取费表'!R"&amp;$K$1))/666.67),0)</f>
        <v>0</v>
      </c>
      <c r="C5" s="401" t="s">
        <v>429</v>
      </c>
      <c r="D5" s="1712"/>
      <c r="E5" s="1712"/>
      <c r="F5" s="1712"/>
      <c r="G5" s="1712"/>
      <c r="H5" s="1712"/>
      <c r="I5" s="1712"/>
      <c r="J5" s="1712"/>
      <c r="K5" s="1712"/>
      <c r="L5" s="237"/>
      <c r="M5" s="237"/>
      <c r="N5" s="237"/>
      <c r="O5" s="237"/>
      <c r="P5" s="237"/>
      <c r="Q5" s="237"/>
      <c r="R5" s="237"/>
      <c r="S5" s="237"/>
      <c r="T5" s="237"/>
      <c r="U5" s="237"/>
      <c r="V5" s="237"/>
      <c r="W5" s="237"/>
      <c r="X5" s="237"/>
      <c r="Y5" s="237"/>
      <c r="Z5" s="237"/>
    </row>
    <row r="6" spans="1:41" s="1719" customFormat="1" ht="16.5" customHeight="1">
      <c r="A6" s="402" t="s">
        <v>1934</v>
      </c>
      <c r="B6" s="403"/>
      <c r="C6" s="1345">
        <f>SUM(C10:K10)</f>
        <v>0</v>
      </c>
      <c r="D6" s="1717"/>
      <c r="E6" s="1717"/>
      <c r="F6" s="1717"/>
      <c r="G6" s="1717"/>
      <c r="H6" s="1717"/>
      <c r="I6" s="1717"/>
      <c r="J6" s="1717"/>
      <c r="K6" s="1718"/>
      <c r="L6" s="2705"/>
      <c r="M6" s="2705"/>
      <c r="N6" s="2705"/>
      <c r="O6" s="2705"/>
      <c r="P6" s="2705"/>
      <c r="Q6" s="2705"/>
      <c r="R6" s="2705"/>
      <c r="S6" s="2705"/>
      <c r="T6" s="2705"/>
      <c r="U6" s="2705"/>
      <c r="V6" s="2705"/>
      <c r="W6" s="2705"/>
      <c r="X6" s="2705"/>
      <c r="Y6" s="2705"/>
      <c r="Z6" s="2705"/>
    </row>
    <row r="7" spans="1:41" s="1721" customFormat="1" ht="15">
      <c r="A7" s="404" t="s">
        <v>430</v>
      </c>
      <c r="B7" s="405" t="s">
        <v>431</v>
      </c>
      <c r="C7" s="2815"/>
      <c r="D7" s="406"/>
      <c r="E7" s="406"/>
      <c r="F7" s="406"/>
      <c r="G7" s="406"/>
      <c r="H7" s="406"/>
      <c r="I7" s="406"/>
      <c r="J7" s="406"/>
      <c r="K7" s="407"/>
      <c r="AA7" s="1720"/>
      <c r="AB7" s="1720"/>
      <c r="AC7" s="1720"/>
      <c r="AD7" s="1720"/>
      <c r="AE7" s="1720"/>
      <c r="AF7" s="1720"/>
      <c r="AG7" s="1720"/>
      <c r="AH7" s="1720"/>
      <c r="AI7" s="1720"/>
      <c r="AJ7" s="1720"/>
      <c r="AK7" s="1720"/>
      <c r="AL7" s="1720"/>
      <c r="AM7" s="1720"/>
      <c r="AN7" s="1720"/>
      <c r="AO7" s="1720"/>
    </row>
    <row r="8" spans="1:41" s="1723" customFormat="1" ht="13.5" customHeight="1">
      <c r="A8" s="1353" t="s">
        <v>1374</v>
      </c>
      <c r="B8" s="408" t="s">
        <v>432</v>
      </c>
      <c r="C8" s="409"/>
      <c r="D8" s="409"/>
      <c r="E8" s="409"/>
      <c r="F8" s="409"/>
      <c r="G8" s="409"/>
      <c r="H8" s="409"/>
      <c r="I8" s="409"/>
      <c r="J8" s="409"/>
      <c r="K8" s="410"/>
      <c r="AA8" s="1722"/>
      <c r="AB8" s="1722"/>
      <c r="AC8" s="1722"/>
      <c r="AD8" s="1722"/>
      <c r="AE8" s="1722"/>
      <c r="AF8" s="1722"/>
      <c r="AG8" s="1722"/>
      <c r="AH8" s="1722"/>
      <c r="AI8" s="1722"/>
      <c r="AJ8" s="1722"/>
      <c r="AK8" s="1722"/>
      <c r="AL8" s="1722"/>
      <c r="AM8" s="1722"/>
      <c r="AN8" s="1722"/>
      <c r="AO8" s="1722"/>
    </row>
    <row r="9" spans="1:41" s="1723" customFormat="1" ht="13.5" customHeight="1">
      <c r="A9" s="1353"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2"/>
      <c r="AB9" s="1722"/>
      <c r="AC9" s="1722"/>
      <c r="AD9" s="1722"/>
      <c r="AE9" s="1722"/>
      <c r="AF9" s="1722"/>
      <c r="AG9" s="1722"/>
      <c r="AH9" s="1722"/>
      <c r="AI9" s="1722"/>
      <c r="AJ9" s="1722"/>
      <c r="AK9" s="1722"/>
      <c r="AL9" s="1722"/>
      <c r="AM9" s="1722"/>
      <c r="AN9" s="1722"/>
      <c r="AO9" s="1722"/>
    </row>
    <row r="10" spans="1:41" s="1723" customFormat="1" ht="13.5" customHeight="1" thickBot="1">
      <c r="A10" s="1354" t="s">
        <v>1376</v>
      </c>
      <c r="B10" s="1346" t="s">
        <v>434</v>
      </c>
      <c r="C10" s="1347"/>
      <c r="D10" s="1347"/>
      <c r="E10" s="1347"/>
      <c r="F10" s="1348"/>
      <c r="G10" s="1348"/>
      <c r="H10" s="1348"/>
      <c r="I10" s="1348"/>
      <c r="J10" s="1348"/>
      <c r="K10" s="1349"/>
      <c r="AA10" s="1722"/>
      <c r="AB10" s="1722"/>
      <c r="AC10" s="1722"/>
      <c r="AD10" s="1722"/>
      <c r="AE10" s="1722"/>
      <c r="AF10" s="1722"/>
      <c r="AG10" s="1722"/>
      <c r="AH10" s="1722"/>
      <c r="AI10" s="1722"/>
      <c r="AJ10" s="1722"/>
      <c r="AK10" s="1722"/>
      <c r="AL10" s="1722"/>
      <c r="AM10" s="1722"/>
      <c r="AN10" s="1722"/>
      <c r="AO10" s="1722"/>
    </row>
    <row r="11" spans="1:41" s="1719" customFormat="1" ht="16.5" customHeight="1">
      <c r="A11" s="1342" t="s">
        <v>1393</v>
      </c>
      <c r="B11" s="1343"/>
      <c r="C11" s="1343"/>
      <c r="D11" s="1343"/>
      <c r="E11" s="1343"/>
      <c r="F11" s="1343"/>
      <c r="G11" s="1343"/>
      <c r="H11" s="1343"/>
      <c r="I11" s="1343"/>
      <c r="J11" s="1343"/>
      <c r="K11" s="1344"/>
      <c r="L11" s="2705"/>
      <c r="M11" s="2705"/>
      <c r="N11" s="2705"/>
      <c r="O11" s="2705"/>
      <c r="P11" s="2705"/>
      <c r="Q11" s="2705"/>
      <c r="R11" s="2705"/>
      <c r="S11" s="2705"/>
      <c r="T11" s="2705"/>
      <c r="U11" s="2705"/>
      <c r="V11" s="2705"/>
      <c r="W11" s="2705"/>
      <c r="X11" s="2705"/>
      <c r="Y11" s="2705"/>
      <c r="Z11" s="2705"/>
    </row>
    <row r="12" spans="1:41" s="1695" customFormat="1" ht="13.5" customHeight="1">
      <c r="A12" s="404" t="s">
        <v>430</v>
      </c>
      <c r="B12" s="413" t="s">
        <v>431</v>
      </c>
      <c r="C12" s="414" t="s">
        <v>435</v>
      </c>
      <c r="D12" s="415" t="s">
        <v>436</v>
      </c>
      <c r="E12" s="415" t="s">
        <v>437</v>
      </c>
      <c r="F12" s="415" t="s">
        <v>438</v>
      </c>
      <c r="G12" s="413"/>
      <c r="H12" s="416"/>
      <c r="I12" s="416"/>
      <c r="J12" s="416"/>
      <c r="K12" s="417"/>
      <c r="L12" s="2706"/>
      <c r="M12" s="2706"/>
      <c r="N12" s="2706"/>
      <c r="O12" s="2706"/>
      <c r="P12" s="2706"/>
      <c r="Q12" s="2706"/>
      <c r="R12" s="2706"/>
      <c r="S12" s="2706"/>
      <c r="T12" s="2706"/>
      <c r="U12" s="2706"/>
      <c r="V12" s="2706"/>
      <c r="W12" s="2706"/>
      <c r="X12" s="2706"/>
      <c r="Y12" s="2706"/>
      <c r="Z12" s="2706"/>
    </row>
    <row r="13" spans="1:41" s="1724" customFormat="1" ht="13.5" customHeight="1">
      <c r="A13" s="1355" t="s">
        <v>1377</v>
      </c>
      <c r="B13" s="418" t="s">
        <v>439</v>
      </c>
      <c r="C13" s="419">
        <f ca="1">IF(B1="",'数据-取费表'!M16,INDIRECT("'数据-取费表'!M"&amp;$K$1)+INDIRECT("'数据-取费表'!t"&amp;$K$1))</f>
        <v>80222</v>
      </c>
      <c r="D13" s="420"/>
      <c r="E13" s="339"/>
      <c r="F13" s="421"/>
      <c r="G13" s="413"/>
      <c r="H13" s="416"/>
      <c r="I13" s="416"/>
      <c r="J13" s="416"/>
      <c r="K13" s="417"/>
      <c r="L13" s="1725"/>
      <c r="M13" s="1725"/>
      <c r="N13" s="1725"/>
      <c r="O13" s="1725"/>
      <c r="P13" s="1725"/>
      <c r="Q13" s="1725"/>
      <c r="R13" s="1725"/>
      <c r="S13" s="1725"/>
      <c r="T13" s="1725"/>
      <c r="U13" s="1725"/>
      <c r="V13" s="1725"/>
      <c r="W13" s="1725"/>
      <c r="X13" s="1725"/>
      <c r="Y13" s="1725"/>
      <c r="Z13" s="1725"/>
    </row>
    <row r="14" spans="1:41" s="1724" customFormat="1" ht="13.5" customHeight="1">
      <c r="A14" s="1355" t="s">
        <v>1378</v>
      </c>
      <c r="B14" s="418" t="s">
        <v>440</v>
      </c>
      <c r="C14" s="49">
        <f ca="1">ROUND(C13*F14,0)</f>
        <v>2407</v>
      </c>
      <c r="D14" s="420"/>
      <c r="E14" s="339"/>
      <c r="F14" s="425">
        <f>'数据-取费表'!B33</f>
        <v>0.03</v>
      </c>
      <c r="G14" s="413" t="s">
        <v>462</v>
      </c>
      <c r="H14" s="416"/>
      <c r="I14" s="416"/>
      <c r="J14" s="416"/>
      <c r="K14" s="417"/>
      <c r="L14" s="1725"/>
      <c r="M14" s="1725"/>
      <c r="N14" s="1725"/>
      <c r="O14" s="1725"/>
      <c r="P14" s="1725"/>
      <c r="Q14" s="1725"/>
      <c r="R14" s="1725"/>
      <c r="S14" s="1725"/>
      <c r="T14" s="1725"/>
      <c r="U14" s="1725"/>
      <c r="V14" s="1725"/>
      <c r="W14" s="1725"/>
      <c r="X14" s="1725"/>
      <c r="Y14" s="1725"/>
      <c r="Z14" s="1725"/>
    </row>
    <row r="15" spans="1:41" s="1724" customFormat="1" ht="13.5" customHeight="1">
      <c r="A15" s="1355" t="s">
        <v>1379</v>
      </c>
      <c r="B15" s="418" t="s">
        <v>442</v>
      </c>
      <c r="C15" s="49">
        <f ca="1">ROUND(IF(B1="",SUMIF('数据-取费表'!C:C,"住宅",'数据-取费表'!M:M)*F15,IF(INDIRECT("'数据-取费表'!c"&amp;$K$1)="住宅",INDIRECT("'数据-取费表'!M"&amp;$K$1)*F15,0)),0)</f>
        <v>0</v>
      </c>
      <c r="D15" s="420"/>
      <c r="E15" s="339"/>
      <c r="F15" s="425">
        <f>'数据-取费表'!B34</f>
        <v>0</v>
      </c>
      <c r="G15" s="413" t="s">
        <v>462</v>
      </c>
      <c r="H15" s="416"/>
      <c r="I15" s="416"/>
      <c r="J15" s="416"/>
      <c r="K15" s="417"/>
      <c r="L15" s="1725"/>
      <c r="M15" s="1725"/>
      <c r="N15" s="1725"/>
      <c r="O15" s="1725"/>
      <c r="P15" s="1725"/>
      <c r="Q15" s="1725"/>
      <c r="R15" s="1725"/>
      <c r="S15" s="1725"/>
      <c r="T15" s="1725"/>
      <c r="U15" s="1725"/>
      <c r="V15" s="1725"/>
      <c r="W15" s="1725"/>
      <c r="X15" s="1725"/>
      <c r="Y15" s="1725"/>
      <c r="Z15" s="1725"/>
    </row>
    <row r="16" spans="1:41" s="1725" customFormat="1" ht="13.5" customHeight="1">
      <c r="A16" s="1355" t="s">
        <v>1380</v>
      </c>
      <c r="B16" s="418" t="s">
        <v>444</v>
      </c>
      <c r="C16" s="49">
        <f ca="1">ROUND(D16*E16/10000,0)</f>
        <v>4541</v>
      </c>
      <c r="D16" s="420">
        <f ca="1">IF(B1="",'数据-汇总表'!E3,INDIRECT("'数据-取费表'!K"&amp;$K$1)+INDIRECT("'数据-取费表'!S"&amp;$K$1))</f>
        <v>302725.5</v>
      </c>
      <c r="E16" s="49">
        <f>'数据-取费表'!B35</f>
        <v>150</v>
      </c>
      <c r="F16" s="422"/>
      <c r="G16" s="413"/>
      <c r="H16" s="416"/>
      <c r="I16" s="416"/>
      <c r="J16" s="416"/>
      <c r="K16" s="417"/>
      <c r="AA16" s="1724"/>
      <c r="AB16" s="1724"/>
      <c r="AC16" s="1724"/>
      <c r="AD16" s="1724"/>
      <c r="AE16" s="1724"/>
      <c r="AF16" s="1724"/>
      <c r="AG16" s="1724"/>
      <c r="AH16" s="1724"/>
      <c r="AI16" s="1724"/>
      <c r="AJ16" s="1724"/>
      <c r="AK16" s="1724"/>
      <c r="AL16" s="1724"/>
      <c r="AM16" s="1724"/>
      <c r="AN16" s="1724"/>
      <c r="AO16" s="1724"/>
    </row>
    <row r="17" spans="1:26" s="1724" customFormat="1" ht="13.5" customHeight="1">
      <c r="A17" s="1355" t="s">
        <v>1381</v>
      </c>
      <c r="B17" s="418" t="s">
        <v>445</v>
      </c>
      <c r="C17" s="423">
        <f ca="1">ROUND(C13*F17,0)</f>
        <v>1203</v>
      </c>
      <c r="D17" s="424"/>
      <c r="E17" s="423"/>
      <c r="F17" s="425">
        <f>'数据-取费表'!B36</f>
        <v>1.4999999999999999E-2</v>
      </c>
      <c r="G17" s="413" t="s">
        <v>462</v>
      </c>
      <c r="H17" s="426"/>
      <c r="I17" s="426"/>
      <c r="J17" s="426"/>
      <c r="K17" s="427"/>
      <c r="L17" s="1725"/>
      <c r="M17" s="1725"/>
      <c r="N17" s="1725"/>
      <c r="O17" s="1725"/>
      <c r="P17" s="1725"/>
      <c r="Q17" s="1725"/>
      <c r="R17" s="1725"/>
      <c r="S17" s="1725"/>
      <c r="T17" s="1725"/>
      <c r="U17" s="1725"/>
      <c r="V17" s="1725"/>
      <c r="W17" s="1725"/>
      <c r="X17" s="1725"/>
      <c r="Y17" s="1725"/>
      <c r="Z17" s="1725"/>
    </row>
    <row r="18" spans="1:26" s="1727" customFormat="1" ht="13.5" customHeight="1">
      <c r="A18" s="1356" t="s">
        <v>1382</v>
      </c>
      <c r="B18" s="428" t="s">
        <v>447</v>
      </c>
      <c r="C18" s="429">
        <f ca="1">SUM(C13:C17)</f>
        <v>88373</v>
      </c>
      <c r="D18" s="430"/>
      <c r="E18" s="431"/>
      <c r="F18" s="431"/>
      <c r="G18" s="1129" t="s">
        <v>1783</v>
      </c>
      <c r="H18" s="416"/>
      <c r="I18" s="416"/>
      <c r="J18" s="416"/>
      <c r="K18" s="417"/>
      <c r="L18" s="2708"/>
      <c r="M18" s="2708"/>
      <c r="N18" s="2708"/>
      <c r="O18" s="2708"/>
      <c r="P18" s="2708"/>
      <c r="Q18" s="2708"/>
      <c r="R18" s="2708"/>
      <c r="S18" s="2708"/>
      <c r="T18" s="2708"/>
      <c r="U18" s="2708"/>
      <c r="V18" s="2708"/>
      <c r="W18" s="2708"/>
      <c r="X18" s="2708"/>
      <c r="Y18" s="2708"/>
      <c r="Z18" s="2708"/>
    </row>
    <row r="19" spans="1:26" s="1727" customFormat="1" ht="13.5" customHeight="1">
      <c r="A19" s="1356" t="s">
        <v>1383</v>
      </c>
      <c r="B19" s="428" t="s">
        <v>453</v>
      </c>
      <c r="C19" s="429">
        <f ca="1">ROUND(C18*F19,0)</f>
        <v>1326</v>
      </c>
      <c r="D19" s="430"/>
      <c r="E19" s="431"/>
      <c r="F19" s="435">
        <f>'数据-取费表'!B37</f>
        <v>1.4999999999999999E-2</v>
      </c>
      <c r="G19" s="413" t="s">
        <v>463</v>
      </c>
      <c r="H19" s="416"/>
      <c r="I19" s="416"/>
      <c r="J19" s="416"/>
      <c r="K19" s="417"/>
      <c r="L19" s="2710"/>
      <c r="M19" s="2710"/>
      <c r="N19" s="2710"/>
      <c r="O19" s="2708"/>
      <c r="P19" s="2708"/>
      <c r="Q19" s="2708"/>
      <c r="R19" s="2708"/>
      <c r="S19" s="2708"/>
      <c r="T19" s="2708"/>
      <c r="U19" s="2708"/>
      <c r="V19" s="2708"/>
      <c r="W19" s="2708"/>
      <c r="X19" s="2708"/>
      <c r="Y19" s="2708"/>
      <c r="Z19" s="2708"/>
    </row>
    <row r="20" spans="1:26" s="1729" customFormat="1" ht="13.5" customHeight="1">
      <c r="A20" s="1356" t="s">
        <v>1384</v>
      </c>
      <c r="B20" s="430" t="s">
        <v>454</v>
      </c>
      <c r="C20" s="439">
        <f ca="1">ROUND(IF('数据-取费表'!B22&lt;=1,(C18+C19)*F20*'数据-取费表'!B20/2,(C18+C19)*(POWER((1+F20),'数据-取费表'!B20/2)-1)),0)</f>
        <v>5641</v>
      </c>
      <c r="D20" s="431">
        <f ca="1">ROUND(((1+F20)^'数据-取费表'!B20)-1,4)</f>
        <v>0.12970000000000001</v>
      </c>
      <c r="E20" s="431"/>
      <c r="F20" s="440">
        <f ca="1">'数据-取费表'!B40</f>
        <v>4.1499999999999995E-2</v>
      </c>
      <c r="G20" s="1129" t="str">
        <f>IF('数据-取费表'!B22&lt;=1,"单利计息。","复利计息。")&amp;"建造成本、管理费用产生的利息 / 地价及税费产生的利息。"</f>
        <v>复利计息。建造成本、管理费用产生的利息 / 地价及税费产生的利息。</v>
      </c>
      <c r="H20" s="416"/>
      <c r="I20" s="416"/>
      <c r="J20" s="416"/>
      <c r="K20" s="417"/>
      <c r="L20" s="2716" t="s">
        <v>1800</v>
      </c>
      <c r="M20" s="2717"/>
      <c r="N20" s="2717"/>
      <c r="O20" s="2717"/>
      <c r="P20" s="2717"/>
      <c r="Q20" s="2710"/>
      <c r="R20" s="2710"/>
      <c r="S20" s="2710"/>
      <c r="T20" s="2710"/>
      <c r="U20" s="2710"/>
      <c r="V20" s="2710"/>
      <c r="W20" s="2710"/>
      <c r="X20" s="2710"/>
      <c r="Y20" s="2710"/>
      <c r="Z20" s="2710"/>
    </row>
    <row r="21" spans="1:26" s="1728" customFormat="1" ht="13.5" customHeight="1">
      <c r="A21" s="1356" t="s">
        <v>2293</v>
      </c>
      <c r="B21" s="2316" t="s">
        <v>2107</v>
      </c>
      <c r="C21" s="447">
        <f ca="1">ROUND((C18+C19)*F21,0)</f>
        <v>17940</v>
      </c>
      <c r="D21" s="2787"/>
      <c r="E21" s="431"/>
      <c r="F21" s="448">
        <f ca="1">IF(B1="",'数据-取费表'!Q16,INDIRECT("'数据-取费表'!q"&amp;$K$1))</f>
        <v>0.2</v>
      </c>
      <c r="G21" s="413"/>
      <c r="H21" s="416"/>
      <c r="I21" s="416"/>
      <c r="J21" s="416"/>
      <c r="K21" s="417"/>
      <c r="L21" s="2709"/>
      <c r="M21" s="2709"/>
      <c r="N21" s="2709"/>
      <c r="O21" s="2709"/>
      <c r="P21" s="2709"/>
      <c r="Q21" s="2709"/>
      <c r="R21" s="2709"/>
      <c r="S21" s="2709"/>
      <c r="T21" s="2709"/>
      <c r="U21" s="2709"/>
      <c r="V21" s="2709"/>
      <c r="W21" s="2709"/>
      <c r="X21" s="2709"/>
      <c r="Y21" s="2709"/>
      <c r="Z21" s="2709"/>
    </row>
    <row r="22" spans="1:26" s="1729" customFormat="1" ht="13.5" customHeight="1">
      <c r="A22" s="1356" t="s">
        <v>1388</v>
      </c>
      <c r="B22" s="445" t="s">
        <v>464</v>
      </c>
      <c r="C22" s="450"/>
      <c r="D22" s="450"/>
      <c r="E22" s="451"/>
      <c r="F22" s="2789">
        <f ca="1">IF(B1="",'数据-取费表'!N16,INDIRECT("'数据-取费表'!N"&amp;$K$1))</f>
        <v>0</v>
      </c>
      <c r="G22" s="413"/>
      <c r="H22" s="416"/>
      <c r="I22" s="416"/>
      <c r="J22" s="416"/>
      <c r="K22" s="417"/>
      <c r="L22" s="2710"/>
      <c r="M22" s="2710"/>
      <c r="N22" s="2710"/>
      <c r="O22" s="2710"/>
      <c r="P22" s="2710"/>
      <c r="Q22" s="2710"/>
      <c r="R22" s="2710"/>
      <c r="S22" s="2710"/>
      <c r="T22" s="2710"/>
      <c r="U22" s="2710"/>
      <c r="V22" s="2710"/>
      <c r="W22" s="2710"/>
      <c r="X22" s="2710"/>
      <c r="Y22" s="2710"/>
      <c r="Z22" s="2710"/>
    </row>
    <row r="23" spans="1:26" s="1729" customFormat="1" ht="13.5" customHeight="1" thickBot="1">
      <c r="A23" s="2790" t="s">
        <v>1389</v>
      </c>
      <c r="B23" s="2791" t="s">
        <v>2294</v>
      </c>
      <c r="C23" s="2792">
        <f ca="1">ROUND((C18+C19+C20+C21)*F22,0)</f>
        <v>0</v>
      </c>
      <c r="D23" s="2793"/>
      <c r="E23" s="2794"/>
      <c r="F23" s="452"/>
      <c r="G23" s="405"/>
      <c r="H23" s="2795"/>
      <c r="I23" s="2795"/>
      <c r="J23" s="2795"/>
      <c r="K23" s="2796"/>
      <c r="L23" s="2710"/>
      <c r="M23" s="2710"/>
      <c r="N23" s="2710"/>
      <c r="O23" s="2710"/>
      <c r="P23" s="2710"/>
      <c r="Q23" s="2710"/>
      <c r="R23" s="2710"/>
      <c r="S23" s="2710"/>
      <c r="T23" s="2710"/>
      <c r="U23" s="2710"/>
      <c r="V23" s="2710"/>
      <c r="W23" s="2710"/>
      <c r="X23" s="2710"/>
      <c r="Y23" s="2710"/>
      <c r="Z23" s="2710"/>
    </row>
    <row r="24" spans="1:26" s="1729" customFormat="1" ht="13.5" customHeight="1" thickBot="1">
      <c r="A24" s="3619" t="s">
        <v>1394</v>
      </c>
      <c r="B24" s="3620"/>
      <c r="C24" s="2797">
        <f>ROUND(C6*F24/(1+'数据-取费表'!B42),0)</f>
        <v>0</v>
      </c>
      <c r="D24" s="2798"/>
      <c r="E24" s="2799"/>
      <c r="F24" s="2800">
        <f>'数据-取费表'!B41</f>
        <v>5.6000000000000001E-2</v>
      </c>
      <c r="G24" s="2801"/>
      <c r="H24" s="2801"/>
      <c r="I24" s="2801"/>
      <c r="J24" s="2801"/>
      <c r="K24" s="2802"/>
      <c r="L24" s="2710"/>
      <c r="M24" s="2710"/>
      <c r="N24" s="2710"/>
      <c r="O24" s="2710"/>
      <c r="P24" s="2710"/>
      <c r="Q24" s="2710"/>
      <c r="R24" s="2710"/>
      <c r="S24" s="2710"/>
      <c r="T24" s="2710"/>
      <c r="U24" s="2710"/>
      <c r="V24" s="2710"/>
      <c r="W24" s="2710"/>
      <c r="X24" s="2710"/>
      <c r="Y24" s="2710"/>
      <c r="Z24" s="2710"/>
    </row>
    <row r="25" spans="1:26" s="1729" customFormat="1" ht="13.5" customHeight="1" thickBot="1">
      <c r="A25" s="3619" t="s">
        <v>2291</v>
      </c>
      <c r="B25" s="3620"/>
      <c r="C25" s="2797">
        <f>ROUND(C6*F25,0)</f>
        <v>0</v>
      </c>
      <c r="D25" s="2798"/>
      <c r="E25" s="2799"/>
      <c r="F25" s="2803">
        <f>'数据-取费表'!B38</f>
        <v>1.4999999999999999E-2</v>
      </c>
      <c r="G25" s="2804"/>
      <c r="H25" s="2801"/>
      <c r="I25" s="2801"/>
      <c r="J25" s="2801"/>
      <c r="K25" s="2802"/>
      <c r="L25" s="2710"/>
      <c r="M25" s="2710"/>
      <c r="N25" s="2710"/>
      <c r="O25" s="2710"/>
      <c r="P25" s="2710"/>
      <c r="Q25" s="2710"/>
      <c r="R25" s="2710"/>
      <c r="S25" s="2710"/>
      <c r="T25" s="2710"/>
      <c r="U25" s="2710"/>
      <c r="V25" s="2710"/>
      <c r="W25" s="2710"/>
      <c r="X25" s="2710"/>
      <c r="Y25" s="2710"/>
      <c r="Z25" s="2710"/>
    </row>
    <row r="26" spans="1:26" s="1734" customFormat="1" ht="13.5" customHeight="1" thickBot="1">
      <c r="A26" s="3619" t="s">
        <v>2292</v>
      </c>
      <c r="B26" s="3620"/>
      <c r="C26" s="2809"/>
      <c r="D26" s="2810"/>
      <c r="E26" s="2810"/>
      <c r="F26" s="2811">
        <f>'数据-取费表'!B48+'数据-取费表'!B49</f>
        <v>3.0499999999999999E-2</v>
      </c>
      <c r="G26" s="2812"/>
      <c r="H26" s="2812"/>
      <c r="I26" s="2812"/>
      <c r="J26" s="2813"/>
      <c r="K26" s="2814"/>
      <c r="L26" s="2715"/>
      <c r="M26" s="2715"/>
      <c r="N26" s="2715"/>
      <c r="O26" s="2715"/>
      <c r="P26" s="2715"/>
      <c r="Q26" s="2715"/>
      <c r="R26" s="2715"/>
      <c r="S26" s="2715"/>
      <c r="T26" s="2715"/>
      <c r="U26" s="2715"/>
      <c r="V26" s="2715"/>
      <c r="W26" s="2715"/>
      <c r="X26" s="2715"/>
      <c r="Y26" s="2715"/>
      <c r="Z26" s="2715"/>
    </row>
    <row r="27" spans="1:26" s="2788" customFormat="1" ht="13.5" customHeight="1" thickBot="1">
      <c r="A27" s="3621" t="s">
        <v>2290</v>
      </c>
      <c r="B27" s="3622"/>
      <c r="C27" s="2805">
        <f ca="1">(C6-C23-C24-C25)/((1+F26)*(1+D20+F21))</f>
        <v>0</v>
      </c>
      <c r="D27" s="2806"/>
      <c r="E27" s="2806"/>
      <c r="F27" s="2806"/>
      <c r="G27" s="2807" t="s">
        <v>2226</v>
      </c>
      <c r="H27" s="2806"/>
      <c r="I27" s="2806"/>
      <c r="J27" s="2806"/>
      <c r="K27" s="2808"/>
    </row>
    <row r="28" spans="1:26" s="1723" customFormat="1">
      <c r="A28" s="2713"/>
      <c r="C28" s="2714"/>
      <c r="E28" s="2713"/>
    </row>
    <row r="29" spans="1:26" s="1723" customFormat="1" ht="12.75" customHeight="1">
      <c r="A29" s="2713"/>
      <c r="C29" s="2714"/>
      <c r="E29" s="2713"/>
    </row>
    <row r="30" spans="1:26" s="1723" customFormat="1">
      <c r="A30" s="2713"/>
      <c r="C30" s="2714"/>
      <c r="E30" s="2713"/>
    </row>
    <row r="31" spans="1:26" s="1723" customFormat="1">
      <c r="A31" s="2713"/>
      <c r="C31" s="2714"/>
      <c r="E31" s="2713"/>
    </row>
    <row r="32" spans="1:26" s="1723" customFormat="1">
      <c r="A32" s="2713"/>
      <c r="C32" s="2714"/>
      <c r="E32" s="2713"/>
    </row>
    <row r="33" spans="1:5" s="1723" customFormat="1">
      <c r="A33" s="2713"/>
      <c r="C33" s="2714"/>
      <c r="E33" s="2713"/>
    </row>
    <row r="34" spans="1:5" s="1723" customFormat="1">
      <c r="A34" s="2713"/>
      <c r="C34" s="2714"/>
      <c r="E34" s="2713"/>
    </row>
    <row r="35" spans="1:5" s="1723" customFormat="1">
      <c r="A35" s="2713"/>
      <c r="C35" s="2714"/>
      <c r="E35" s="2713"/>
    </row>
    <row r="36" spans="1:5" s="1723" customFormat="1">
      <c r="A36" s="2713"/>
      <c r="C36" s="2714"/>
      <c r="E36" s="2713"/>
    </row>
    <row r="37" spans="1:5" s="1723" customFormat="1">
      <c r="A37" s="2713"/>
      <c r="C37" s="2714"/>
      <c r="E37" s="2713"/>
    </row>
    <row r="38" spans="1:5" s="1723" customFormat="1">
      <c r="A38" s="2713"/>
      <c r="C38" s="2714"/>
      <c r="E38" s="2713"/>
    </row>
    <row r="39" spans="1:5" s="1723" customFormat="1">
      <c r="A39" s="2713"/>
      <c r="C39" s="2714"/>
      <c r="E39" s="2713"/>
    </row>
    <row r="40" spans="1:5" s="1723" customFormat="1">
      <c r="A40" s="2713"/>
      <c r="C40" s="2714"/>
      <c r="E40" s="2713"/>
    </row>
    <row r="41" spans="1:5" s="1723" customFormat="1">
      <c r="A41" s="2713"/>
      <c r="C41" s="2714"/>
      <c r="E41" s="2713"/>
    </row>
    <row r="42" spans="1:5" s="1723" customFormat="1">
      <c r="A42" s="2713"/>
      <c r="C42" s="2714"/>
      <c r="E42" s="2713"/>
    </row>
    <row r="43" spans="1:5" s="1723" customFormat="1">
      <c r="A43" s="2713"/>
      <c r="C43" s="2714"/>
      <c r="E43" s="2713"/>
    </row>
    <row r="44" spans="1:5" s="1723" customFormat="1">
      <c r="A44" s="2713"/>
      <c r="C44" s="2714"/>
      <c r="E44" s="2713"/>
    </row>
    <row r="45" spans="1:5" s="1723" customFormat="1">
      <c r="A45" s="2713"/>
      <c r="C45" s="2714"/>
      <c r="E45" s="2713"/>
    </row>
    <row r="46" spans="1:5" s="1723" customFormat="1">
      <c r="A46" s="2713"/>
      <c r="C46" s="2714"/>
      <c r="E46" s="2713"/>
    </row>
    <row r="47" spans="1:5" s="1723" customFormat="1">
      <c r="A47" s="2713"/>
      <c r="C47" s="2714"/>
      <c r="E47" s="2713"/>
    </row>
    <row r="48" spans="1:5" s="1723" customFormat="1">
      <c r="A48" s="2713"/>
      <c r="C48" s="2714"/>
      <c r="E48" s="2713"/>
    </row>
    <row r="49" spans="1:5" s="1723" customFormat="1">
      <c r="A49" s="2713"/>
      <c r="C49" s="2714"/>
      <c r="E49" s="2713"/>
    </row>
    <row r="50" spans="1:5" s="1723" customFormat="1">
      <c r="A50" s="2713"/>
      <c r="C50" s="2714"/>
      <c r="E50" s="2713"/>
    </row>
    <row r="51" spans="1:5" s="1723" customFormat="1">
      <c r="A51" s="2713"/>
      <c r="C51" s="2714"/>
      <c r="E51" s="2713"/>
    </row>
    <row r="52" spans="1:5" s="1723" customFormat="1">
      <c r="A52" s="2713"/>
      <c r="C52" s="2714"/>
      <c r="E52" s="2713"/>
    </row>
    <row r="53" spans="1:5" s="1723" customFormat="1">
      <c r="A53" s="2713"/>
      <c r="C53" s="2714"/>
      <c r="E53" s="2713"/>
    </row>
    <row r="54" spans="1:5" s="1723" customFormat="1">
      <c r="A54" s="2713"/>
      <c r="C54" s="2714"/>
      <c r="E54" s="2713"/>
    </row>
    <row r="55" spans="1:5" s="1723" customFormat="1">
      <c r="A55" s="2713"/>
      <c r="C55" s="2714"/>
      <c r="E55" s="2713"/>
    </row>
    <row r="56" spans="1:5" s="1723" customFormat="1">
      <c r="A56" s="2713"/>
      <c r="C56" s="2714"/>
      <c r="E56" s="2713"/>
    </row>
    <row r="57" spans="1:5" s="1723" customFormat="1">
      <c r="A57" s="2713"/>
      <c r="C57" s="2714"/>
      <c r="E57" s="2713"/>
    </row>
    <row r="58" spans="1:5" s="1723" customFormat="1">
      <c r="A58" s="2713"/>
      <c r="C58" s="2714"/>
      <c r="E58" s="2713"/>
    </row>
    <row r="59" spans="1:5" s="1723" customFormat="1">
      <c r="A59" s="2713"/>
      <c r="C59" s="2714"/>
      <c r="E59" s="2713"/>
    </row>
    <row r="60" spans="1:5" s="1723" customFormat="1">
      <c r="A60" s="2713"/>
      <c r="C60" s="2714"/>
      <c r="E60" s="2713"/>
    </row>
    <row r="61" spans="1:5" s="1723" customFormat="1">
      <c r="A61" s="2713"/>
      <c r="C61" s="2714"/>
      <c r="E61" s="2713"/>
    </row>
    <row r="62" spans="1:5" s="1723" customFormat="1">
      <c r="A62" s="2713"/>
      <c r="C62" s="2714"/>
      <c r="E62" s="2713"/>
    </row>
    <row r="63" spans="1:5" s="1723" customFormat="1">
      <c r="A63" s="2713"/>
      <c r="C63" s="2714"/>
      <c r="E63" s="2713"/>
    </row>
    <row r="64" spans="1:5" s="1723" customFormat="1">
      <c r="A64" s="2713"/>
      <c r="C64" s="2714"/>
      <c r="E64" s="2713"/>
    </row>
    <row r="65" spans="1:5" s="1723" customFormat="1">
      <c r="A65" s="2713"/>
      <c r="C65" s="2714"/>
      <c r="E65" s="2713"/>
    </row>
    <row r="66" spans="1:5" s="1723" customFormat="1">
      <c r="A66" s="2713"/>
      <c r="C66" s="2714"/>
      <c r="E66" s="2713"/>
    </row>
    <row r="67" spans="1:5" s="1723" customFormat="1">
      <c r="A67" s="2713"/>
      <c r="C67" s="2714"/>
      <c r="E67" s="2713"/>
    </row>
    <row r="68" spans="1:5" s="1723" customFormat="1">
      <c r="A68" s="2713"/>
      <c r="C68" s="2714"/>
      <c r="E68" s="2713"/>
    </row>
    <row r="69" spans="1:5" s="1723" customFormat="1">
      <c r="A69" s="2713"/>
      <c r="C69" s="2714"/>
      <c r="E69" s="2713"/>
    </row>
    <row r="70" spans="1:5" s="1723" customFormat="1">
      <c r="A70" s="2713"/>
      <c r="C70" s="2714"/>
      <c r="E70" s="2713"/>
    </row>
    <row r="71" spans="1:5" s="1723" customFormat="1">
      <c r="A71" s="2713"/>
      <c r="C71" s="2714"/>
      <c r="E71" s="2713"/>
    </row>
    <row r="72" spans="1:5" s="1723" customFormat="1">
      <c r="A72" s="2713"/>
      <c r="C72" s="2714"/>
      <c r="E72" s="2713"/>
    </row>
    <row r="73" spans="1:5" s="1723" customFormat="1">
      <c r="A73" s="2713"/>
      <c r="C73" s="2714"/>
      <c r="E73" s="2713"/>
    </row>
    <row r="74" spans="1:5" s="1723" customFormat="1">
      <c r="A74" s="2713"/>
      <c r="C74" s="2714"/>
      <c r="E74" s="2713"/>
    </row>
    <row r="75" spans="1:5" s="1723" customFormat="1">
      <c r="A75" s="2713"/>
      <c r="C75" s="2714"/>
      <c r="E75" s="2713"/>
    </row>
    <row r="76" spans="1:5" s="1723" customFormat="1">
      <c r="A76" s="2713"/>
      <c r="C76" s="2714"/>
      <c r="E76" s="2713"/>
    </row>
    <row r="77" spans="1:5" s="1723" customFormat="1">
      <c r="A77" s="2713"/>
      <c r="C77" s="2714"/>
      <c r="E77" s="2713"/>
    </row>
    <row r="78" spans="1:5" s="1723" customFormat="1">
      <c r="A78" s="2713"/>
      <c r="C78" s="2714"/>
      <c r="E78" s="2713"/>
    </row>
    <row r="79" spans="1:5" s="1723" customFormat="1">
      <c r="A79" s="2713"/>
      <c r="C79" s="2714"/>
      <c r="E79" s="2713"/>
    </row>
    <row r="80" spans="1:5" s="1723" customFormat="1">
      <c r="A80" s="2713"/>
      <c r="C80" s="2714"/>
      <c r="E80" s="2713"/>
    </row>
    <row r="81" spans="1:5" s="1723" customFormat="1">
      <c r="A81" s="2713"/>
      <c r="C81" s="2714"/>
      <c r="E81" s="2713"/>
    </row>
    <row r="82" spans="1:5" s="1723" customFormat="1">
      <c r="A82" s="2713"/>
      <c r="C82" s="2714"/>
      <c r="E82" s="2713"/>
    </row>
    <row r="83" spans="1:5" s="1723" customFormat="1">
      <c r="A83" s="2713"/>
      <c r="C83" s="2714"/>
      <c r="E83" s="2713"/>
    </row>
    <row r="84" spans="1:5" s="1723" customFormat="1">
      <c r="A84" s="2713"/>
      <c r="C84" s="2714"/>
      <c r="E84" s="2713"/>
    </row>
    <row r="85" spans="1:5" s="1723" customFormat="1">
      <c r="A85" s="2713"/>
      <c r="C85" s="2714"/>
      <c r="E85" s="2713"/>
    </row>
    <row r="86" spans="1:5" s="1723" customFormat="1">
      <c r="A86" s="2713"/>
      <c r="C86" s="2714"/>
      <c r="E86" s="2713"/>
    </row>
    <row r="87" spans="1:5" s="1723" customFormat="1">
      <c r="A87" s="2713"/>
      <c r="C87" s="2714"/>
      <c r="E87" s="2713"/>
    </row>
    <row r="88" spans="1:5" s="1723" customFormat="1">
      <c r="A88" s="2713"/>
      <c r="C88" s="2714"/>
      <c r="E88" s="2713"/>
    </row>
    <row r="89" spans="1:5" s="1723" customFormat="1">
      <c r="A89" s="2713"/>
      <c r="C89" s="2714"/>
      <c r="E89" s="2713"/>
    </row>
    <row r="90" spans="1:5" s="1723" customFormat="1">
      <c r="A90" s="2713"/>
      <c r="C90" s="2714"/>
      <c r="E90" s="2713"/>
    </row>
    <row r="91" spans="1:5" s="1723" customFormat="1">
      <c r="A91" s="2713"/>
      <c r="C91" s="2714"/>
      <c r="E91" s="2713"/>
    </row>
    <row r="92" spans="1:5" s="1723" customFormat="1">
      <c r="A92" s="2713"/>
      <c r="C92" s="2714"/>
      <c r="E92" s="2713"/>
    </row>
    <row r="93" spans="1:5" s="1723" customFormat="1">
      <c r="A93" s="2713"/>
      <c r="C93" s="2714"/>
      <c r="E93" s="2713"/>
    </row>
    <row r="94" spans="1:5" s="1723" customFormat="1">
      <c r="A94" s="2713"/>
      <c r="C94" s="2714"/>
      <c r="E94" s="2713"/>
    </row>
    <row r="95" spans="1:5" s="1723" customFormat="1">
      <c r="A95" s="2713"/>
      <c r="C95" s="2714"/>
      <c r="E95" s="2713"/>
    </row>
    <row r="96" spans="1:5" s="1723" customFormat="1">
      <c r="A96" s="2713"/>
      <c r="C96" s="2714"/>
      <c r="E96" s="2713"/>
    </row>
    <row r="97" spans="1:5" s="1723" customFormat="1">
      <c r="A97" s="2713"/>
      <c r="C97" s="2714"/>
      <c r="E97" s="2713"/>
    </row>
    <row r="98" spans="1:5" s="1723" customFormat="1">
      <c r="A98" s="2713"/>
      <c r="C98" s="2714"/>
      <c r="E98" s="2713"/>
    </row>
    <row r="99" spans="1:5" s="1723" customFormat="1">
      <c r="A99" s="2713"/>
      <c r="C99" s="2714"/>
      <c r="E99" s="2713"/>
    </row>
    <row r="100" spans="1:5" s="1723" customFormat="1">
      <c r="A100" s="2713"/>
      <c r="C100" s="2714"/>
      <c r="E100" s="2713"/>
    </row>
    <row r="101" spans="1:5" s="1723" customFormat="1">
      <c r="A101" s="2713"/>
      <c r="C101" s="2714"/>
      <c r="E101" s="2713"/>
    </row>
    <row r="102" spans="1:5" s="1723" customFormat="1">
      <c r="A102" s="2713"/>
      <c r="C102" s="2714"/>
      <c r="E102" s="2713"/>
    </row>
    <row r="103" spans="1:5" s="1723" customFormat="1">
      <c r="A103" s="2713"/>
      <c r="C103" s="2714"/>
      <c r="E103" s="2713"/>
    </row>
    <row r="104" spans="1:5" s="1723" customFormat="1">
      <c r="A104" s="2713"/>
      <c r="C104" s="2714"/>
      <c r="E104" s="2713"/>
    </row>
    <row r="105" spans="1:5" s="1723" customFormat="1">
      <c r="A105" s="2713"/>
      <c r="C105" s="2714"/>
      <c r="E105" s="2713"/>
    </row>
    <row r="106" spans="1:5" s="1723" customFormat="1">
      <c r="A106" s="2713"/>
      <c r="C106" s="2714"/>
      <c r="E106" s="2713"/>
    </row>
    <row r="107" spans="1:5" s="1723" customFormat="1">
      <c r="A107" s="2713"/>
      <c r="C107" s="2714"/>
      <c r="E107" s="2713"/>
    </row>
    <row r="108" spans="1:5" s="1723" customFormat="1">
      <c r="A108" s="2713"/>
      <c r="C108" s="2714"/>
      <c r="E108" s="2713"/>
    </row>
    <row r="109" spans="1:5" s="1723" customFormat="1">
      <c r="A109" s="2713"/>
      <c r="C109" s="2714"/>
      <c r="E109" s="2713"/>
    </row>
    <row r="110" spans="1:5" s="1723" customFormat="1">
      <c r="A110" s="2713"/>
      <c r="C110" s="2714"/>
      <c r="E110" s="2713"/>
    </row>
    <row r="111" spans="1:5" s="1723" customFormat="1">
      <c r="A111" s="2713"/>
      <c r="C111" s="2714"/>
      <c r="E111" s="2713"/>
    </row>
    <row r="112" spans="1:5" s="1723" customFormat="1">
      <c r="A112" s="2713"/>
      <c r="C112" s="2714"/>
      <c r="E112" s="2713"/>
    </row>
    <row r="113" spans="1:5" s="1723" customFormat="1">
      <c r="A113" s="2713"/>
      <c r="C113" s="2714"/>
      <c r="E113" s="2713"/>
    </row>
    <row r="114" spans="1:5" s="1723" customFormat="1">
      <c r="A114" s="2713"/>
      <c r="C114" s="2714"/>
      <c r="E114" s="2713"/>
    </row>
    <row r="115" spans="1:5" s="1723" customFormat="1">
      <c r="A115" s="2713"/>
      <c r="C115" s="2714"/>
      <c r="E115" s="2713"/>
    </row>
    <row r="116" spans="1:5" s="1723" customFormat="1">
      <c r="A116" s="2713"/>
      <c r="C116" s="2714"/>
      <c r="E116" s="2713"/>
    </row>
    <row r="117" spans="1:5" s="1723" customFormat="1">
      <c r="A117" s="2713"/>
      <c r="C117" s="2714"/>
      <c r="E117" s="2713"/>
    </row>
    <row r="118" spans="1:5" s="1723" customFormat="1">
      <c r="A118" s="2713"/>
      <c r="C118" s="2714"/>
      <c r="E118" s="2713"/>
    </row>
    <row r="119" spans="1:5" s="1723" customFormat="1">
      <c r="A119" s="2713"/>
      <c r="C119" s="2714"/>
      <c r="E119" s="2713"/>
    </row>
    <row r="120" spans="1:5" s="1723" customFormat="1">
      <c r="A120" s="2713"/>
      <c r="C120" s="2714"/>
      <c r="E120" s="2713"/>
    </row>
    <row r="121" spans="1:5" s="1723" customFormat="1">
      <c r="A121" s="2713"/>
      <c r="C121" s="2714"/>
      <c r="E121" s="2713"/>
    </row>
    <row r="122" spans="1:5" s="1723" customFormat="1">
      <c r="A122" s="2713"/>
      <c r="C122" s="2714"/>
      <c r="E122" s="2713"/>
    </row>
    <row r="123" spans="1:5" s="1723" customFormat="1">
      <c r="A123" s="2713"/>
      <c r="C123" s="2714"/>
      <c r="E123" s="2713"/>
    </row>
    <row r="124" spans="1:5" s="1723" customFormat="1">
      <c r="A124" s="2713"/>
      <c r="C124" s="2714"/>
      <c r="E124" s="2713"/>
    </row>
    <row r="125" spans="1:5" s="1723" customFormat="1">
      <c r="A125" s="2713"/>
      <c r="C125" s="2714"/>
      <c r="E125" s="2713"/>
    </row>
    <row r="126" spans="1:5" s="1723" customFormat="1">
      <c r="A126" s="2713"/>
      <c r="C126" s="2714"/>
      <c r="E126" s="2713"/>
    </row>
    <row r="127" spans="1:5" s="1723" customFormat="1">
      <c r="A127" s="2713"/>
      <c r="C127" s="2714"/>
      <c r="E127" s="2713"/>
    </row>
    <row r="128" spans="1:5" s="1723" customFormat="1">
      <c r="A128" s="2713"/>
      <c r="C128" s="2714"/>
      <c r="E128" s="2713"/>
    </row>
    <row r="129" spans="1:5" s="1723" customFormat="1">
      <c r="A129" s="2713"/>
      <c r="C129" s="2714"/>
      <c r="E129" s="2713"/>
    </row>
    <row r="130" spans="1:5" s="1723" customFormat="1">
      <c r="A130" s="2713"/>
      <c r="C130" s="2714"/>
      <c r="E130" s="2713"/>
    </row>
    <row r="131" spans="1:5" s="1723" customFormat="1">
      <c r="A131" s="2713"/>
      <c r="C131" s="2714"/>
      <c r="E131" s="2713"/>
    </row>
    <row r="132" spans="1:5" s="1723" customFormat="1">
      <c r="A132" s="2713"/>
      <c r="C132" s="2714"/>
      <c r="E132" s="2713"/>
    </row>
    <row r="133" spans="1:5" s="1723" customFormat="1">
      <c r="A133" s="2713"/>
      <c r="C133" s="2714"/>
      <c r="E133" s="2713"/>
    </row>
    <row r="134" spans="1:5" s="1723" customFormat="1">
      <c r="A134" s="2713"/>
      <c r="C134" s="2714"/>
      <c r="E134" s="2713"/>
    </row>
    <row r="135" spans="1:5" s="1723" customFormat="1">
      <c r="A135" s="2713"/>
      <c r="C135" s="2714"/>
      <c r="E135" s="2713"/>
    </row>
    <row r="136" spans="1:5" s="1723" customFormat="1">
      <c r="A136" s="2713"/>
      <c r="C136" s="2714"/>
      <c r="E136" s="2713"/>
    </row>
    <row r="137" spans="1:5" s="1723" customFormat="1">
      <c r="A137" s="2713"/>
      <c r="C137" s="2714"/>
      <c r="E137" s="2713"/>
    </row>
    <row r="138" spans="1:5" s="1723" customFormat="1">
      <c r="A138" s="2713"/>
      <c r="C138" s="2714"/>
      <c r="E138" s="2713"/>
    </row>
    <row r="139" spans="1:5" s="1723" customFormat="1">
      <c r="A139" s="2713"/>
      <c r="C139" s="2714"/>
      <c r="E139" s="2713"/>
    </row>
    <row r="140" spans="1:5" s="1723" customFormat="1">
      <c r="A140" s="2713"/>
      <c r="C140" s="2714"/>
      <c r="E140" s="2713"/>
    </row>
    <row r="141" spans="1:5" s="1723" customFormat="1">
      <c r="A141" s="2713"/>
      <c r="C141" s="2714"/>
      <c r="E141" s="2713"/>
    </row>
    <row r="142" spans="1:5" s="1723" customFormat="1">
      <c r="A142" s="2713"/>
      <c r="C142" s="2714"/>
      <c r="E142" s="2713"/>
    </row>
    <row r="143" spans="1:5" s="1723" customFormat="1">
      <c r="A143" s="2713"/>
      <c r="C143" s="2714"/>
      <c r="E143" s="2713"/>
    </row>
    <row r="144" spans="1:5" s="1723" customFormat="1">
      <c r="A144" s="2713"/>
      <c r="C144" s="2714"/>
      <c r="E144" s="2713"/>
    </row>
    <row r="145" spans="1:5" s="1723" customFormat="1">
      <c r="A145" s="2713"/>
      <c r="C145" s="2714"/>
      <c r="E145" s="2713"/>
    </row>
    <row r="146" spans="1:5" s="1723" customFormat="1">
      <c r="A146" s="2713"/>
      <c r="C146" s="2714"/>
      <c r="E146" s="2713"/>
    </row>
    <row r="147" spans="1:5" s="1723" customFormat="1">
      <c r="A147" s="2713"/>
      <c r="C147" s="2714"/>
      <c r="E147" s="2713"/>
    </row>
    <row r="148" spans="1:5" s="1723" customFormat="1">
      <c r="A148" s="2713"/>
      <c r="C148" s="2714"/>
      <c r="E148" s="2713"/>
    </row>
    <row r="149" spans="1:5" s="1723" customFormat="1">
      <c r="A149" s="2713"/>
      <c r="C149" s="2714"/>
      <c r="E149" s="2713"/>
    </row>
    <row r="150" spans="1:5" s="1723" customFormat="1">
      <c r="A150" s="2713"/>
      <c r="C150" s="2714"/>
      <c r="E150" s="2713"/>
    </row>
    <row r="151" spans="1:5" s="1723" customFormat="1">
      <c r="A151" s="2713"/>
      <c r="C151" s="2714"/>
      <c r="E151" s="2713"/>
    </row>
    <row r="152" spans="1:5" s="1723" customFormat="1">
      <c r="A152" s="2713"/>
      <c r="C152" s="2714"/>
      <c r="E152" s="2713"/>
    </row>
    <row r="153" spans="1:5" s="1723" customFormat="1">
      <c r="A153" s="2713"/>
      <c r="C153" s="2714"/>
      <c r="E153" s="2713"/>
    </row>
    <row r="154" spans="1:5" s="1723" customFormat="1">
      <c r="A154" s="2713"/>
      <c r="C154" s="2714"/>
      <c r="E154" s="2713"/>
    </row>
    <row r="155" spans="1:5" s="1723" customFormat="1">
      <c r="A155" s="2713"/>
      <c r="C155" s="2714"/>
      <c r="E155" s="2713"/>
    </row>
    <row r="156" spans="1:5" s="1723" customFormat="1">
      <c r="A156" s="2713"/>
      <c r="C156" s="2714"/>
      <c r="E156" s="2713"/>
    </row>
    <row r="157" spans="1:5" s="1723" customFormat="1">
      <c r="A157" s="2713"/>
      <c r="C157" s="2714"/>
      <c r="E157" s="2713"/>
    </row>
    <row r="158" spans="1:5" s="1723" customFormat="1">
      <c r="A158" s="2713"/>
      <c r="C158" s="2714"/>
      <c r="E158" s="2713"/>
    </row>
    <row r="159" spans="1:5" s="1723" customFormat="1">
      <c r="A159" s="2713"/>
      <c r="C159" s="2714"/>
      <c r="E159" s="2713"/>
    </row>
    <row r="160" spans="1:5" s="1723" customFormat="1">
      <c r="A160" s="2713"/>
      <c r="C160" s="2714"/>
      <c r="E160" s="2713"/>
    </row>
    <row r="161" spans="1:5" s="1723" customFormat="1">
      <c r="A161" s="2713"/>
      <c r="C161" s="2714"/>
      <c r="E161" s="2713"/>
    </row>
    <row r="162" spans="1:5" s="1723" customFormat="1">
      <c r="A162" s="2713"/>
      <c r="C162" s="2714"/>
      <c r="E162" s="2713"/>
    </row>
    <row r="163" spans="1:5" s="1723" customFormat="1">
      <c r="A163" s="2713"/>
      <c r="C163" s="2714"/>
      <c r="E163" s="2713"/>
    </row>
    <row r="164" spans="1:5" s="1723" customFormat="1">
      <c r="A164" s="2713"/>
      <c r="C164" s="2714"/>
      <c r="E164" s="2713"/>
    </row>
    <row r="165" spans="1:5" s="1723" customFormat="1">
      <c r="A165" s="2713"/>
      <c r="C165" s="2714"/>
      <c r="E165" s="2713"/>
    </row>
    <row r="166" spans="1:5" s="1723" customFormat="1">
      <c r="A166" s="2713"/>
      <c r="C166" s="2714"/>
      <c r="E166" s="2713"/>
    </row>
    <row r="167" spans="1:5" s="1723" customFormat="1">
      <c r="A167" s="2713"/>
      <c r="C167" s="2714"/>
      <c r="E167" s="2713"/>
    </row>
    <row r="168" spans="1:5" s="1723" customFormat="1">
      <c r="A168" s="2713"/>
      <c r="C168" s="2714"/>
      <c r="E168" s="2713"/>
    </row>
    <row r="169" spans="1:5" s="1723" customFormat="1">
      <c r="A169" s="2713"/>
      <c r="C169" s="2714"/>
      <c r="E169" s="2713"/>
    </row>
    <row r="170" spans="1:5" s="1723" customFormat="1">
      <c r="A170" s="2713"/>
      <c r="C170" s="2714"/>
      <c r="E170" s="2713"/>
    </row>
    <row r="171" spans="1:5" s="1723" customFormat="1">
      <c r="A171" s="2713"/>
      <c r="C171" s="2714"/>
      <c r="E171" s="2713"/>
    </row>
    <row r="172" spans="1:5" s="1723" customFormat="1">
      <c r="A172" s="2713"/>
      <c r="C172" s="2714"/>
      <c r="E172" s="2713"/>
    </row>
    <row r="173" spans="1:5" s="1723" customFormat="1">
      <c r="A173" s="2713"/>
      <c r="C173" s="2714"/>
      <c r="E173" s="2713"/>
    </row>
    <row r="174" spans="1:5" s="1723" customFormat="1">
      <c r="A174" s="2713"/>
      <c r="C174" s="2714"/>
      <c r="E174" s="2713"/>
    </row>
    <row r="175" spans="1:5" s="1723" customFormat="1">
      <c r="A175" s="2713"/>
      <c r="C175" s="2714"/>
      <c r="E175" s="2713"/>
    </row>
    <row r="176" spans="1:5" s="1723" customFormat="1">
      <c r="A176" s="2713"/>
      <c r="C176" s="2714"/>
      <c r="E176" s="2713"/>
    </row>
    <row r="177" spans="1:5" s="1723" customFormat="1">
      <c r="A177" s="2713"/>
      <c r="C177" s="2714"/>
      <c r="E177" s="2713"/>
    </row>
    <row r="178" spans="1:5" s="1723" customFormat="1">
      <c r="A178" s="2713"/>
      <c r="C178" s="2714"/>
      <c r="E178" s="2713"/>
    </row>
    <row r="179" spans="1:5" s="1723" customFormat="1">
      <c r="A179" s="2713"/>
      <c r="C179" s="2714"/>
      <c r="E179" s="2713"/>
    </row>
    <row r="180" spans="1:5" s="1723" customFormat="1">
      <c r="A180" s="2713"/>
      <c r="C180" s="2714"/>
      <c r="E180" s="2713"/>
    </row>
    <row r="181" spans="1:5" s="1723" customFormat="1">
      <c r="A181" s="2713"/>
      <c r="C181" s="2714"/>
      <c r="E181" s="2713"/>
    </row>
    <row r="182" spans="1:5" s="1723" customFormat="1">
      <c r="A182" s="2713"/>
      <c r="C182" s="2714"/>
      <c r="E182" s="2713"/>
    </row>
    <row r="183" spans="1:5" s="1723" customFormat="1">
      <c r="A183" s="2713"/>
      <c r="C183" s="2714"/>
      <c r="E183" s="2713"/>
    </row>
    <row r="184" spans="1:5" s="1723" customFormat="1">
      <c r="A184" s="2713"/>
      <c r="C184" s="2714"/>
      <c r="E184" s="2713"/>
    </row>
    <row r="185" spans="1:5" s="1723" customFormat="1">
      <c r="A185" s="2713"/>
      <c r="C185" s="2714"/>
      <c r="E185" s="2713"/>
    </row>
    <row r="186" spans="1:5" s="1723" customFormat="1">
      <c r="A186" s="2713"/>
      <c r="C186" s="2714"/>
      <c r="E186" s="2713"/>
    </row>
    <row r="187" spans="1:5" s="1723" customFormat="1">
      <c r="A187" s="2713"/>
      <c r="C187" s="2714"/>
      <c r="E187" s="2713"/>
    </row>
    <row r="188" spans="1:5" s="1723" customFormat="1">
      <c r="A188" s="2713"/>
      <c r="C188" s="2714"/>
      <c r="E188" s="2713"/>
    </row>
    <row r="189" spans="1:5" s="1723" customFormat="1">
      <c r="A189" s="2713"/>
      <c r="C189" s="2714"/>
      <c r="E189" s="2713"/>
    </row>
    <row r="190" spans="1:5" s="1723" customFormat="1">
      <c r="A190" s="2713"/>
      <c r="C190" s="2714"/>
      <c r="E190" s="2713"/>
    </row>
    <row r="191" spans="1:5" s="1723" customFormat="1">
      <c r="A191" s="2713"/>
      <c r="C191" s="2714"/>
      <c r="E191" s="2713"/>
    </row>
    <row r="192" spans="1:5" s="1723" customFormat="1">
      <c r="A192" s="2713"/>
      <c r="C192" s="2714"/>
      <c r="E192" s="2713"/>
    </row>
    <row r="193" spans="1:5" s="1723" customFormat="1">
      <c r="A193" s="2713"/>
      <c r="C193" s="2714"/>
      <c r="E193" s="2713"/>
    </row>
    <row r="194" spans="1:5" s="1723" customFormat="1">
      <c r="A194" s="2713"/>
      <c r="C194" s="2714"/>
      <c r="E194" s="2713"/>
    </row>
    <row r="195" spans="1:5" s="1723" customFormat="1">
      <c r="A195" s="2713"/>
      <c r="C195" s="2714"/>
      <c r="E195" s="2713"/>
    </row>
    <row r="196" spans="1:5" s="1723" customFormat="1">
      <c r="A196" s="2713"/>
      <c r="C196" s="2714"/>
      <c r="E196" s="2713"/>
    </row>
    <row r="197" spans="1:5" s="1723" customFormat="1">
      <c r="A197" s="2713"/>
      <c r="C197" s="2714"/>
      <c r="E197" s="2713"/>
    </row>
    <row r="198" spans="1:5" s="1723" customFormat="1">
      <c r="A198" s="2713"/>
      <c r="C198" s="2714"/>
      <c r="E198" s="2713"/>
    </row>
    <row r="199" spans="1:5" s="1723" customFormat="1">
      <c r="A199" s="2713"/>
      <c r="C199" s="2714"/>
      <c r="E199" s="2713"/>
    </row>
    <row r="200" spans="1:5" s="1723" customFormat="1">
      <c r="A200" s="2713"/>
      <c r="C200" s="2714"/>
      <c r="E200" s="2713"/>
    </row>
    <row r="201" spans="1:5" s="1723" customFormat="1">
      <c r="A201" s="2713"/>
      <c r="C201" s="2714"/>
      <c r="E201" s="2713"/>
    </row>
    <row r="202" spans="1:5" s="1723" customFormat="1">
      <c r="A202" s="2713"/>
      <c r="C202" s="2714"/>
      <c r="E202" s="2713"/>
    </row>
    <row r="203" spans="1:5" s="1723" customFormat="1">
      <c r="A203" s="2713"/>
      <c r="C203" s="2714"/>
      <c r="E203" s="2713"/>
    </row>
    <row r="204" spans="1:5" s="1723" customFormat="1">
      <c r="A204" s="2713"/>
      <c r="C204" s="2714"/>
      <c r="E204" s="2713"/>
    </row>
    <row r="205" spans="1:5" s="1723" customFormat="1">
      <c r="A205" s="2713"/>
      <c r="C205" s="2714"/>
      <c r="E205" s="2713"/>
    </row>
    <row r="206" spans="1:5" s="1723" customFormat="1">
      <c r="A206" s="2713"/>
      <c r="C206" s="2714"/>
      <c r="E206" s="2713"/>
    </row>
    <row r="207" spans="1:5" s="1723" customFormat="1">
      <c r="A207" s="2713"/>
      <c r="C207" s="2714"/>
      <c r="E207" s="2713"/>
    </row>
    <row r="208" spans="1:5" s="1723" customFormat="1">
      <c r="A208" s="2713"/>
      <c r="C208" s="2714"/>
      <c r="E208" s="2713"/>
    </row>
    <row r="209" spans="1:5" s="1723" customFormat="1">
      <c r="A209" s="2713"/>
      <c r="C209" s="2714"/>
      <c r="E209" s="2713"/>
    </row>
    <row r="210" spans="1:5" s="1723" customFormat="1">
      <c r="A210" s="2713"/>
      <c r="C210" s="2714"/>
      <c r="E210" s="2713"/>
    </row>
    <row r="211" spans="1:5" s="1723" customFormat="1">
      <c r="A211" s="2713"/>
      <c r="C211" s="2714"/>
      <c r="E211" s="2713"/>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400-000000000000}">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4.25"/>
  <cols>
    <col min="1" max="1" width="13.37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465</v>
      </c>
      <c r="B1" s="454"/>
      <c r="C1" s="455" t="s">
        <v>545</v>
      </c>
      <c r="D1" s="456" t="s">
        <v>467</v>
      </c>
      <c r="E1" s="674"/>
      <c r="F1" s="675"/>
      <c r="G1" s="674"/>
      <c r="H1" s="674"/>
      <c r="I1" s="674"/>
      <c r="J1" s="674"/>
      <c r="K1" s="676"/>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427</v>
      </c>
      <c r="B2" s="459" t="e">
        <f>F62</f>
        <v>#DIV/0!</v>
      </c>
      <c r="C2" s="2729"/>
      <c r="D2" s="2729"/>
      <c r="E2" s="2729"/>
      <c r="F2" s="2730"/>
      <c r="G2" s="2729"/>
      <c r="H2" s="2729"/>
      <c r="I2" s="2729"/>
      <c r="J2" s="2729"/>
      <c r="K2" s="2731"/>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c r="A3" s="1171" t="s">
        <v>1218</v>
      </c>
      <c r="B3" s="461" t="e">
        <f>ROUND(B2*10000/'数据-汇总表'!E3,0)</f>
        <v>#DIV/0!</v>
      </c>
      <c r="C3" s="2728"/>
      <c r="D3" s="2728"/>
      <c r="E3" s="2728"/>
      <c r="F3" s="2728"/>
      <c r="G3" s="2729"/>
      <c r="H3" s="2729"/>
      <c r="I3" s="2729"/>
      <c r="J3" s="2729"/>
      <c r="K3" s="2731"/>
      <c r="L3" s="1739"/>
      <c r="M3" s="1740"/>
      <c r="N3" s="1740"/>
      <c r="O3" s="1740"/>
      <c r="P3" s="1740"/>
      <c r="Q3" s="1740"/>
      <c r="R3" s="1740"/>
      <c r="S3" s="1740"/>
      <c r="T3" s="1740"/>
      <c r="U3" s="1740"/>
      <c r="V3" s="1740"/>
      <c r="W3" s="1740"/>
      <c r="X3" s="1740"/>
      <c r="Y3" s="1740"/>
      <c r="Z3" s="1740"/>
      <c r="AA3" s="1740"/>
      <c r="AB3" s="1674"/>
      <c r="AC3" s="1674"/>
    </row>
    <row r="4" spans="1:29" s="1130" customFormat="1" ht="28.5" customHeight="1">
      <c r="A4" s="462" t="s">
        <v>469</v>
      </c>
      <c r="B4" s="397" t="e">
        <f>IF(B43="单位面积地价",C45,ROUND(B2*10000/'数据-汇总表'!D3,0))</f>
        <v>#DIV/0!</v>
      </c>
      <c r="C4" s="2728"/>
      <c r="D4" s="2728"/>
      <c r="E4" s="2728"/>
      <c r="F4" s="2728"/>
      <c r="G4" s="2729"/>
      <c r="H4" s="2729"/>
      <c r="I4" s="2729"/>
      <c r="J4" s="2729"/>
      <c r="K4" s="2731"/>
      <c r="L4" s="1739"/>
      <c r="M4" s="1740"/>
      <c r="N4" s="1740"/>
      <c r="O4" s="1740"/>
      <c r="P4" s="1740"/>
      <c r="Q4" s="1740"/>
      <c r="R4" s="1740"/>
      <c r="S4" s="1740"/>
      <c r="T4" s="1740"/>
      <c r="U4" s="1740"/>
      <c r="V4" s="1740"/>
      <c r="W4" s="1740"/>
      <c r="X4" s="1740"/>
      <c r="Y4" s="1740"/>
      <c r="Z4" s="1740"/>
      <c r="AA4" s="1740"/>
      <c r="AB4" s="1740"/>
      <c r="AC4" s="1674"/>
    </row>
    <row r="5" spans="1:29" s="1130" customFormat="1" ht="28.5" customHeight="1" thickBot="1">
      <c r="A5" s="399"/>
      <c r="B5" s="400" t="e">
        <f>ROUND(B2/('数据-汇总表'!D3/666.67),0)</f>
        <v>#DIV/0!</v>
      </c>
      <c r="C5" s="401" t="s">
        <v>429</v>
      </c>
      <c r="D5" s="2728"/>
      <c r="E5" s="2728"/>
      <c r="F5" s="2728"/>
      <c r="G5" s="2729"/>
      <c r="H5" s="2729"/>
      <c r="I5" s="2729"/>
      <c r="J5" s="2729"/>
      <c r="K5" s="2731"/>
      <c r="L5" s="1739"/>
      <c r="M5" s="1740"/>
      <c r="N5" s="1740"/>
      <c r="O5" s="1740"/>
      <c r="P5" s="1740"/>
      <c r="Q5" s="1740"/>
      <c r="R5" s="1740"/>
      <c r="S5" s="1740"/>
      <c r="T5" s="1740"/>
      <c r="U5" s="1740"/>
      <c r="V5" s="1740"/>
      <c r="W5" s="1740"/>
      <c r="X5" s="1740"/>
      <c r="Y5" s="1740"/>
      <c r="Z5" s="1740"/>
      <c r="AA5" s="1740"/>
      <c r="AB5" s="2720"/>
      <c r="AC5" s="1674"/>
    </row>
    <row r="6" spans="1:29" ht="15">
      <c r="A6" s="463" t="s">
        <v>470</v>
      </c>
      <c r="B6" s="464"/>
      <c r="C6" s="3602" t="s">
        <v>471</v>
      </c>
      <c r="D6" s="3603"/>
      <c r="E6" s="3628" t="s">
        <v>472</v>
      </c>
      <c r="F6" s="3629"/>
      <c r="G6" s="3602" t="s">
        <v>473</v>
      </c>
      <c r="H6" s="3603"/>
      <c r="I6" s="3602" t="s">
        <v>474</v>
      </c>
      <c r="J6" s="3603"/>
      <c r="K6" s="465" t="s">
        <v>475</v>
      </c>
      <c r="L6" s="1741"/>
      <c r="M6" s="1742"/>
      <c r="N6" s="1742"/>
      <c r="O6" s="1742"/>
      <c r="P6" s="3604" t="s">
        <v>476</v>
      </c>
      <c r="Q6" s="3605"/>
      <c r="R6" s="3588" t="s">
        <v>472</v>
      </c>
      <c r="S6" s="3589"/>
      <c r="T6" s="3588" t="s">
        <v>473</v>
      </c>
      <c r="U6" s="3589"/>
      <c r="V6" s="3610" t="s">
        <v>474</v>
      </c>
      <c r="W6" s="3610"/>
      <c r="X6" s="1302"/>
      <c r="Y6" s="3588" t="s">
        <v>476</v>
      </c>
      <c r="Z6" s="3589"/>
      <c r="AA6" s="3583" t="s">
        <v>472</v>
      </c>
      <c r="AB6" s="3584" t="s">
        <v>473</v>
      </c>
      <c r="AC6" s="3583" t="s">
        <v>474</v>
      </c>
    </row>
    <row r="7" spans="1:29" ht="15">
      <c r="A7" s="466"/>
      <c r="B7" s="467"/>
      <c r="C7" s="3613" t="s">
        <v>2187</v>
      </c>
      <c r="D7" s="3614"/>
      <c r="E7" s="3630" t="s">
        <v>2188</v>
      </c>
      <c r="F7" s="3631"/>
      <c r="G7" s="3613" t="s">
        <v>2189</v>
      </c>
      <c r="H7" s="3614"/>
      <c r="I7" s="3613" t="s">
        <v>2190</v>
      </c>
      <c r="J7" s="3614"/>
      <c r="K7" s="465"/>
      <c r="L7" s="1741"/>
      <c r="M7" s="1742"/>
      <c r="N7" s="1742"/>
      <c r="O7" s="1742"/>
      <c r="P7" s="3606"/>
      <c r="Q7" s="3607"/>
      <c r="R7" s="3590"/>
      <c r="S7" s="3591"/>
      <c r="T7" s="3590"/>
      <c r="U7" s="3591"/>
      <c r="V7" s="3610"/>
      <c r="W7" s="3610"/>
      <c r="X7" s="1302"/>
      <c r="Y7" s="3590"/>
      <c r="Z7" s="3591"/>
      <c r="AA7" s="3584"/>
      <c r="AB7" s="3584"/>
      <c r="AC7" s="3584"/>
    </row>
    <row r="8" spans="1:29" ht="15.75" thickBot="1">
      <c r="A8" s="468"/>
      <c r="B8" s="469"/>
      <c r="C8" s="3611" t="s">
        <v>2191</v>
      </c>
      <c r="D8" s="3612"/>
      <c r="E8" s="3632" t="s">
        <v>2191</v>
      </c>
      <c r="F8" s="3633"/>
      <c r="G8" s="3611" t="s">
        <v>2191</v>
      </c>
      <c r="H8" s="3612"/>
      <c r="I8" s="3611" t="s">
        <v>2191</v>
      </c>
      <c r="J8" s="3612"/>
      <c r="K8" s="465" t="s">
        <v>477</v>
      </c>
      <c r="L8" s="1741"/>
      <c r="M8" s="1742"/>
      <c r="N8" s="1742"/>
      <c r="O8" s="1742"/>
      <c r="P8" s="3608"/>
      <c r="Q8" s="3609"/>
      <c r="R8" s="3590"/>
      <c r="S8" s="3591"/>
      <c r="T8" s="3592"/>
      <c r="U8" s="3593"/>
      <c r="V8" s="3610"/>
      <c r="W8" s="3610"/>
      <c r="X8" s="1302"/>
      <c r="Y8" s="3592"/>
      <c r="Z8" s="3593"/>
      <c r="AA8" s="3585"/>
      <c r="AB8" s="3585"/>
      <c r="AC8" s="3585"/>
    </row>
    <row r="9" spans="1:29" s="1059" customFormat="1" ht="15.75" thickBot="1">
      <c r="A9" s="2209"/>
      <c r="B9" s="2216" t="s">
        <v>478</v>
      </c>
      <c r="C9" s="470">
        <f>'数据-取费表'!B2</f>
        <v>45057</v>
      </c>
      <c r="D9" s="471">
        <v>100</v>
      </c>
      <c r="E9" s="472"/>
      <c r="F9" s="473">
        <f>SUMIF(66:66,YEAR(E9)&amp;"-"&amp;INT((MONTH(E9)+2)/3),67:67)</f>
        <v>0</v>
      </c>
      <c r="G9" s="474"/>
      <c r="H9" s="471">
        <f>SUMIF(66:66,YEAR(G9)&amp;"-"&amp;INT((MONTH(G9)+2)/3),67:67)</f>
        <v>0</v>
      </c>
      <c r="I9" s="474"/>
      <c r="J9" s="471">
        <f>SUMIF(66:66,YEAR(I9)&amp;"-"&amp;INT((MONTH(I9)+2)/3),67:67)</f>
        <v>0</v>
      </c>
      <c r="K9" s="88"/>
      <c r="L9" s="1743"/>
      <c r="M9" s="1640"/>
      <c r="N9" s="1640"/>
      <c r="O9" s="1640"/>
      <c r="P9" s="3586" t="s">
        <v>479</v>
      </c>
      <c r="Q9" s="3595"/>
      <c r="R9" s="1303" t="s">
        <v>5</v>
      </c>
      <c r="S9" s="1304">
        <f t="shared" ref="S9:S17" si="0">F9</f>
        <v>0</v>
      </c>
      <c r="T9" s="1303" t="s">
        <v>5</v>
      </c>
      <c r="U9" s="1304">
        <f t="shared" ref="U9:U17" si="1">H9</f>
        <v>0</v>
      </c>
      <c r="V9" s="1303" t="s">
        <v>5</v>
      </c>
      <c r="W9" s="1304">
        <f t="shared" ref="W9:W17" si="2">J9</f>
        <v>0</v>
      </c>
      <c r="X9" s="1305"/>
      <c r="Y9" s="3586" t="s">
        <v>479</v>
      </c>
      <c r="Z9" s="3587"/>
      <c r="AA9" s="996" t="e">
        <f>D9/F9</f>
        <v>#DIV/0!</v>
      </c>
      <c r="AB9" s="996" t="e">
        <f>D9/H9</f>
        <v>#DIV/0!</v>
      </c>
      <c r="AC9" s="996" t="e">
        <f>D9/J9</f>
        <v>#DIV/0!</v>
      </c>
    </row>
    <row r="10" spans="1:29" s="1059" customFormat="1" ht="15.75" thickBot="1">
      <c r="A10" s="2210"/>
      <c r="B10" s="2217"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3"/>
      <c r="M10" s="1640"/>
      <c r="N10" s="1640"/>
      <c r="O10" s="1640"/>
      <c r="P10" s="3586" t="s">
        <v>482</v>
      </c>
      <c r="Q10" s="3587"/>
      <c r="R10" s="1303" t="s">
        <v>5</v>
      </c>
      <c r="S10" s="1304">
        <f t="shared" si="0"/>
        <v>0</v>
      </c>
      <c r="T10" s="1303" t="s">
        <v>5</v>
      </c>
      <c r="U10" s="1304">
        <f t="shared" si="1"/>
        <v>0</v>
      </c>
      <c r="V10" s="1303" t="s">
        <v>5</v>
      </c>
      <c r="W10" s="1304">
        <f t="shared" si="2"/>
        <v>0</v>
      </c>
      <c r="X10" s="1305"/>
      <c r="Y10" s="3586" t="s">
        <v>482</v>
      </c>
      <c r="Z10" s="3587"/>
      <c r="AA10" s="996" t="e">
        <f t="shared" ref="AA10:AA42" si="3">D10/F10</f>
        <v>#DIV/0!</v>
      </c>
      <c r="AB10" s="996" t="e">
        <f t="shared" ref="AB10:AB42" si="4">D10/H10</f>
        <v>#DIV/0!</v>
      </c>
      <c r="AC10" s="996" t="e">
        <f t="shared" ref="AC10:AC42" si="5">D10/J10</f>
        <v>#DIV/0!</v>
      </c>
    </row>
    <row r="11" spans="1:29" s="1059" customFormat="1" ht="15">
      <c r="A11" s="2211"/>
      <c r="B11" s="2218" t="s">
        <v>2038</v>
      </c>
      <c r="C11" s="476"/>
      <c r="D11" s="154">
        <v>100</v>
      </c>
      <c r="E11" s="476"/>
      <c r="F11" s="154">
        <f>SUMIF(71:71,E11,72:72)-SUMIF(71:71,C11,72:72)+100</f>
        <v>100</v>
      </c>
      <c r="G11" s="476"/>
      <c r="H11" s="154">
        <f>SUMIF(71:71,G11,72:72)-SUMIF(71:71,C11,72:72)+100</f>
        <v>100</v>
      </c>
      <c r="I11" s="476"/>
      <c r="J11" s="154">
        <f>SUMIF(71:71,I11,72:72)-SUMIF(71:71,C11,72:72)+100</f>
        <v>100</v>
      </c>
      <c r="K11" s="88"/>
      <c r="L11" s="1743"/>
      <c r="M11" s="1640"/>
      <c r="N11" s="1640"/>
      <c r="O11" s="1744"/>
      <c r="P11" s="3594" t="s">
        <v>484</v>
      </c>
      <c r="Q11" s="818" t="str">
        <f t="shared" ref="Q11:Q17" si="6">B11</f>
        <v>用途</v>
      </c>
      <c r="R11" s="1303" t="s">
        <v>5</v>
      </c>
      <c r="S11" s="1304">
        <f t="shared" si="0"/>
        <v>100</v>
      </c>
      <c r="T11" s="1303" t="s">
        <v>5</v>
      </c>
      <c r="U11" s="1304">
        <f t="shared" si="1"/>
        <v>100</v>
      </c>
      <c r="V11" s="1303" t="s">
        <v>5</v>
      </c>
      <c r="W11" s="1304">
        <f t="shared" si="2"/>
        <v>100</v>
      </c>
      <c r="X11" s="1305"/>
      <c r="Y11" s="3546" t="s">
        <v>485</v>
      </c>
      <c r="Z11" s="996" t="str">
        <f t="shared" ref="Z11:Z17" si="7">Q11</f>
        <v>用途</v>
      </c>
      <c r="AA11" s="996">
        <f t="shared" si="3"/>
        <v>1</v>
      </c>
      <c r="AB11" s="996">
        <f t="shared" si="4"/>
        <v>1</v>
      </c>
      <c r="AC11" s="996">
        <f t="shared" si="5"/>
        <v>1</v>
      </c>
    </row>
    <row r="12" spans="1:29" s="1132" customFormat="1" ht="27">
      <c r="A12" s="2212"/>
      <c r="B12" s="2217" t="s">
        <v>2039</v>
      </c>
      <c r="C12" s="478"/>
      <c r="D12" s="235">
        <v>100</v>
      </c>
      <c r="E12" s="478"/>
      <c r="F12" s="235">
        <f>ROUND(100/'数据-取费表'!G16,0)</f>
        <v>111</v>
      </c>
      <c r="G12" s="478"/>
      <c r="H12" s="235">
        <f>ROUND(100/'数据-取费表'!G16,0)</f>
        <v>111</v>
      </c>
      <c r="I12" s="478"/>
      <c r="J12" s="235">
        <f>ROUND(100/'数据-取费表'!G16,0)</f>
        <v>111</v>
      </c>
      <c r="K12" s="481"/>
      <c r="L12" s="1745"/>
      <c r="M12" s="1778"/>
      <c r="N12" s="1778"/>
      <c r="O12" s="1746"/>
      <c r="P12" s="3594"/>
      <c r="Q12" s="818" t="str">
        <f t="shared" si="6"/>
        <v>土地使用年限（年）</v>
      </c>
      <c r="R12" s="1303" t="s">
        <v>5</v>
      </c>
      <c r="S12" s="1304">
        <f t="shared" si="0"/>
        <v>111</v>
      </c>
      <c r="T12" s="1303" t="s">
        <v>5</v>
      </c>
      <c r="U12" s="1304">
        <f t="shared" si="1"/>
        <v>111</v>
      </c>
      <c r="V12" s="1303" t="s">
        <v>5</v>
      </c>
      <c r="W12" s="1304">
        <f t="shared" si="2"/>
        <v>111</v>
      </c>
      <c r="X12" s="1305"/>
      <c r="Y12" s="3546"/>
      <c r="Z12" s="996" t="str">
        <f t="shared" si="7"/>
        <v>土地使用年限（年）</v>
      </c>
      <c r="AA12" s="996">
        <f t="shared" si="3"/>
        <v>0.90090090090090091</v>
      </c>
      <c r="AB12" s="996">
        <f t="shared" si="4"/>
        <v>0.90090090090090091</v>
      </c>
      <c r="AC12" s="996">
        <f t="shared" si="5"/>
        <v>0.90090090090090091</v>
      </c>
    </row>
    <row r="13" spans="1:29" ht="15">
      <c r="A13" s="2213"/>
      <c r="B13" s="2217" t="s">
        <v>2040</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7"/>
      <c r="M13" s="1742"/>
      <c r="N13" s="1742"/>
      <c r="O13" s="1748"/>
      <c r="P13" s="3594"/>
      <c r="Q13" s="818" t="str">
        <f t="shared" si="6"/>
        <v>容积率</v>
      </c>
      <c r="R13" s="1303" t="s">
        <v>5</v>
      </c>
      <c r="S13" s="1304" t="e">
        <f t="shared" si="0"/>
        <v>#N/A</v>
      </c>
      <c r="T13" s="1303" t="s">
        <v>5</v>
      </c>
      <c r="U13" s="1304" t="e">
        <f t="shared" si="1"/>
        <v>#N/A</v>
      </c>
      <c r="V13" s="1303" t="s">
        <v>5</v>
      </c>
      <c r="W13" s="1304" t="e">
        <f t="shared" si="2"/>
        <v>#N/A</v>
      </c>
      <c r="X13" s="1305"/>
      <c r="Y13" s="3546"/>
      <c r="Z13" s="996" t="str">
        <f t="shared" si="7"/>
        <v>容积率</v>
      </c>
      <c r="AA13" s="996" t="e">
        <f t="shared" si="3"/>
        <v>#N/A</v>
      </c>
      <c r="AB13" s="996" t="e">
        <f t="shared" si="4"/>
        <v>#N/A</v>
      </c>
      <c r="AC13" s="996" t="e">
        <f t="shared" si="5"/>
        <v>#N/A</v>
      </c>
    </row>
    <row r="14" spans="1:29" s="1059" customFormat="1" ht="15">
      <c r="A14" s="2214"/>
      <c r="B14" s="2220">
        <v>111</v>
      </c>
      <c r="C14" s="478"/>
      <c r="D14" s="488">
        <v>100</v>
      </c>
      <c r="E14" s="491"/>
      <c r="F14" s="235">
        <f>SUMIF(78:78,E14,79:79)-SUMIF(78:78,C14,79:79)+100</f>
        <v>100</v>
      </c>
      <c r="G14" s="492"/>
      <c r="H14" s="235">
        <f>SUMIF(78:78,G14,79:79)-SUMIF(78:78,C14,79:79)+100</f>
        <v>100</v>
      </c>
      <c r="I14" s="491"/>
      <c r="J14" s="235">
        <f>SUMIF(78:78,I14,79:79)-SUMIF(78:78,C14,79:79)+100</f>
        <v>100</v>
      </c>
      <c r="K14" s="481"/>
      <c r="L14" s="1743"/>
      <c r="M14" s="1640"/>
      <c r="N14" s="1640"/>
      <c r="O14" s="1744"/>
      <c r="P14" s="3594"/>
      <c r="Q14" s="818">
        <f t="shared" si="6"/>
        <v>111</v>
      </c>
      <c r="R14" s="1303" t="s">
        <v>5</v>
      </c>
      <c r="S14" s="1304">
        <f t="shared" si="0"/>
        <v>100</v>
      </c>
      <c r="T14" s="1303" t="s">
        <v>5</v>
      </c>
      <c r="U14" s="1304">
        <f t="shared" si="1"/>
        <v>100</v>
      </c>
      <c r="V14" s="1303" t="s">
        <v>5</v>
      </c>
      <c r="W14" s="1304">
        <f t="shared" si="2"/>
        <v>100</v>
      </c>
      <c r="X14" s="1305"/>
      <c r="Y14" s="3546"/>
      <c r="Z14" s="996">
        <f t="shared" si="7"/>
        <v>111</v>
      </c>
      <c r="AA14" s="996">
        <f>D14/F14</f>
        <v>1</v>
      </c>
      <c r="AB14" s="996">
        <f>D14/H14</f>
        <v>1</v>
      </c>
      <c r="AC14" s="996">
        <f>D14/J14</f>
        <v>1</v>
      </c>
    </row>
    <row r="15" spans="1:29" ht="15">
      <c r="A15" s="2214"/>
      <c r="B15" s="2220">
        <v>111</v>
      </c>
      <c r="C15" s="489"/>
      <c r="D15" s="490">
        <v>100</v>
      </c>
      <c r="E15" s="491"/>
      <c r="F15" s="235">
        <f>SUMIF(80:80,E15,81:81)-SUMIF(80:80,C15,81:81)+100</f>
        <v>100</v>
      </c>
      <c r="G15" s="492"/>
      <c r="H15" s="490">
        <f>SUMIF(80:80,G15,81:81)-SUMIF(80:80,C15,81:81)+100</f>
        <v>100</v>
      </c>
      <c r="I15" s="491"/>
      <c r="J15" s="490">
        <f>SUMIF(80:80,I15,81:81)-SUMIF(80:80,C15,81:81)+100</f>
        <v>100</v>
      </c>
      <c r="K15" s="481"/>
      <c r="L15" s="1749"/>
      <c r="M15" s="1742"/>
      <c r="N15" s="1742"/>
      <c r="O15" s="1748"/>
      <c r="P15" s="3594"/>
      <c r="Q15" s="818">
        <f t="shared" si="6"/>
        <v>111</v>
      </c>
      <c r="R15" s="1303" t="s">
        <v>5</v>
      </c>
      <c r="S15" s="1304">
        <f t="shared" si="0"/>
        <v>100</v>
      </c>
      <c r="T15" s="1303" t="s">
        <v>5</v>
      </c>
      <c r="U15" s="1304">
        <f t="shared" si="1"/>
        <v>100</v>
      </c>
      <c r="V15" s="1303" t="s">
        <v>5</v>
      </c>
      <c r="W15" s="1304">
        <f t="shared" si="2"/>
        <v>100</v>
      </c>
      <c r="X15" s="1305"/>
      <c r="Y15" s="3546"/>
      <c r="Z15" s="996">
        <f t="shared" si="7"/>
        <v>111</v>
      </c>
      <c r="AA15" s="996">
        <f t="shared" si="3"/>
        <v>1</v>
      </c>
      <c r="AB15" s="996">
        <f t="shared" si="4"/>
        <v>1</v>
      </c>
      <c r="AC15" s="996">
        <f t="shared" si="5"/>
        <v>1</v>
      </c>
    </row>
    <row r="16" spans="1:29" ht="15.75" thickBot="1">
      <c r="A16" s="2215"/>
      <c r="B16" s="2221">
        <v>111</v>
      </c>
      <c r="C16" s="495"/>
      <c r="D16" s="496">
        <v>100</v>
      </c>
      <c r="E16" s="491"/>
      <c r="F16" s="496">
        <f>SUMIF(82:82,E16,83:83)-SUMIF(82:82,C16,83:83)+100</f>
        <v>100</v>
      </c>
      <c r="G16" s="492"/>
      <c r="H16" s="496">
        <f>SUMIF(82:82,G16,83:83)-SUMIF(82:82,C16,83:83)+100</f>
        <v>100</v>
      </c>
      <c r="I16" s="491"/>
      <c r="J16" s="496">
        <f>SUMIF(82:82,I16,83:83)-SUMIF(82:82,C16,83:83)+100</f>
        <v>100</v>
      </c>
      <c r="K16" s="481"/>
      <c r="L16" s="1749"/>
      <c r="M16" s="1742"/>
      <c r="N16" s="1742"/>
      <c r="O16" s="1748"/>
      <c r="P16" s="3594"/>
      <c r="Q16" s="818">
        <f t="shared" si="6"/>
        <v>111</v>
      </c>
      <c r="R16" s="1303" t="s">
        <v>5</v>
      </c>
      <c r="S16" s="1304">
        <f t="shared" si="0"/>
        <v>100</v>
      </c>
      <c r="T16" s="1303" t="s">
        <v>5</v>
      </c>
      <c r="U16" s="1304">
        <f t="shared" si="1"/>
        <v>100</v>
      </c>
      <c r="V16" s="1303" t="s">
        <v>5</v>
      </c>
      <c r="W16" s="1304">
        <f t="shared" si="2"/>
        <v>100</v>
      </c>
      <c r="X16" s="1305"/>
      <c r="Y16" s="3546"/>
      <c r="Z16" s="996">
        <f t="shared" si="7"/>
        <v>111</v>
      </c>
      <c r="AA16" s="996">
        <f t="shared" si="3"/>
        <v>1</v>
      </c>
      <c r="AB16" s="996">
        <f t="shared" si="4"/>
        <v>1</v>
      </c>
      <c r="AC16" s="996">
        <f t="shared" si="5"/>
        <v>1</v>
      </c>
    </row>
    <row r="17" spans="1:29" ht="71.25">
      <c r="A17" s="2207" t="s">
        <v>2036</v>
      </c>
      <c r="B17" s="150" t="s">
        <v>546</v>
      </c>
      <c r="C17" s="842"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49"/>
      <c r="M17" s="1742"/>
      <c r="N17" s="1742"/>
      <c r="O17" s="1748"/>
      <c r="P17" s="3596" t="s">
        <v>489</v>
      </c>
      <c r="Q17" s="1306" t="str">
        <f t="shared" si="6"/>
        <v>产业集聚程度</v>
      </c>
      <c r="R17" s="1307" t="s">
        <v>5</v>
      </c>
      <c r="S17" s="1308">
        <f t="shared" si="0"/>
        <v>100</v>
      </c>
      <c r="T17" s="1307" t="s">
        <v>5</v>
      </c>
      <c r="U17" s="1308">
        <f t="shared" si="1"/>
        <v>100</v>
      </c>
      <c r="V17" s="1307" t="s">
        <v>5</v>
      </c>
      <c r="W17" s="1308">
        <f t="shared" si="2"/>
        <v>100</v>
      </c>
      <c r="X17" s="1302"/>
      <c r="Y17" s="3596" t="s">
        <v>489</v>
      </c>
      <c r="Z17" s="1309" t="str">
        <f t="shared" si="7"/>
        <v>产业集聚程度</v>
      </c>
      <c r="AA17" s="1309">
        <f t="shared" si="3"/>
        <v>1</v>
      </c>
      <c r="AB17" s="1309">
        <f t="shared" si="4"/>
        <v>1</v>
      </c>
      <c r="AC17" s="1309">
        <f t="shared" si="5"/>
        <v>1</v>
      </c>
    </row>
    <row r="18" spans="1:29" ht="15">
      <c r="A18" s="482"/>
      <c r="B18" s="799"/>
      <c r="C18" s="526"/>
      <c r="D18" s="505"/>
      <c r="E18" s="504"/>
      <c r="F18" s="505"/>
      <c r="G18" s="504"/>
      <c r="H18" s="509"/>
      <c r="I18" s="504"/>
      <c r="J18" s="505"/>
      <c r="K18" s="481"/>
      <c r="L18" s="1749"/>
      <c r="M18" s="1742"/>
      <c r="N18" s="1742"/>
      <c r="O18" s="1748"/>
      <c r="P18" s="3597"/>
      <c r="Q18" s="1306"/>
      <c r="R18" s="1307"/>
      <c r="S18" s="1308"/>
      <c r="T18" s="1307"/>
      <c r="U18" s="1308"/>
      <c r="V18" s="1307"/>
      <c r="W18" s="1308"/>
      <c r="X18" s="1302"/>
      <c r="Y18" s="3597"/>
      <c r="Z18" s="1309"/>
      <c r="AA18" s="1309">
        <v>1</v>
      </c>
      <c r="AB18" s="1309">
        <v>1</v>
      </c>
      <c r="AC18" s="1309">
        <v>1</v>
      </c>
    </row>
    <row r="19" spans="1:29" ht="85.5">
      <c r="A19" s="482"/>
      <c r="B19" s="677" t="s">
        <v>492</v>
      </c>
      <c r="C19" s="801" t="str">
        <f>估价对象房地状况!G16</f>
        <v>估价对象周边道路状况、公共交通通达情况、停车便捷程度，综合评价交通便捷度较好</v>
      </c>
      <c r="D19" s="509">
        <v>100</v>
      </c>
      <c r="E19" s="512"/>
      <c r="F19" s="515">
        <f>SUMIF(86:86,E20,87:87)-SUMIF(86:86,C20,87:87)+100</f>
        <v>100</v>
      </c>
      <c r="G19" s="512"/>
      <c r="H19" s="515">
        <f>SUMIF(86:86,G20,87:87)-SUMIF(86:86,C20,87:87)+100</f>
        <v>100</v>
      </c>
      <c r="I19" s="514"/>
      <c r="J19" s="509">
        <f>SUMIF(86:86,I20,87:87)-SUMIF(86:86,C20,87:87)+100</f>
        <v>100</v>
      </c>
      <c r="K19" s="485"/>
      <c r="L19" s="1749"/>
      <c r="M19" s="1742"/>
      <c r="N19" s="1742"/>
      <c r="O19" s="1748"/>
      <c r="P19" s="3597"/>
      <c r="Q19" s="1306" t="str">
        <f>B19</f>
        <v>交通便捷度</v>
      </c>
      <c r="R19" s="1307" t="s">
        <v>5</v>
      </c>
      <c r="S19" s="1308">
        <f>F19</f>
        <v>100</v>
      </c>
      <c r="T19" s="1307" t="s">
        <v>5</v>
      </c>
      <c r="U19" s="1308">
        <f>H19</f>
        <v>100</v>
      </c>
      <c r="V19" s="1307" t="s">
        <v>5</v>
      </c>
      <c r="W19" s="1308">
        <f>J19</f>
        <v>100</v>
      </c>
      <c r="X19" s="1302"/>
      <c r="Y19" s="3597"/>
      <c r="Z19" s="1309" t="str">
        <f>Q19</f>
        <v>交通便捷度</v>
      </c>
      <c r="AA19" s="1309">
        <f t="shared" si="3"/>
        <v>1</v>
      </c>
      <c r="AB19" s="1309">
        <f t="shared" si="4"/>
        <v>1</v>
      </c>
      <c r="AC19" s="1309">
        <f t="shared" si="5"/>
        <v>1</v>
      </c>
    </row>
    <row r="20" spans="1:29" ht="15">
      <c r="A20" s="482"/>
      <c r="B20" s="843"/>
      <c r="C20" s="526"/>
      <c r="D20" s="505"/>
      <c r="E20" s="506"/>
      <c r="F20" s="505"/>
      <c r="G20" s="506"/>
      <c r="H20" s="505"/>
      <c r="I20" s="508"/>
      <c r="J20" s="505"/>
      <c r="K20" s="481"/>
      <c r="L20" s="1749"/>
      <c r="M20" s="1742"/>
      <c r="N20" s="1742"/>
      <c r="O20" s="1748"/>
      <c r="P20" s="3597"/>
      <c r="Q20" s="1306"/>
      <c r="R20" s="1307"/>
      <c r="S20" s="1308"/>
      <c r="T20" s="1307"/>
      <c r="U20" s="1308"/>
      <c r="V20" s="1307"/>
      <c r="W20" s="1308"/>
      <c r="X20" s="1302"/>
      <c r="Y20" s="3597"/>
      <c r="Z20" s="1309"/>
      <c r="AA20" s="1309">
        <v>1</v>
      </c>
      <c r="AB20" s="1309">
        <v>1</v>
      </c>
      <c r="AC20" s="1309">
        <v>1</v>
      </c>
    </row>
    <row r="21" spans="1:29" ht="27">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19"/>
      <c r="L21" s="1749"/>
      <c r="M21" s="1742"/>
      <c r="N21" s="1742"/>
      <c r="O21" s="1748"/>
      <c r="P21" s="3597"/>
      <c r="Q21" s="1306" t="str">
        <f t="shared" ref="Q21:Q35" si="8">B21</f>
        <v>区域土地利用方向</v>
      </c>
      <c r="R21" s="1307" t="s">
        <v>5</v>
      </c>
      <c r="S21" s="1308">
        <f>F21</f>
        <v>100</v>
      </c>
      <c r="T21" s="1307" t="s">
        <v>5</v>
      </c>
      <c r="U21" s="1308">
        <f>H21</f>
        <v>100</v>
      </c>
      <c r="V21" s="1307" t="s">
        <v>5</v>
      </c>
      <c r="W21" s="1308">
        <f>J21</f>
        <v>100</v>
      </c>
      <c r="X21" s="1302"/>
      <c r="Y21" s="3597"/>
      <c r="Z21" s="1309" t="str">
        <f>Q21</f>
        <v>区域土地利用方向</v>
      </c>
      <c r="AA21" s="1309">
        <f t="shared" si="3"/>
        <v>1</v>
      </c>
      <c r="AB21" s="1309">
        <f t="shared" si="4"/>
        <v>1</v>
      </c>
      <c r="AC21" s="1309">
        <f t="shared" si="5"/>
        <v>1</v>
      </c>
    </row>
    <row r="22" spans="1:29" ht="15">
      <c r="A22" s="466"/>
      <c r="B22" s="544"/>
      <c r="C22" s="526"/>
      <c r="D22" s="505"/>
      <c r="E22" s="506"/>
      <c r="F22" s="507"/>
      <c r="G22" s="508"/>
      <c r="H22" s="507"/>
      <c r="I22" s="508"/>
      <c r="J22" s="507"/>
      <c r="K22" s="1141"/>
      <c r="L22" s="1749"/>
      <c r="M22" s="1742"/>
      <c r="N22" s="1742"/>
      <c r="O22" s="1748"/>
      <c r="P22" s="3597"/>
      <c r="Q22" s="1306"/>
      <c r="R22" s="1307"/>
      <c r="S22" s="1308"/>
      <c r="T22" s="1307"/>
      <c r="U22" s="1308"/>
      <c r="V22" s="1307"/>
      <c r="W22" s="1308"/>
      <c r="X22" s="1302"/>
      <c r="Y22" s="3597"/>
      <c r="Z22" s="1309"/>
      <c r="AA22" s="1309"/>
      <c r="AB22" s="1309"/>
      <c r="AC22" s="1309"/>
    </row>
    <row r="23" spans="1:29" ht="71.25">
      <c r="A23" s="466"/>
      <c r="B23" s="843" t="s">
        <v>547</v>
      </c>
      <c r="C23" s="801"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c r="L23" s="1749"/>
      <c r="M23" s="1742"/>
      <c r="N23" s="1742"/>
      <c r="O23" s="1748"/>
      <c r="P23" s="3597"/>
      <c r="Q23" s="1306" t="str">
        <f t="shared" si="8"/>
        <v>环境状况</v>
      </c>
      <c r="R23" s="1307" t="s">
        <v>5</v>
      </c>
      <c r="S23" s="1308">
        <f>F23</f>
        <v>100</v>
      </c>
      <c r="T23" s="1307" t="s">
        <v>5</v>
      </c>
      <c r="U23" s="1308">
        <f>H23</f>
        <v>100</v>
      </c>
      <c r="V23" s="1307" t="s">
        <v>5</v>
      </c>
      <c r="W23" s="1308">
        <f>J23</f>
        <v>100</v>
      </c>
      <c r="X23" s="1302"/>
      <c r="Y23" s="3597"/>
      <c r="Z23" s="1309" t="str">
        <f>Q23</f>
        <v>环境状况</v>
      </c>
      <c r="AA23" s="1309">
        <f t="shared" si="3"/>
        <v>1</v>
      </c>
      <c r="AB23" s="1309">
        <f t="shared" si="4"/>
        <v>1</v>
      </c>
      <c r="AC23" s="1309">
        <f t="shared" si="5"/>
        <v>1</v>
      </c>
    </row>
    <row r="24" spans="1:29" ht="15">
      <c r="A24" s="466"/>
      <c r="B24" s="544"/>
      <c r="C24" s="526"/>
      <c r="D24" s="505"/>
      <c r="E24" s="504"/>
      <c r="F24" s="505"/>
      <c r="G24" s="504"/>
      <c r="H24" s="505"/>
      <c r="I24" s="526"/>
      <c r="J24" s="505"/>
      <c r="K24" s="481"/>
      <c r="L24" s="1749"/>
      <c r="M24" s="1742"/>
      <c r="N24" s="1742"/>
      <c r="O24" s="1748"/>
      <c r="P24" s="3597"/>
      <c r="Q24" s="1306"/>
      <c r="R24" s="1307"/>
      <c r="S24" s="1308"/>
      <c r="T24" s="1307"/>
      <c r="U24" s="1308"/>
      <c r="V24" s="1307"/>
      <c r="W24" s="1308"/>
      <c r="X24" s="1302"/>
      <c r="Y24" s="3597"/>
      <c r="Z24" s="1309"/>
      <c r="AA24" s="1309">
        <v>1</v>
      </c>
      <c r="AB24" s="1309">
        <v>1</v>
      </c>
      <c r="AC24" s="1309">
        <v>1</v>
      </c>
    </row>
    <row r="25" spans="1:29" s="1059" customFormat="1" ht="42.75">
      <c r="A25" s="527"/>
      <c r="B25" s="2052" t="s">
        <v>1831</v>
      </c>
      <c r="C25" s="801"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3"/>
      <c r="M25" s="1640"/>
      <c r="N25" s="1640"/>
      <c r="O25" s="1744"/>
      <c r="P25" s="3597"/>
      <c r="Q25" s="818" t="str">
        <f t="shared" si="8"/>
        <v>公共配套设施</v>
      </c>
      <c r="R25" s="1303" t="s">
        <v>5</v>
      </c>
      <c r="S25" s="1304">
        <f>F25</f>
        <v>100</v>
      </c>
      <c r="T25" s="1303" t="s">
        <v>5</v>
      </c>
      <c r="U25" s="1304">
        <f>H25</f>
        <v>100</v>
      </c>
      <c r="V25" s="1303" t="s">
        <v>5</v>
      </c>
      <c r="W25" s="1304">
        <f>J25</f>
        <v>100</v>
      </c>
      <c r="X25" s="1305"/>
      <c r="Y25" s="3597"/>
      <c r="Z25" s="996" t="str">
        <f>Q25</f>
        <v>公共配套设施</v>
      </c>
      <c r="AA25" s="1309">
        <f>D25/F25</f>
        <v>1</v>
      </c>
      <c r="AB25" s="1309">
        <f>D25/H25</f>
        <v>1</v>
      </c>
      <c r="AC25" s="1309">
        <f>D25/J25</f>
        <v>1</v>
      </c>
    </row>
    <row r="26" spans="1:29" s="1059" customFormat="1" ht="15">
      <c r="A26" s="527"/>
      <c r="B26" s="544"/>
      <c r="C26" s="2051"/>
      <c r="D26" s="505"/>
      <c r="E26" s="504"/>
      <c r="F26" s="505"/>
      <c r="G26" s="504"/>
      <c r="H26" s="505"/>
      <c r="I26" s="526"/>
      <c r="J26" s="505"/>
      <c r="K26" s="481"/>
      <c r="L26" s="1743"/>
      <c r="M26" s="1640"/>
      <c r="N26" s="1640"/>
      <c r="O26" s="1744"/>
      <c r="P26" s="3597"/>
      <c r="Q26" s="818"/>
      <c r="R26" s="1303"/>
      <c r="S26" s="1304"/>
      <c r="T26" s="1303"/>
      <c r="U26" s="1304"/>
      <c r="V26" s="1303"/>
      <c r="W26" s="1304"/>
      <c r="X26" s="1305"/>
      <c r="Y26" s="3597"/>
      <c r="Z26" s="996"/>
      <c r="AA26" s="996">
        <v>1</v>
      </c>
      <c r="AB26" s="996">
        <v>1</v>
      </c>
      <c r="AC26" s="996">
        <v>1</v>
      </c>
    </row>
    <row r="27" spans="1:29" s="1059" customFormat="1" ht="42.75">
      <c r="A27" s="527"/>
      <c r="B27" s="2052" t="s">
        <v>1832</v>
      </c>
      <c r="C27" s="801"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3"/>
      <c r="M27" s="1640"/>
      <c r="N27" s="1640"/>
      <c r="O27" s="1744"/>
      <c r="P27" s="3597"/>
      <c r="Q27" s="818" t="str">
        <f>B27</f>
        <v>基础设施水平</v>
      </c>
      <c r="R27" s="1303" t="s">
        <v>5</v>
      </c>
      <c r="S27" s="1304">
        <f>F27</f>
        <v>100</v>
      </c>
      <c r="T27" s="1303" t="s">
        <v>5</v>
      </c>
      <c r="U27" s="1304">
        <f>H27</f>
        <v>100</v>
      </c>
      <c r="V27" s="1303" t="s">
        <v>5</v>
      </c>
      <c r="W27" s="1304">
        <f>J27</f>
        <v>100</v>
      </c>
      <c r="X27" s="1305"/>
      <c r="Y27" s="3597"/>
      <c r="Z27" s="996" t="str">
        <f>Q27</f>
        <v>基础设施水平</v>
      </c>
      <c r="AA27" s="1309">
        <f>D27/F27</f>
        <v>1</v>
      </c>
      <c r="AB27" s="1309">
        <f>D27/H27</f>
        <v>1</v>
      </c>
      <c r="AC27" s="1309">
        <f>D27/J27</f>
        <v>1</v>
      </c>
    </row>
    <row r="28" spans="1:29" s="1059" customFormat="1" ht="15">
      <c r="A28" s="527"/>
      <c r="B28" s="544"/>
      <c r="C28" s="2051"/>
      <c r="D28" s="505"/>
      <c r="E28" s="529"/>
      <c r="F28" s="505"/>
      <c r="G28" s="529"/>
      <c r="H28" s="505"/>
      <c r="I28" s="529"/>
      <c r="J28" s="505"/>
      <c r="K28" s="481"/>
      <c r="L28" s="1743"/>
      <c r="M28" s="1640"/>
      <c r="N28" s="1640"/>
      <c r="O28" s="1744"/>
      <c r="P28" s="3597"/>
      <c r="Q28" s="818"/>
      <c r="R28" s="1303"/>
      <c r="S28" s="1304"/>
      <c r="T28" s="1303"/>
      <c r="U28" s="1304"/>
      <c r="V28" s="1303"/>
      <c r="W28" s="1304"/>
      <c r="X28" s="1305"/>
      <c r="Y28" s="3597"/>
      <c r="Z28" s="996"/>
      <c r="AA28" s="996">
        <v>1</v>
      </c>
      <c r="AB28" s="996">
        <v>1</v>
      </c>
      <c r="AC28" s="996">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9"/>
      <c r="M29" s="1742"/>
      <c r="N29" s="1742"/>
      <c r="O29" s="1748"/>
      <c r="P29" s="3597"/>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597"/>
      <c r="Z29" s="1309" t="str">
        <f t="shared" ref="Z29:Z42" si="12">Q29</f>
        <v>临街状况</v>
      </c>
      <c r="AA29" s="1309">
        <f t="shared" si="3"/>
        <v>1</v>
      </c>
      <c r="AB29" s="1309">
        <f t="shared" si="4"/>
        <v>1</v>
      </c>
      <c r="AC29" s="1309">
        <f t="shared" si="5"/>
        <v>1</v>
      </c>
    </row>
    <row r="30" spans="1:29" ht="28.5">
      <c r="A30" s="482"/>
      <c r="B30" s="843" t="s">
        <v>497</v>
      </c>
      <c r="C30" s="2054">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9"/>
      <c r="M30" s="1742"/>
      <c r="N30" s="1742"/>
      <c r="O30" s="1748"/>
      <c r="P30" s="3597"/>
      <c r="Q30" s="1306" t="str">
        <f t="shared" si="8"/>
        <v>毗邻道路的类型与等级</v>
      </c>
      <c r="R30" s="1307" t="s">
        <v>5</v>
      </c>
      <c r="S30" s="1308">
        <f t="shared" si="9"/>
        <v>100</v>
      </c>
      <c r="T30" s="1307" t="s">
        <v>5</v>
      </c>
      <c r="U30" s="1308">
        <f t="shared" si="10"/>
        <v>100</v>
      </c>
      <c r="V30" s="1307" t="s">
        <v>5</v>
      </c>
      <c r="W30" s="1308">
        <f t="shared" si="11"/>
        <v>100</v>
      </c>
      <c r="X30" s="1302"/>
      <c r="Y30" s="3597"/>
      <c r="Z30" s="1309" t="str">
        <f t="shared" si="12"/>
        <v>毗邻道路的类型与等级</v>
      </c>
      <c r="AA30" s="1309">
        <f t="shared" si="3"/>
        <v>1</v>
      </c>
      <c r="AB30" s="1309">
        <f t="shared" si="4"/>
        <v>1</v>
      </c>
      <c r="AC30" s="1309">
        <f t="shared" si="5"/>
        <v>1</v>
      </c>
    </row>
    <row r="31" spans="1:29" ht="15">
      <c r="A31" s="482"/>
      <c r="B31" s="544"/>
      <c r="C31" s="526"/>
      <c r="D31" s="505"/>
      <c r="E31" s="526"/>
      <c r="F31" s="505"/>
      <c r="G31" s="526"/>
      <c r="H31" s="505"/>
      <c r="I31" s="526"/>
      <c r="J31" s="505"/>
      <c r="K31" s="531"/>
      <c r="L31" s="1749"/>
      <c r="M31" s="1742"/>
      <c r="N31" s="1742"/>
      <c r="O31" s="1748"/>
      <c r="P31" s="3597"/>
      <c r="Q31" s="1306"/>
      <c r="R31" s="1307"/>
      <c r="S31" s="1308"/>
      <c r="T31" s="1307"/>
      <c r="U31" s="1308"/>
      <c r="V31" s="1307"/>
      <c r="W31" s="1308"/>
      <c r="X31" s="1302"/>
      <c r="Y31" s="3597"/>
      <c r="Z31" s="1309"/>
      <c r="AA31" s="1309">
        <v>1</v>
      </c>
      <c r="AB31" s="1309">
        <v>1</v>
      </c>
      <c r="AC31" s="1309">
        <v>1</v>
      </c>
    </row>
    <row r="32" spans="1:29" ht="15">
      <c r="A32" s="482"/>
      <c r="B32" s="477" t="s">
        <v>498</v>
      </c>
      <c r="C32" s="2055">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9"/>
      <c r="M32" s="1742"/>
      <c r="N32" s="1742"/>
      <c r="O32" s="1748"/>
      <c r="P32" s="3597"/>
      <c r="Q32" s="1306" t="str">
        <f t="shared" si="8"/>
        <v>土地级别</v>
      </c>
      <c r="R32" s="1307" t="s">
        <v>5</v>
      </c>
      <c r="S32" s="1308">
        <f t="shared" si="9"/>
        <v>100</v>
      </c>
      <c r="T32" s="1307" t="s">
        <v>5</v>
      </c>
      <c r="U32" s="1308">
        <f t="shared" si="10"/>
        <v>100</v>
      </c>
      <c r="V32" s="1307" t="s">
        <v>5</v>
      </c>
      <c r="W32" s="1308">
        <f t="shared" si="11"/>
        <v>100</v>
      </c>
      <c r="X32" s="1302"/>
      <c r="Y32" s="3597"/>
      <c r="Z32" s="1309" t="str">
        <f t="shared" si="12"/>
        <v>土地级别</v>
      </c>
      <c r="AA32" s="1309">
        <f t="shared" si="3"/>
        <v>1</v>
      </c>
      <c r="AB32" s="1309">
        <f t="shared" si="4"/>
        <v>1</v>
      </c>
      <c r="AC32" s="1309">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9"/>
      <c r="M33" s="1742"/>
      <c r="N33" s="1742"/>
      <c r="O33" s="1748"/>
      <c r="P33" s="3597"/>
      <c r="Q33" s="1306">
        <f t="shared" si="8"/>
        <v>111</v>
      </c>
      <c r="R33" s="1307" t="s">
        <v>5</v>
      </c>
      <c r="S33" s="1308">
        <f t="shared" si="9"/>
        <v>100</v>
      </c>
      <c r="T33" s="1307" t="s">
        <v>5</v>
      </c>
      <c r="U33" s="1308">
        <f t="shared" si="10"/>
        <v>100</v>
      </c>
      <c r="V33" s="1307" t="s">
        <v>5</v>
      </c>
      <c r="W33" s="1308">
        <f t="shared" si="11"/>
        <v>100</v>
      </c>
      <c r="X33" s="1302"/>
      <c r="Y33" s="3597"/>
      <c r="Z33" s="1309">
        <f t="shared" si="12"/>
        <v>111</v>
      </c>
      <c r="AA33" s="1309">
        <f t="shared" si="3"/>
        <v>1</v>
      </c>
      <c r="AB33" s="1309">
        <f t="shared" si="4"/>
        <v>1</v>
      </c>
      <c r="AC33" s="1309">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9"/>
      <c r="M34" s="1742"/>
      <c r="N34" s="1742"/>
      <c r="O34" s="1748"/>
      <c r="P34" s="3598" t="s">
        <v>499</v>
      </c>
      <c r="Q34" s="1306">
        <f t="shared" si="8"/>
        <v>111</v>
      </c>
      <c r="R34" s="1307" t="s">
        <v>5</v>
      </c>
      <c r="S34" s="1308">
        <f t="shared" si="9"/>
        <v>100</v>
      </c>
      <c r="T34" s="1307" t="s">
        <v>5</v>
      </c>
      <c r="U34" s="1308">
        <f t="shared" si="10"/>
        <v>100</v>
      </c>
      <c r="V34" s="1307" t="s">
        <v>5</v>
      </c>
      <c r="W34" s="1308">
        <f t="shared" si="11"/>
        <v>100</v>
      </c>
      <c r="X34" s="1302"/>
      <c r="Y34" s="3599" t="s">
        <v>499</v>
      </c>
      <c r="Z34" s="1309">
        <f t="shared" si="12"/>
        <v>111</v>
      </c>
      <c r="AA34" s="1309">
        <f t="shared" si="3"/>
        <v>1</v>
      </c>
      <c r="AB34" s="1309">
        <f t="shared" si="4"/>
        <v>1</v>
      </c>
      <c r="AC34" s="1309">
        <f t="shared" si="5"/>
        <v>1</v>
      </c>
    </row>
    <row r="35" spans="1:29" s="1133" customFormat="1" ht="15.75" thickBot="1">
      <c r="A35" s="538"/>
      <c r="B35" s="2053">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7"/>
      <c r="M35" s="1771"/>
      <c r="N35" s="1771"/>
      <c r="O35" s="1750"/>
      <c r="P35" s="3599"/>
      <c r="Q35" s="1306">
        <f t="shared" si="8"/>
        <v>111</v>
      </c>
      <c r="R35" s="1310" t="s">
        <v>5</v>
      </c>
      <c r="S35" s="1311">
        <f t="shared" si="9"/>
        <v>100</v>
      </c>
      <c r="T35" s="1310" t="s">
        <v>5</v>
      </c>
      <c r="U35" s="1311">
        <f t="shared" si="10"/>
        <v>100</v>
      </c>
      <c r="V35" s="1310" t="s">
        <v>5</v>
      </c>
      <c r="W35" s="1311">
        <f t="shared" si="11"/>
        <v>100</v>
      </c>
      <c r="X35" s="1312"/>
      <c r="Y35" s="3599"/>
      <c r="Z35" s="1313">
        <f t="shared" si="12"/>
        <v>111</v>
      </c>
      <c r="AA35" s="1309">
        <f t="shared" si="3"/>
        <v>1</v>
      </c>
      <c r="AB35" s="1309">
        <f t="shared" si="4"/>
        <v>1</v>
      </c>
      <c r="AC35" s="1309">
        <f t="shared" si="5"/>
        <v>1</v>
      </c>
    </row>
    <row r="36" spans="1:29" ht="15">
      <c r="A36" s="2204" t="s">
        <v>2037</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49"/>
      <c r="M36" s="1742"/>
      <c r="N36" s="1742"/>
      <c r="O36" s="1748"/>
      <c r="P36" s="3599"/>
      <c r="Q36" s="1306" t="str">
        <f>B36</f>
        <v>宗地面积</v>
      </c>
      <c r="R36" s="1307" t="s">
        <v>5</v>
      </c>
      <c r="S36" s="1308" t="e">
        <f t="shared" si="9"/>
        <v>#N/A</v>
      </c>
      <c r="T36" s="1307" t="s">
        <v>5</v>
      </c>
      <c r="U36" s="1308" t="e">
        <f t="shared" si="10"/>
        <v>#N/A</v>
      </c>
      <c r="V36" s="1307" t="s">
        <v>5</v>
      </c>
      <c r="W36" s="1308" t="e">
        <f t="shared" si="11"/>
        <v>#N/A</v>
      </c>
      <c r="X36" s="1302"/>
      <c r="Y36" s="3599"/>
      <c r="Z36" s="1309" t="str">
        <f t="shared" si="12"/>
        <v>宗地面积</v>
      </c>
      <c r="AA36" s="1309" t="e">
        <f t="shared" si="3"/>
        <v>#N/A</v>
      </c>
      <c r="AB36" s="1309" t="e">
        <f t="shared" si="4"/>
        <v>#N/A</v>
      </c>
      <c r="AC36" s="1309"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9"/>
      <c r="M37" s="1742"/>
      <c r="N37" s="1742"/>
      <c r="O37" s="1748"/>
      <c r="P37" s="3599"/>
      <c r="Q37" s="1306" t="str">
        <f t="shared" ref="Q37:Q42" si="13">B37</f>
        <v>宗地形状</v>
      </c>
      <c r="R37" s="1307" t="s">
        <v>5</v>
      </c>
      <c r="S37" s="1308">
        <f t="shared" si="9"/>
        <v>100</v>
      </c>
      <c r="T37" s="1307" t="s">
        <v>5</v>
      </c>
      <c r="U37" s="1308">
        <f t="shared" si="10"/>
        <v>100</v>
      </c>
      <c r="V37" s="1307" t="s">
        <v>5</v>
      </c>
      <c r="W37" s="1308">
        <f t="shared" si="11"/>
        <v>100</v>
      </c>
      <c r="X37" s="1302"/>
      <c r="Y37" s="3599"/>
      <c r="Z37" s="1309" t="str">
        <f t="shared" si="12"/>
        <v>宗地形状</v>
      </c>
      <c r="AA37" s="1309">
        <f t="shared" si="3"/>
        <v>1</v>
      </c>
      <c r="AB37" s="1309">
        <f t="shared" si="4"/>
        <v>1</v>
      </c>
      <c r="AC37" s="1309">
        <f t="shared" si="5"/>
        <v>1</v>
      </c>
    </row>
    <row r="38" spans="1:29" s="1059" customFormat="1" ht="15">
      <c r="A38" s="549"/>
      <c r="B38" s="1554"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3"/>
      <c r="M38" s="1640"/>
      <c r="N38" s="1640"/>
      <c r="O38" s="1744"/>
      <c r="P38" s="3599"/>
      <c r="Q38" s="1306" t="str">
        <f t="shared" si="13"/>
        <v>宗地开发程度</v>
      </c>
      <c r="R38" s="1303" t="s">
        <v>5</v>
      </c>
      <c r="S38" s="1304">
        <f t="shared" si="9"/>
        <v>100</v>
      </c>
      <c r="T38" s="1303" t="s">
        <v>5</v>
      </c>
      <c r="U38" s="1304">
        <f t="shared" si="10"/>
        <v>100</v>
      </c>
      <c r="V38" s="1303" t="s">
        <v>5</v>
      </c>
      <c r="W38" s="1304">
        <f t="shared" si="11"/>
        <v>100</v>
      </c>
      <c r="X38" s="1305"/>
      <c r="Y38" s="3599"/>
      <c r="Z38" s="996" t="str">
        <f t="shared" si="12"/>
        <v>宗地开发程度</v>
      </c>
      <c r="AA38" s="996">
        <f t="shared" si="3"/>
        <v>1</v>
      </c>
      <c r="AB38" s="996">
        <f t="shared" si="4"/>
        <v>1</v>
      </c>
      <c r="AC38" s="996">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9"/>
      <c r="M39" s="1742"/>
      <c r="N39" s="1742"/>
      <c r="O39" s="1748"/>
      <c r="P39" s="3599" t="s">
        <v>549</v>
      </c>
      <c r="Q39" s="1306" t="str">
        <f t="shared" si="13"/>
        <v>工程地质条件</v>
      </c>
      <c r="R39" s="1307" t="s">
        <v>5</v>
      </c>
      <c r="S39" s="1308">
        <f t="shared" si="9"/>
        <v>100</v>
      </c>
      <c r="T39" s="1307" t="s">
        <v>5</v>
      </c>
      <c r="U39" s="1308">
        <f t="shared" si="10"/>
        <v>100</v>
      </c>
      <c r="V39" s="1307" t="s">
        <v>5</v>
      </c>
      <c r="W39" s="1308">
        <f t="shared" si="11"/>
        <v>100</v>
      </c>
      <c r="X39" s="1302"/>
      <c r="Y39" s="3599" t="s">
        <v>549</v>
      </c>
      <c r="Z39" s="1309" t="str">
        <f t="shared" si="12"/>
        <v>工程地质条件</v>
      </c>
      <c r="AA39" s="1309">
        <f t="shared" si="3"/>
        <v>1</v>
      </c>
      <c r="AB39" s="1309">
        <f t="shared" si="4"/>
        <v>1</v>
      </c>
      <c r="AC39" s="1309">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9"/>
      <c r="M40" s="1742"/>
      <c r="N40" s="1742"/>
      <c r="O40" s="1748"/>
      <c r="P40" s="3599"/>
      <c r="Q40" s="1306">
        <f t="shared" si="13"/>
        <v>111</v>
      </c>
      <c r="R40" s="1307" t="s">
        <v>5</v>
      </c>
      <c r="S40" s="1308">
        <f t="shared" si="9"/>
        <v>100</v>
      </c>
      <c r="T40" s="1307" t="s">
        <v>5</v>
      </c>
      <c r="U40" s="1308">
        <f t="shared" si="10"/>
        <v>100</v>
      </c>
      <c r="V40" s="1307" t="s">
        <v>5</v>
      </c>
      <c r="W40" s="1308">
        <f t="shared" si="11"/>
        <v>100</v>
      </c>
      <c r="X40" s="1302"/>
      <c r="Y40" s="3599"/>
      <c r="Z40" s="1309">
        <f t="shared" si="12"/>
        <v>111</v>
      </c>
      <c r="AA40" s="1309">
        <f t="shared" si="3"/>
        <v>1</v>
      </c>
      <c r="AB40" s="1309">
        <f t="shared" si="4"/>
        <v>1</v>
      </c>
      <c r="AC40" s="1309">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9"/>
      <c r="M41" s="1742"/>
      <c r="N41" s="1742"/>
      <c r="O41" s="1748"/>
      <c r="P41" s="3599"/>
      <c r="Q41" s="1306">
        <f t="shared" si="13"/>
        <v>111</v>
      </c>
      <c r="R41" s="1307" t="s">
        <v>5</v>
      </c>
      <c r="S41" s="1308">
        <f t="shared" si="9"/>
        <v>100</v>
      </c>
      <c r="T41" s="1307" t="s">
        <v>5</v>
      </c>
      <c r="U41" s="1308">
        <f t="shared" si="10"/>
        <v>100</v>
      </c>
      <c r="V41" s="1307" t="s">
        <v>5</v>
      </c>
      <c r="W41" s="1308">
        <f t="shared" si="11"/>
        <v>100</v>
      </c>
      <c r="X41" s="1302"/>
      <c r="Y41" s="3599"/>
      <c r="Z41" s="1309">
        <f t="shared" si="12"/>
        <v>111</v>
      </c>
      <c r="AA41" s="1309">
        <f t="shared" si="3"/>
        <v>1</v>
      </c>
      <c r="AB41" s="1309">
        <f t="shared" si="4"/>
        <v>1</v>
      </c>
      <c r="AC41" s="1309">
        <f t="shared" si="5"/>
        <v>1</v>
      </c>
    </row>
    <row r="42" spans="1:29" s="1133" customFormat="1" ht="15.75"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7"/>
      <c r="M42" s="1771"/>
      <c r="N42" s="1771"/>
      <c r="O42" s="1750"/>
      <c r="P42" s="3599"/>
      <c r="Q42" s="1306">
        <f t="shared" si="13"/>
        <v>111</v>
      </c>
      <c r="R42" s="1310" t="s">
        <v>5</v>
      </c>
      <c r="S42" s="1311">
        <f t="shared" si="9"/>
        <v>100</v>
      </c>
      <c r="T42" s="1310" t="s">
        <v>5</v>
      </c>
      <c r="U42" s="1311">
        <f t="shared" si="10"/>
        <v>100</v>
      </c>
      <c r="V42" s="1310" t="s">
        <v>5</v>
      </c>
      <c r="W42" s="1311">
        <f t="shared" si="11"/>
        <v>100</v>
      </c>
      <c r="X42" s="1312"/>
      <c r="Y42" s="3599"/>
      <c r="Z42" s="1313">
        <f t="shared" si="12"/>
        <v>111</v>
      </c>
      <c r="AA42" s="1309">
        <f t="shared" si="3"/>
        <v>1</v>
      </c>
      <c r="AB42" s="1309">
        <f t="shared" si="4"/>
        <v>1</v>
      </c>
      <c r="AC42" s="1309">
        <f t="shared" si="5"/>
        <v>1</v>
      </c>
    </row>
    <row r="43" spans="1:29" ht="15">
      <c r="A43" s="556" t="s">
        <v>505</v>
      </c>
      <c r="B43" s="557" t="s">
        <v>2192</v>
      </c>
      <c r="C43" s="558" t="s">
        <v>0</v>
      </c>
      <c r="D43" s="559"/>
      <c r="E43" s="560"/>
      <c r="F43" s="561"/>
      <c r="G43" s="562"/>
      <c r="H43" s="563"/>
      <c r="I43" s="560"/>
      <c r="J43" s="563"/>
      <c r="K43" s="1134"/>
      <c r="L43" s="1751"/>
      <c r="M43" s="1742"/>
      <c r="N43" s="1742"/>
      <c r="O43" s="1742"/>
      <c r="P43" s="3594" t="str">
        <f>A43</f>
        <v>成交单价</v>
      </c>
      <c r="Q43" s="3594"/>
      <c r="R43" s="3610">
        <f>E43</f>
        <v>0</v>
      </c>
      <c r="S43" s="3610"/>
      <c r="T43" s="3610">
        <f>G43</f>
        <v>0</v>
      </c>
      <c r="U43" s="3610"/>
      <c r="V43" s="3610">
        <f>I43</f>
        <v>0</v>
      </c>
      <c r="W43" s="3610"/>
      <c r="X43" s="799"/>
      <c r="Y43" s="1314"/>
      <c r="Z43" s="799"/>
      <c r="AA43" s="799"/>
      <c r="AB43" s="799"/>
      <c r="AC43" s="799"/>
    </row>
    <row r="44" spans="1:29" ht="15.75" thickBot="1">
      <c r="A44" s="564" t="s">
        <v>1975</v>
      </c>
      <c r="B44" s="565"/>
      <c r="C44" s="566" t="e">
        <f>R45</f>
        <v>#DIV/0!</v>
      </c>
      <c r="D44" s="2550" t="s">
        <v>2256</v>
      </c>
      <c r="E44" s="566" t="e">
        <f>R44</f>
        <v>#DIV/0!</v>
      </c>
      <c r="F44" s="2551"/>
      <c r="G44" s="567" t="e">
        <f>T44</f>
        <v>#DIV/0!</v>
      </c>
      <c r="H44" s="2551"/>
      <c r="I44" s="566" t="e">
        <f>V44</f>
        <v>#DIV/0!</v>
      </c>
      <c r="J44" s="2551"/>
      <c r="K44" s="2552">
        <f>F44+H44+J44</f>
        <v>0</v>
      </c>
      <c r="L44" s="1751"/>
      <c r="M44" s="1742"/>
      <c r="N44" s="1742"/>
      <c r="O44" s="1742"/>
      <c r="P44" s="3594" t="str">
        <f>A44</f>
        <v>比较价格（元/平方米）</v>
      </c>
      <c r="Q44" s="3594"/>
      <c r="R44" s="3618" t="e">
        <f>ROUND(PRODUCT(R43,AA9:AA42),0)</f>
        <v>#DIV/0!</v>
      </c>
      <c r="S44" s="3618"/>
      <c r="T44" s="3618" t="e">
        <f>ROUND(PRODUCT(T43,AB9:AB42),0)</f>
        <v>#DIV/0!</v>
      </c>
      <c r="U44" s="3618"/>
      <c r="V44" s="3618" t="e">
        <f>ROUND(PRODUCT(V43,AC9:AC42),0)</f>
        <v>#DIV/0!</v>
      </c>
      <c r="W44" s="3618"/>
      <c r="X44" s="799"/>
      <c r="Y44" s="799"/>
      <c r="Z44" s="799"/>
      <c r="AA44" s="799"/>
      <c r="AB44" s="799"/>
      <c r="AC44" s="799"/>
    </row>
    <row r="45" spans="1:29" ht="15.75" thickBot="1">
      <c r="A45" s="568" t="s">
        <v>2193</v>
      </c>
      <c r="B45" s="569"/>
      <c r="C45" s="570" t="e">
        <f>R45</f>
        <v>#DIV/0!</v>
      </c>
      <c r="D45" s="570"/>
      <c r="E45" s="570"/>
      <c r="F45" s="570"/>
      <c r="G45" s="570"/>
      <c r="H45" s="570"/>
      <c r="I45" s="570"/>
      <c r="J45" s="570"/>
      <c r="K45" s="1135"/>
      <c r="L45" s="1751"/>
      <c r="M45" s="1742"/>
      <c r="N45" s="1742"/>
      <c r="O45" s="1742"/>
      <c r="P45" s="3600" t="str">
        <f>A45</f>
        <v>估价对象XX用房的比较价格（楼面单价，元/平方米）</v>
      </c>
      <c r="Q45" s="3601"/>
      <c r="R45" s="3627" t="e">
        <f>ROUND(IF(D44="简单平均",AVERAGE(R44:W44),R44*F44+T44*H44+V44*J44),0)</f>
        <v>#DIV/0!</v>
      </c>
      <c r="S45" s="3627"/>
      <c r="T45" s="3627"/>
      <c r="U45" s="3627"/>
      <c r="V45" s="3627"/>
      <c r="W45" s="3627"/>
      <c r="X45" s="799"/>
      <c r="Y45" s="799"/>
      <c r="Z45" s="799"/>
      <c r="AA45" s="799"/>
      <c r="AB45" s="799"/>
      <c r="AC45" s="799"/>
    </row>
    <row r="46" spans="1:29">
      <c r="A46" s="2721"/>
      <c r="B46" s="2721"/>
      <c r="C46" s="2721"/>
      <c r="D46" s="2721"/>
      <c r="E46" s="2721"/>
      <c r="F46" s="2721"/>
      <c r="G46" s="2723"/>
      <c r="H46" s="2721"/>
      <c r="I46" s="2721"/>
      <c r="J46" s="2721"/>
      <c r="K46" s="2724"/>
      <c r="L46" s="1755"/>
      <c r="M46" s="1742"/>
      <c r="N46" s="1742"/>
      <c r="O46" s="1742"/>
      <c r="P46" s="1742"/>
      <c r="Q46" s="1742"/>
      <c r="R46" s="1742"/>
      <c r="S46" s="1742"/>
      <c r="T46" s="1742"/>
      <c r="U46" s="1742"/>
      <c r="V46" s="1742"/>
      <c r="W46" s="1742"/>
      <c r="X46" s="1742"/>
      <c r="Y46" s="1742"/>
      <c r="Z46" s="1742"/>
      <c r="AA46" s="1742"/>
      <c r="AB46" s="1742"/>
      <c r="AC46" s="1742"/>
    </row>
    <row r="47" spans="1:29">
      <c r="A47" s="2721"/>
      <c r="B47" s="2721"/>
      <c r="C47" s="2721"/>
      <c r="D47" s="2721"/>
      <c r="E47" s="2721"/>
      <c r="F47" s="2721"/>
      <c r="G47" s="2721"/>
      <c r="H47" s="2721"/>
      <c r="I47" s="2721"/>
      <c r="J47" s="2721"/>
      <c r="K47" s="2724"/>
      <c r="L47" s="1755"/>
      <c r="M47" s="1742"/>
      <c r="N47" s="1742"/>
      <c r="O47" s="1742"/>
      <c r="P47" s="1742"/>
      <c r="Q47" s="1742"/>
      <c r="R47" s="1742"/>
      <c r="S47" s="1742"/>
      <c r="T47" s="1742"/>
      <c r="U47" s="1742"/>
      <c r="V47" s="1742"/>
      <c r="W47" s="1742"/>
      <c r="X47" s="1742"/>
      <c r="Y47" s="1742"/>
      <c r="Z47" s="1742"/>
      <c r="AA47" s="1742"/>
      <c r="AB47" s="1742"/>
      <c r="AC47" s="1742"/>
    </row>
    <row r="48" spans="1:29" ht="13.5" customHeight="1">
      <c r="A48" s="2721"/>
      <c r="B48" s="2721"/>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4"/>
      <c r="L48" s="1755"/>
      <c r="M48" s="1742"/>
      <c r="N48" s="1742"/>
      <c r="O48" s="1742"/>
      <c r="P48" s="1742"/>
      <c r="Q48" s="1742"/>
      <c r="R48" s="1742"/>
      <c r="S48" s="1742"/>
      <c r="T48" s="1742"/>
      <c r="U48" s="1742"/>
      <c r="V48" s="1742"/>
      <c r="W48" s="1742"/>
      <c r="X48" s="1742"/>
      <c r="Y48" s="1742"/>
      <c r="Z48" s="1742"/>
      <c r="AA48" s="1742"/>
      <c r="AB48" s="1742"/>
      <c r="AC48" s="1742"/>
    </row>
    <row r="49" spans="1:29" ht="13.5" customHeight="1">
      <c r="A49" s="2721"/>
      <c r="B49" s="2721"/>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4"/>
      <c r="L49" s="1755"/>
      <c r="M49" s="1742"/>
      <c r="N49" s="1742"/>
      <c r="O49" s="1742"/>
      <c r="P49" s="1742"/>
      <c r="Q49" s="1742"/>
      <c r="R49" s="1742"/>
      <c r="S49" s="1742"/>
      <c r="T49" s="1742"/>
      <c r="U49" s="1742"/>
      <c r="V49" s="1742"/>
      <c r="W49" s="1742"/>
      <c r="X49" s="1742"/>
      <c r="Y49" s="1742"/>
      <c r="Z49" s="1742"/>
      <c r="AA49" s="1742"/>
      <c r="AB49" s="1742"/>
      <c r="AC49" s="1742"/>
    </row>
    <row r="50" spans="1:29" s="1138" customFormat="1" ht="13.5" customHeight="1">
      <c r="A50" s="2722"/>
      <c r="B50" s="2722"/>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5"/>
      <c r="L50" s="1758"/>
      <c r="M50" s="1752"/>
      <c r="N50" s="1752"/>
      <c r="O50" s="1752"/>
      <c r="P50" s="1752"/>
      <c r="Q50" s="1752"/>
      <c r="R50" s="1752"/>
      <c r="S50" s="1752"/>
      <c r="T50" s="1752"/>
      <c r="U50" s="1752"/>
      <c r="V50" s="1752"/>
      <c r="W50" s="1752"/>
      <c r="X50" s="1752"/>
      <c r="Y50" s="1752"/>
      <c r="Z50" s="1752"/>
      <c r="AA50" s="1752"/>
      <c r="AB50" s="1752"/>
      <c r="AC50" s="1752"/>
    </row>
    <row r="51" spans="1:29" s="1138" customFormat="1" ht="15" thickBot="1">
      <c r="A51" s="2722"/>
      <c r="B51" s="2733"/>
      <c r="C51" s="1756"/>
      <c r="D51" s="1752"/>
      <c r="E51" s="1752"/>
      <c r="F51" s="1752"/>
      <c r="G51" s="1752"/>
      <c r="H51" s="1752"/>
      <c r="I51" s="1752"/>
      <c r="J51" s="1752"/>
      <c r="K51" s="2725"/>
      <c r="L51" s="1758"/>
      <c r="M51" s="1752"/>
      <c r="N51" s="1752"/>
      <c r="O51" s="1752"/>
      <c r="P51" s="1752"/>
      <c r="Q51" s="1752"/>
      <c r="R51" s="1752"/>
      <c r="S51" s="1752"/>
      <c r="T51" s="1752"/>
      <c r="U51" s="1752"/>
      <c r="V51" s="1752"/>
      <c r="W51" s="1752"/>
      <c r="X51" s="1752"/>
      <c r="Y51" s="1752"/>
      <c r="Z51" s="1752"/>
      <c r="AA51" s="1752"/>
      <c r="AB51" s="1752"/>
      <c r="AC51" s="1752"/>
    </row>
    <row r="52" spans="1:29" ht="27">
      <c r="A52" s="576" t="s">
        <v>509</v>
      </c>
      <c r="B52" s="577" t="s">
        <v>510</v>
      </c>
      <c r="C52" s="1300" t="s">
        <v>1253</v>
      </c>
      <c r="D52" s="1821" t="s">
        <v>1650</v>
      </c>
      <c r="E52" s="578" t="s">
        <v>511</v>
      </c>
      <c r="F52" s="1610" t="s">
        <v>512</v>
      </c>
      <c r="G52" s="3623" t="s">
        <v>1642</v>
      </c>
      <c r="H52" s="3624"/>
      <c r="I52" s="1611" t="s">
        <v>1465</v>
      </c>
      <c r="J52" s="1297" t="str">
        <f>项目基本情况!F41</f>
        <v>江苏省</v>
      </c>
      <c r="K52" s="1759" t="s">
        <v>1252</v>
      </c>
      <c r="L52" s="1755"/>
      <c r="M52" s="1742"/>
      <c r="N52" s="1742"/>
      <c r="O52" s="1742"/>
      <c r="P52" s="1742"/>
      <c r="Q52" s="1742"/>
      <c r="R52" s="1742"/>
      <c r="S52" s="1742"/>
      <c r="T52" s="1742"/>
      <c r="U52" s="1742"/>
      <c r="V52" s="1742"/>
      <c r="W52" s="1742"/>
      <c r="X52" s="1742"/>
      <c r="Y52" s="1742"/>
      <c r="Z52" s="1742"/>
      <c r="AA52" s="1742"/>
      <c r="AB52" s="1742"/>
      <c r="AC52" s="1742"/>
    </row>
    <row r="53" spans="1:29" s="1139" customFormat="1" ht="12.75">
      <c r="A53" s="580" t="s">
        <v>513</v>
      </c>
      <c r="B53" s="581" t="e">
        <f>C45</f>
        <v>#DIV/0!</v>
      </c>
      <c r="C53" s="582">
        <v>1</v>
      </c>
      <c r="D53" s="1822">
        <v>1</v>
      </c>
      <c r="E53" s="582">
        <f>'数据-汇总表'!E8+'数据-汇总表'!E9</f>
        <v>302725.5</v>
      </c>
      <c r="F53" s="1609" t="e">
        <f t="shared" ref="F53:F61" si="14">ROUND(B53*E53/10000,0)</f>
        <v>#DIV/0!</v>
      </c>
      <c r="G53" s="3625"/>
      <c r="H53" s="3626"/>
      <c r="I53" s="1612">
        <v>1</v>
      </c>
      <c r="J53" s="1298">
        <v>1</v>
      </c>
      <c r="K53" s="2726"/>
      <c r="L53" s="1760"/>
      <c r="M53" s="1760"/>
      <c r="N53" s="1760"/>
      <c r="O53" s="1760"/>
      <c r="P53" s="1760"/>
      <c r="Q53" s="1760"/>
      <c r="R53" s="1760"/>
      <c r="S53" s="1760"/>
      <c r="T53" s="1760"/>
      <c r="U53" s="1760"/>
      <c r="V53" s="1760"/>
      <c r="W53" s="1760"/>
      <c r="X53" s="1760"/>
      <c r="Y53" s="1760"/>
      <c r="Z53" s="1760"/>
      <c r="AA53" s="1760"/>
      <c r="AB53" s="1760"/>
      <c r="AC53" s="1760"/>
    </row>
    <row r="54" spans="1:29" s="1139" customFormat="1" ht="12.75">
      <c r="A54" s="584" t="s">
        <v>514</v>
      </c>
      <c r="B54" s="585" t="e">
        <f>ROUND($C$45*C54*D54,0)</f>
        <v>#DIV/0!</v>
      </c>
      <c r="C54" s="348">
        <f t="shared" ref="C54:C61" si="15">IF($C$52="北京市系数",I54,J54)</f>
        <v>0</v>
      </c>
      <c r="D54" s="1823">
        <v>0.25</v>
      </c>
      <c r="E54" s="586"/>
      <c r="F54" s="1609" t="e">
        <f t="shared" si="14"/>
        <v>#DIV/0!</v>
      </c>
      <c r="G54" s="3030" t="s">
        <v>1643</v>
      </c>
      <c r="H54" s="1613">
        <f>项目基本情况!B43</f>
        <v>0</v>
      </c>
      <c r="I54" s="1612">
        <f>SUMIF(修正!$A$57:$A$68,H54,修正!B57:B68)</f>
        <v>0</v>
      </c>
      <c r="J54" s="1299"/>
      <c r="K54" s="2726"/>
      <c r="L54" s="1760"/>
      <c r="M54" s="1760"/>
      <c r="N54" s="1760"/>
      <c r="O54" s="1760"/>
      <c r="P54" s="1760"/>
      <c r="Q54" s="1760"/>
      <c r="R54" s="1760"/>
      <c r="S54" s="1760"/>
      <c r="T54" s="1760"/>
      <c r="U54" s="1760"/>
      <c r="V54" s="1760"/>
      <c r="W54" s="1760"/>
      <c r="X54" s="1760"/>
      <c r="Y54" s="1760"/>
      <c r="Z54" s="1760"/>
      <c r="AA54" s="1760"/>
      <c r="AB54" s="1760"/>
      <c r="AC54" s="1760"/>
    </row>
    <row r="55" spans="1:29" s="1139" customFormat="1" ht="12.75">
      <c r="A55" s="584" t="s">
        <v>515</v>
      </c>
      <c r="B55" s="585" t="e">
        <f t="shared" ref="B55:B61" si="16">ROUND($C$45*C55*D55,0)</f>
        <v>#DIV/0!</v>
      </c>
      <c r="C55" s="348">
        <f t="shared" si="15"/>
        <v>0</v>
      </c>
      <c r="D55" s="1823">
        <v>0.25</v>
      </c>
      <c r="E55" s="586"/>
      <c r="F55" s="1609" t="e">
        <f t="shared" si="14"/>
        <v>#DIV/0!</v>
      </c>
      <c r="G55" s="3031"/>
      <c r="H55" s="1614">
        <f>项目基本情况!B43</f>
        <v>0</v>
      </c>
      <c r="I55" s="1612">
        <f>SUMIF(修正!$A$57:$A$68,H55,修正!C57:C68)</f>
        <v>0</v>
      </c>
      <c r="J55" s="1299"/>
      <c r="K55" s="2726"/>
      <c r="L55" s="1760"/>
      <c r="M55" s="1760"/>
      <c r="N55" s="1760"/>
      <c r="O55" s="1760"/>
      <c r="P55" s="1760"/>
      <c r="Q55" s="1760"/>
      <c r="R55" s="1760"/>
      <c r="S55" s="1760"/>
      <c r="T55" s="1760"/>
      <c r="U55" s="1760"/>
      <c r="V55" s="1760"/>
      <c r="W55" s="1760"/>
      <c r="X55" s="1760"/>
      <c r="Y55" s="1760"/>
      <c r="Z55" s="1760"/>
      <c r="AA55" s="1760"/>
      <c r="AB55" s="1760"/>
      <c r="AC55" s="1760"/>
    </row>
    <row r="56" spans="1:29" s="1139" customFormat="1" ht="12.75">
      <c r="A56" s="584" t="s">
        <v>516</v>
      </c>
      <c r="B56" s="585" t="e">
        <f t="shared" si="16"/>
        <v>#DIV/0!</v>
      </c>
      <c r="C56" s="348">
        <f t="shared" si="15"/>
        <v>0</v>
      </c>
      <c r="D56" s="1823">
        <v>0.25</v>
      </c>
      <c r="E56" s="586"/>
      <c r="F56" s="1609" t="e">
        <f t="shared" si="14"/>
        <v>#DIV/0!</v>
      </c>
      <c r="G56" s="3031"/>
      <c r="H56" s="1614">
        <f>项目基本情况!B43</f>
        <v>0</v>
      </c>
      <c r="I56" s="1612">
        <f>SUMIF(修正!$A$57:$A$68,H56,修正!D57:D68)</f>
        <v>0</v>
      </c>
      <c r="J56" s="1299"/>
      <c r="K56" s="2726"/>
      <c r="L56" s="1760"/>
      <c r="M56" s="1760"/>
      <c r="N56" s="1760"/>
      <c r="O56" s="1760"/>
      <c r="P56" s="1760"/>
      <c r="Q56" s="1760"/>
      <c r="R56" s="1760"/>
      <c r="S56" s="1760"/>
      <c r="T56" s="1760"/>
      <c r="U56" s="1760"/>
      <c r="V56" s="1760"/>
      <c r="W56" s="1760"/>
      <c r="X56" s="1760"/>
      <c r="Y56" s="1760"/>
      <c r="Z56" s="1760"/>
      <c r="AA56" s="1760"/>
      <c r="AB56" s="1760"/>
      <c r="AC56" s="1760"/>
    </row>
    <row r="57" spans="1:29" s="1139" customFormat="1" ht="12.75">
      <c r="A57" s="1919" t="s">
        <v>1685</v>
      </c>
      <c r="B57" s="585" t="e">
        <f t="shared" si="16"/>
        <v>#DIV/0!</v>
      </c>
      <c r="C57" s="348">
        <f t="shared" si="15"/>
        <v>0</v>
      </c>
      <c r="D57" s="1823">
        <v>0.25</v>
      </c>
      <c r="E57" s="588">
        <f>'数据-汇总表'!E11</f>
        <v>0</v>
      </c>
      <c r="F57" s="1609" t="e">
        <f t="shared" si="14"/>
        <v>#DIV/0!</v>
      </c>
      <c r="G57" s="1615" t="s">
        <v>1644</v>
      </c>
      <c r="H57" s="1614">
        <f>项目基本情况!C43</f>
        <v>0</v>
      </c>
      <c r="I57" s="1612">
        <f>SUMIF(修正!$A$57:$A$68,H57,修正!E57:E68)</f>
        <v>0</v>
      </c>
      <c r="J57" s="1299"/>
      <c r="K57" s="2726"/>
      <c r="L57" s="1760"/>
      <c r="M57" s="1760"/>
      <c r="N57" s="1760"/>
      <c r="O57" s="1760"/>
      <c r="P57" s="1760"/>
      <c r="Q57" s="1760"/>
      <c r="R57" s="1760"/>
      <c r="S57" s="1760"/>
      <c r="T57" s="1760"/>
      <c r="U57" s="1760"/>
      <c r="V57" s="1760"/>
      <c r="W57" s="1760"/>
      <c r="X57" s="1760"/>
      <c r="Y57" s="1760"/>
      <c r="Z57" s="1760"/>
      <c r="AA57" s="1760"/>
      <c r="AB57" s="1760"/>
      <c r="AC57" s="1760"/>
    </row>
    <row r="58" spans="1:29" s="1139" customFormat="1" ht="12.75">
      <c r="A58" s="584" t="s">
        <v>517</v>
      </c>
      <c r="B58" s="585" t="e">
        <f t="shared" si="16"/>
        <v>#DIV/0!</v>
      </c>
      <c r="C58" s="348">
        <f t="shared" si="15"/>
        <v>0</v>
      </c>
      <c r="D58" s="1823">
        <v>0.25</v>
      </c>
      <c r="E58" s="588">
        <f>'数据-汇总表'!E12</f>
        <v>0</v>
      </c>
      <c r="F58" s="1609" t="e">
        <f t="shared" si="14"/>
        <v>#DIV/0!</v>
      </c>
      <c r="G58" s="1605" t="s">
        <v>1212</v>
      </c>
      <c r="H58" s="1613">
        <f>IF(G58="商业",项目基本情况!B43,IF(G58="办公",项目基本情况!C43,IF(G58="住宅",项目基本情况!D43,项目基本情况!E43)))</f>
        <v>0</v>
      </c>
      <c r="I58" s="1612">
        <f>SUMIF(修正!$A$57:$A$68,H58,修正!F57:F68)</f>
        <v>0</v>
      </c>
      <c r="J58" s="1299"/>
      <c r="K58" s="2726"/>
      <c r="L58" s="1760"/>
      <c r="M58" s="1760"/>
      <c r="N58" s="1760"/>
      <c r="O58" s="1760"/>
      <c r="P58" s="1760"/>
      <c r="Q58" s="1760"/>
      <c r="R58" s="1760"/>
      <c r="S58" s="1760"/>
      <c r="T58" s="1760"/>
      <c r="U58" s="1760"/>
      <c r="V58" s="1760"/>
      <c r="W58" s="1760"/>
      <c r="X58" s="1760"/>
      <c r="Y58" s="1760"/>
      <c r="Z58" s="1760"/>
      <c r="AA58" s="1760"/>
      <c r="AB58" s="1760"/>
      <c r="AC58" s="1760"/>
    </row>
    <row r="59" spans="1:29" s="1139" customFormat="1" ht="12.75">
      <c r="A59" s="584" t="s">
        <v>518</v>
      </c>
      <c r="B59" s="585" t="e">
        <f t="shared" si="16"/>
        <v>#DIV/0!</v>
      </c>
      <c r="C59" s="348">
        <f t="shared" si="15"/>
        <v>0</v>
      </c>
      <c r="D59" s="1823">
        <v>0.25</v>
      </c>
      <c r="E59" s="588">
        <f>'数据-汇总表'!E13</f>
        <v>0</v>
      </c>
      <c r="F59" s="1609" t="e">
        <f t="shared" si="14"/>
        <v>#DIV/0!</v>
      </c>
      <c r="G59" s="1605" t="s">
        <v>851</v>
      </c>
      <c r="H59" s="1613">
        <f>IF(G59="商业",项目基本情况!B43,IF(G59="办公",项目基本情况!C43,IF(G59="住宅",项目基本情况!D43,项目基本情况!E43)))</f>
        <v>0</v>
      </c>
      <c r="I59" s="1612">
        <f>SUMIF(修正!$A$57:$A$68,H59,修正!G57:G68)</f>
        <v>0</v>
      </c>
      <c r="J59" s="1299"/>
      <c r="K59" s="2726"/>
      <c r="L59" s="1760"/>
      <c r="M59" s="1760"/>
      <c r="N59" s="1760"/>
      <c r="O59" s="1760"/>
      <c r="P59" s="1760"/>
      <c r="Q59" s="1760"/>
      <c r="R59" s="1760"/>
      <c r="S59" s="1760"/>
      <c r="T59" s="1760"/>
      <c r="U59" s="1760"/>
      <c r="V59" s="1760"/>
      <c r="W59" s="1760"/>
      <c r="X59" s="1760"/>
      <c r="Y59" s="1760"/>
      <c r="Z59" s="1760"/>
      <c r="AA59" s="1760"/>
      <c r="AB59" s="1760"/>
      <c r="AC59" s="1760"/>
    </row>
    <row r="60" spans="1:29" s="1139" customFormat="1" ht="12.75">
      <c r="A60" s="584" t="s">
        <v>519</v>
      </c>
      <c r="B60" s="585" t="e">
        <f t="shared" si="16"/>
        <v>#DIV/0!</v>
      </c>
      <c r="C60" s="348">
        <f t="shared" si="15"/>
        <v>0</v>
      </c>
      <c r="D60" s="1823">
        <v>0.25</v>
      </c>
      <c r="E60" s="588">
        <f>'数据-汇总表'!E14</f>
        <v>0</v>
      </c>
      <c r="F60" s="1609" t="e">
        <f t="shared" si="14"/>
        <v>#DIV/0!</v>
      </c>
      <c r="G60" s="1615" t="s">
        <v>1643</v>
      </c>
      <c r="H60" s="1614">
        <f>项目基本情况!B43</f>
        <v>0</v>
      </c>
      <c r="I60" s="1612">
        <f>SUMIF(修正!$A$57:$A$68,H60,修正!G57:G68)</f>
        <v>0</v>
      </c>
      <c r="J60" s="1299"/>
      <c r="K60" s="2726"/>
      <c r="L60" s="1760"/>
      <c r="M60" s="1760"/>
      <c r="N60" s="1760"/>
      <c r="O60" s="1760"/>
      <c r="P60" s="1760"/>
      <c r="Q60" s="1760"/>
      <c r="R60" s="1760"/>
      <c r="S60" s="1760"/>
      <c r="T60" s="1760"/>
      <c r="U60" s="1760"/>
      <c r="V60" s="1760"/>
      <c r="W60" s="1760"/>
      <c r="X60" s="1760"/>
      <c r="Y60" s="1760"/>
      <c r="Z60" s="1760"/>
      <c r="AA60" s="1760"/>
      <c r="AB60" s="1760"/>
      <c r="AC60" s="1760"/>
    </row>
    <row r="61" spans="1:29" s="1139" customFormat="1" ht="13.5" thickBot="1">
      <c r="A61" s="584" t="s">
        <v>520</v>
      </c>
      <c r="B61" s="585" t="e">
        <f t="shared" si="16"/>
        <v>#DIV/0!</v>
      </c>
      <c r="C61" s="348">
        <f t="shared" si="15"/>
        <v>0</v>
      </c>
      <c r="D61" s="1823">
        <v>0.25</v>
      </c>
      <c r="E61" s="588">
        <f>'数据-汇总表'!E15</f>
        <v>0</v>
      </c>
      <c r="F61" s="1609" t="e">
        <f t="shared" si="14"/>
        <v>#DIV/0!</v>
      </c>
      <c r="G61" s="1616" t="s">
        <v>1644</v>
      </c>
      <c r="H61" s="1617">
        <f>项目基本情况!C43</f>
        <v>0</v>
      </c>
      <c r="I61" s="1612">
        <f>SUMIF(修正!$A$57:$A$68,H61,修正!G57:G68)</f>
        <v>0</v>
      </c>
      <c r="J61" s="1299"/>
      <c r="K61" s="2726"/>
      <c r="L61" s="1760"/>
      <c r="M61" s="1760"/>
      <c r="N61" s="1760"/>
      <c r="O61" s="1760"/>
      <c r="P61" s="1760"/>
      <c r="Q61" s="1760"/>
      <c r="R61" s="1760"/>
      <c r="S61" s="1760"/>
      <c r="T61" s="1760"/>
      <c r="U61" s="1760"/>
      <c r="V61" s="1760"/>
      <c r="W61" s="1760"/>
      <c r="X61" s="1760"/>
      <c r="Y61" s="1760"/>
      <c r="Z61" s="1760"/>
      <c r="AA61" s="1760"/>
      <c r="AB61" s="1760"/>
      <c r="AC61" s="1760"/>
    </row>
    <row r="62" spans="1:29" s="1139" customFormat="1" ht="13.5" thickBot="1">
      <c r="A62" s="589" t="s">
        <v>521</v>
      </c>
      <c r="B62" s="590" t="s">
        <v>11</v>
      </c>
      <c r="C62" s="590" t="s">
        <v>12</v>
      </c>
      <c r="D62" s="590" t="s">
        <v>1651</v>
      </c>
      <c r="E62" s="590">
        <f>IF(B43="楼面地价",SUM(E53:E61),'数据-汇总表'!D3)</f>
        <v>86493.04</v>
      </c>
      <c r="F62" s="591" t="e">
        <f>IF(B43="楼面地价",SUM(F53:F61),ROUND(C45*E62/10000,0))</f>
        <v>#DIV/0!</v>
      </c>
      <c r="G62" s="1761"/>
      <c r="H62" s="1761"/>
      <c r="I62" s="1761"/>
      <c r="J62" s="1761"/>
      <c r="K62" s="2734"/>
      <c r="L62" s="1760"/>
      <c r="M62" s="1760"/>
      <c r="N62" s="1760"/>
      <c r="O62" s="1760"/>
      <c r="P62" s="1760"/>
      <c r="Q62" s="1760"/>
      <c r="R62" s="1760"/>
      <c r="S62" s="1760"/>
      <c r="T62" s="1760"/>
      <c r="U62" s="1760"/>
      <c r="V62" s="1760"/>
      <c r="W62" s="1760"/>
      <c r="X62" s="1760"/>
      <c r="Y62" s="1760"/>
      <c r="Z62" s="1760"/>
      <c r="AA62" s="1760"/>
      <c r="AB62" s="1760"/>
      <c r="AC62" s="1760"/>
    </row>
    <row r="63" spans="1:29">
      <c r="A63" s="1742"/>
      <c r="B63" s="1753"/>
      <c r="C63" s="1756"/>
      <c r="D63" s="1742"/>
      <c r="E63" s="1742"/>
      <c r="F63" s="1742"/>
      <c r="G63" s="1742"/>
      <c r="H63" s="1742"/>
      <c r="I63" s="1742"/>
      <c r="J63" s="1742"/>
      <c r="K63" s="1754"/>
      <c r="L63" s="1755"/>
      <c r="M63" s="1742"/>
      <c r="N63" s="1742"/>
      <c r="O63" s="1742"/>
      <c r="P63" s="1742"/>
      <c r="Q63" s="1742"/>
      <c r="R63" s="1742"/>
      <c r="S63" s="1742"/>
      <c r="T63" s="1742"/>
      <c r="U63" s="1742"/>
      <c r="V63" s="1742"/>
      <c r="W63" s="1742"/>
      <c r="X63" s="1742"/>
      <c r="Y63" s="1742"/>
      <c r="Z63" s="1742"/>
      <c r="AA63" s="1742"/>
      <c r="AB63" s="1742"/>
      <c r="AC63" s="1742"/>
    </row>
    <row r="64" spans="1:29">
      <c r="A64" s="1742"/>
      <c r="B64" s="1753"/>
      <c r="C64" s="2112" t="str">
        <f>YEAR(C9)&amp;"-"&amp;MONTH(C9)&amp;"-1"</f>
        <v>2023-5-1</v>
      </c>
      <c r="D64" s="2111">
        <f>EDATE(C64,-3)</f>
        <v>44958</v>
      </c>
      <c r="E64" s="2111">
        <f t="shared" ref="E64:N64" si="17">EDATE(D64,-3)</f>
        <v>44866</v>
      </c>
      <c r="F64" s="2111">
        <f t="shared" si="17"/>
        <v>44774</v>
      </c>
      <c r="G64" s="2111">
        <f t="shared" si="17"/>
        <v>44682</v>
      </c>
      <c r="H64" s="2111">
        <f t="shared" si="17"/>
        <v>44593</v>
      </c>
      <c r="I64" s="2111">
        <f t="shared" si="17"/>
        <v>44501</v>
      </c>
      <c r="J64" s="2111">
        <f t="shared" si="17"/>
        <v>44409</v>
      </c>
      <c r="K64" s="2111">
        <f t="shared" si="17"/>
        <v>44317</v>
      </c>
      <c r="L64" s="2111">
        <f t="shared" si="17"/>
        <v>44228</v>
      </c>
      <c r="M64" s="2111">
        <f t="shared" si="17"/>
        <v>44136</v>
      </c>
      <c r="N64" s="2111">
        <f t="shared" si="17"/>
        <v>44044</v>
      </c>
      <c r="O64" s="1742"/>
      <c r="P64" s="1742"/>
      <c r="Q64" s="1742"/>
      <c r="R64" s="1742"/>
      <c r="S64" s="1742"/>
      <c r="T64" s="1742"/>
      <c r="U64" s="1742"/>
      <c r="V64" s="1742"/>
      <c r="W64" s="1742"/>
      <c r="X64" s="1742"/>
      <c r="Y64" s="1742"/>
      <c r="Z64" s="1742"/>
      <c r="AA64" s="1742"/>
      <c r="AB64" s="1742"/>
      <c r="AC64" s="1742"/>
    </row>
    <row r="65" spans="1:29" ht="21.75" thickBot="1">
      <c r="A65" s="1317" t="s">
        <v>522</v>
      </c>
      <c r="B65" s="799"/>
      <c r="C65" s="1316"/>
      <c r="D65" s="1316"/>
      <c r="E65" s="1316"/>
      <c r="F65" s="1318"/>
      <c r="G65" s="1318"/>
      <c r="H65" s="1316"/>
      <c r="I65" s="1316"/>
      <c r="J65" s="1316"/>
      <c r="K65" s="1319"/>
      <c r="L65" s="1315"/>
      <c r="M65" s="1316"/>
      <c r="N65" s="1316"/>
      <c r="O65" s="1762"/>
      <c r="P65" s="1762"/>
      <c r="Q65" s="1763"/>
      <c r="R65" s="1742"/>
      <c r="S65" s="1742"/>
      <c r="T65" s="1742"/>
      <c r="U65" s="1742"/>
      <c r="V65" s="1742"/>
      <c r="W65" s="1742"/>
      <c r="X65" s="1742"/>
      <c r="Y65" s="1742"/>
      <c r="Z65" s="1742"/>
      <c r="AA65" s="1742"/>
      <c r="AB65" s="1742"/>
      <c r="AC65" s="1742"/>
    </row>
    <row r="66" spans="1:29" s="1140" customFormat="1" ht="15">
      <c r="A66" s="2042" t="s">
        <v>1816</v>
      </c>
      <c r="B66" s="593"/>
      <c r="C66" s="155" t="str">
        <f>YEAR(C64)&amp;"-"&amp;ROUNDUP(MONTH(C64)/3,0)</f>
        <v>2023-2</v>
      </c>
      <c r="D66" s="155" t="str">
        <f t="shared" ref="D66:N66" si="18">YEAR(D64)&amp;"-"&amp;ROUNDUP(MONTH(D64)/3,0)</f>
        <v>2023-1</v>
      </c>
      <c r="E66" s="155" t="str">
        <f t="shared" si="18"/>
        <v>2022-4</v>
      </c>
      <c r="F66" s="155" t="str">
        <f t="shared" si="18"/>
        <v>2022-3</v>
      </c>
      <c r="G66" s="155" t="str">
        <f t="shared" si="18"/>
        <v>2022-2</v>
      </c>
      <c r="H66" s="155" t="str">
        <f t="shared" si="18"/>
        <v>2022-1</v>
      </c>
      <c r="I66" s="155" t="str">
        <f t="shared" si="18"/>
        <v>2021-4</v>
      </c>
      <c r="J66" s="155" t="str">
        <f t="shared" si="18"/>
        <v>2021-3</v>
      </c>
      <c r="K66" s="155" t="str">
        <f t="shared" si="18"/>
        <v>2021-2</v>
      </c>
      <c r="L66" s="155" t="str">
        <f t="shared" si="18"/>
        <v>2021-1</v>
      </c>
      <c r="M66" s="155" t="str">
        <f t="shared" si="18"/>
        <v>2020-4</v>
      </c>
      <c r="N66" s="155" t="str">
        <f t="shared" si="18"/>
        <v>2020-3</v>
      </c>
      <c r="O66" s="1764"/>
      <c r="P66" s="1765"/>
      <c r="Q66" s="1765"/>
      <c r="R66" s="1765"/>
      <c r="S66" s="1765"/>
      <c r="T66" s="1765"/>
      <c r="U66" s="1765"/>
      <c r="V66" s="1765"/>
      <c r="W66" s="1765"/>
      <c r="X66" s="1765"/>
      <c r="Y66" s="1765"/>
      <c r="Z66" s="1765"/>
      <c r="AA66" s="1765"/>
      <c r="AB66" s="1765"/>
      <c r="AC66" s="1765"/>
    </row>
    <row r="67" spans="1:29" s="1059" customFormat="1" ht="27.75" customHeight="1">
      <c r="A67" s="2110" t="s">
        <v>1931</v>
      </c>
      <c r="B67" s="448" t="str">
        <f>"北京市平均增长率"&amp;TEXT(基准地价!P28,"0.00%")</f>
        <v>北京市平均增长率0.00%</v>
      </c>
      <c r="C67" s="818">
        <v>100</v>
      </c>
      <c r="D67" s="79"/>
      <c r="E67" s="79"/>
      <c r="F67" s="79"/>
      <c r="G67" s="79"/>
      <c r="H67" s="79"/>
      <c r="I67" s="79"/>
      <c r="J67" s="79"/>
      <c r="K67" s="79"/>
      <c r="L67" s="79"/>
      <c r="M67" s="91"/>
      <c r="N67" s="534"/>
      <c r="O67" s="1766"/>
      <c r="P67" s="1763"/>
      <c r="Q67" s="1640"/>
      <c r="R67" s="1640"/>
      <c r="S67" s="1640"/>
      <c r="T67" s="1640"/>
      <c r="U67" s="1640"/>
      <c r="V67" s="1640"/>
      <c r="W67" s="1640"/>
      <c r="X67" s="1640"/>
      <c r="Y67" s="1640"/>
      <c r="Z67" s="1640"/>
      <c r="AA67" s="1640"/>
      <c r="AB67" s="1640"/>
      <c r="AC67" s="1640"/>
    </row>
    <row r="68" spans="1:29" s="1059" customFormat="1" ht="15.75" thickBot="1">
      <c r="A68" s="262" t="s">
        <v>523</v>
      </c>
      <c r="B68" s="598"/>
      <c r="C68" s="2107"/>
      <c r="D68" s="2108"/>
      <c r="E68" s="2108"/>
      <c r="F68" s="2108"/>
      <c r="G68" s="2108"/>
      <c r="H68" s="2108"/>
      <c r="I68" s="2108"/>
      <c r="J68" s="2108"/>
      <c r="K68" s="2108"/>
      <c r="L68" s="2108"/>
      <c r="M68" s="2108"/>
      <c r="N68" s="2108"/>
      <c r="O68" s="1766"/>
      <c r="P68" s="1763"/>
      <c r="Q68" s="1763"/>
      <c r="R68" s="1640"/>
      <c r="S68" s="1640"/>
      <c r="T68" s="1640"/>
      <c r="U68" s="1640"/>
      <c r="V68" s="1640"/>
      <c r="W68" s="1640"/>
      <c r="X68" s="1640"/>
      <c r="Y68" s="1640"/>
      <c r="Z68" s="1640"/>
      <c r="AA68" s="1640"/>
      <c r="AB68" s="1640"/>
      <c r="AC68" s="1640"/>
    </row>
    <row r="69" spans="1:29" s="1059" customFormat="1" ht="15">
      <c r="A69" s="603" t="s">
        <v>480</v>
      </c>
      <c r="B69" s="594"/>
      <c r="C69" s="604" t="s">
        <v>524</v>
      </c>
      <c r="D69" s="80"/>
      <c r="E69" s="80"/>
      <c r="F69" s="80"/>
      <c r="G69" s="80"/>
      <c r="H69" s="80"/>
      <c r="I69" s="80"/>
      <c r="J69" s="80"/>
      <c r="K69" s="80"/>
      <c r="L69" s="605"/>
      <c r="M69" s="606"/>
      <c r="N69" s="2735"/>
      <c r="O69" s="1766"/>
      <c r="P69" s="1647"/>
      <c r="Q69" s="1763"/>
      <c r="R69" s="1640"/>
      <c r="S69" s="1640"/>
      <c r="T69" s="1640"/>
      <c r="U69" s="1640"/>
      <c r="V69" s="1640"/>
      <c r="W69" s="1640"/>
      <c r="X69" s="1640"/>
      <c r="Y69" s="1640"/>
      <c r="Z69" s="1640"/>
      <c r="AA69" s="1640"/>
      <c r="AB69" s="1640"/>
      <c r="AC69" s="1640"/>
    </row>
    <row r="70" spans="1:29" s="1059" customFormat="1" ht="15.75" thickBot="1">
      <c r="A70" s="603"/>
      <c r="B70" s="594"/>
      <c r="C70" s="595">
        <v>100</v>
      </c>
      <c r="D70" s="596"/>
      <c r="E70" s="596"/>
      <c r="F70" s="596"/>
      <c r="G70" s="596"/>
      <c r="H70" s="596"/>
      <c r="I70" s="596"/>
      <c r="J70" s="596"/>
      <c r="K70" s="596"/>
      <c r="L70" s="596"/>
      <c r="M70" s="597"/>
      <c r="N70" s="2735"/>
      <c r="O70" s="1766"/>
      <c r="P70" s="1763"/>
      <c r="Q70" s="1763"/>
      <c r="R70" s="1640"/>
      <c r="S70" s="1640"/>
      <c r="T70" s="1640"/>
      <c r="U70" s="1640"/>
      <c r="V70" s="1640"/>
      <c r="W70" s="1640"/>
      <c r="X70" s="1640"/>
      <c r="Y70" s="1640"/>
      <c r="Z70" s="1640"/>
      <c r="AA70" s="1640"/>
      <c r="AB70" s="1640"/>
      <c r="AC70" s="1640"/>
    </row>
    <row r="71" spans="1:29">
      <c r="A71" s="607" t="s">
        <v>525</v>
      </c>
      <c r="B71" s="608" t="s">
        <v>483</v>
      </c>
      <c r="C71" s="547"/>
      <c r="D71" s="547"/>
      <c r="E71" s="547"/>
      <c r="F71" s="547"/>
      <c r="G71" s="547"/>
      <c r="H71" s="547"/>
      <c r="I71" s="547"/>
      <c r="J71" s="547"/>
      <c r="K71" s="609"/>
      <c r="L71" s="610"/>
      <c r="M71" s="611"/>
      <c r="N71" s="2736"/>
      <c r="O71" s="1767"/>
      <c r="P71" s="1766"/>
      <c r="Q71" s="1763"/>
      <c r="R71" s="1742"/>
      <c r="S71" s="1742"/>
      <c r="T71" s="1742"/>
      <c r="U71" s="1742"/>
      <c r="V71" s="1742"/>
      <c r="W71" s="1742"/>
      <c r="X71" s="1742"/>
      <c r="Y71" s="1742"/>
      <c r="Z71" s="1742"/>
      <c r="AA71" s="1742"/>
      <c r="AB71" s="1742"/>
      <c r="AC71" s="1742"/>
    </row>
    <row r="72" spans="1:29" ht="15.75" thickBot="1">
      <c r="A72" s="482"/>
      <c r="B72" s="612"/>
      <c r="C72" s="613"/>
      <c r="D72" s="613"/>
      <c r="E72" s="613"/>
      <c r="F72" s="613"/>
      <c r="G72" s="613"/>
      <c r="H72" s="613"/>
      <c r="I72" s="613"/>
      <c r="J72" s="613"/>
      <c r="K72" s="613"/>
      <c r="L72" s="613"/>
      <c r="M72" s="614"/>
      <c r="N72" s="2737"/>
      <c r="O72" s="1768"/>
      <c r="P72" s="1766"/>
      <c r="Q72" s="1763"/>
      <c r="R72" s="1742"/>
      <c r="S72" s="1742"/>
      <c r="T72" s="1742"/>
      <c r="U72" s="1742"/>
      <c r="V72" s="1742"/>
      <c r="W72" s="1742"/>
      <c r="X72" s="1742"/>
      <c r="Y72" s="1742"/>
      <c r="Z72" s="1742"/>
      <c r="AA72" s="1742"/>
      <c r="AB72" s="1742"/>
      <c r="AC72" s="1742"/>
    </row>
    <row r="73" spans="1:29" ht="27.75" thickTop="1">
      <c r="A73" s="482"/>
      <c r="B73" s="615" t="s">
        <v>486</v>
      </c>
      <c r="C73" s="616"/>
      <c r="D73" s="616"/>
      <c r="E73" s="616"/>
      <c r="F73" s="616"/>
      <c r="G73" s="616"/>
      <c r="H73" s="616"/>
      <c r="I73" s="616"/>
      <c r="J73" s="616"/>
      <c r="K73" s="617"/>
      <c r="L73" s="618"/>
      <c r="M73" s="619"/>
      <c r="N73" s="2736"/>
      <c r="O73" s="1767"/>
      <c r="P73" s="1766"/>
      <c r="Q73" s="1763"/>
      <c r="R73" s="1742"/>
      <c r="S73" s="1742"/>
      <c r="T73" s="1742"/>
      <c r="U73" s="1742"/>
      <c r="V73" s="1742"/>
      <c r="W73" s="1742"/>
      <c r="X73" s="1742"/>
      <c r="Y73" s="1742"/>
      <c r="Z73" s="1742"/>
      <c r="AA73" s="1742"/>
      <c r="AB73" s="1742"/>
      <c r="AC73" s="1742"/>
    </row>
    <row r="74" spans="1:29" ht="15.75" thickBot="1">
      <c r="A74" s="482"/>
      <c r="B74" s="620"/>
      <c r="C74" s="621"/>
      <c r="D74" s="621"/>
      <c r="E74" s="621"/>
      <c r="F74" s="621"/>
      <c r="G74" s="621"/>
      <c r="H74" s="621"/>
      <c r="I74" s="621"/>
      <c r="J74" s="621"/>
      <c r="K74" s="621"/>
      <c r="L74" s="621"/>
      <c r="M74" s="622"/>
      <c r="N74" s="2737"/>
      <c r="O74" s="1768"/>
      <c r="P74" s="1766"/>
      <c r="Q74" s="1763"/>
      <c r="R74" s="1742"/>
      <c r="S74" s="1742"/>
      <c r="T74" s="1742"/>
      <c r="U74" s="1742"/>
      <c r="V74" s="1742"/>
      <c r="W74" s="1742"/>
      <c r="X74" s="1742"/>
      <c r="Y74" s="1742"/>
      <c r="Z74" s="1742"/>
      <c r="AA74" s="1742"/>
      <c r="AB74" s="1742"/>
      <c r="AC74" s="1742"/>
    </row>
    <row r="75" spans="1:29" ht="15.7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7"/>
      <c r="O75" s="1768"/>
      <c r="P75" s="1766"/>
      <c r="Q75" s="1763"/>
      <c r="R75" s="1742"/>
      <c r="S75" s="1742"/>
      <c r="T75" s="1742"/>
      <c r="U75" s="1742"/>
      <c r="V75" s="1742"/>
      <c r="W75" s="1742"/>
      <c r="X75" s="1742"/>
      <c r="Y75" s="1742"/>
      <c r="Z75" s="1742"/>
      <c r="AA75" s="1742"/>
      <c r="AB75" s="1742"/>
      <c r="AC75" s="1742"/>
    </row>
    <row r="76" spans="1:29" ht="15">
      <c r="A76" s="482"/>
      <c r="B76" s="625"/>
      <c r="C76" s="491"/>
      <c r="D76" s="491"/>
      <c r="E76" s="491"/>
      <c r="F76" s="491"/>
      <c r="G76" s="491"/>
      <c r="H76" s="491"/>
      <c r="I76" s="491"/>
      <c r="J76" s="491"/>
      <c r="K76" s="626"/>
      <c r="L76" s="627"/>
      <c r="M76" s="628"/>
      <c r="N76" s="2736"/>
      <c r="O76" s="1767"/>
      <c r="P76" s="1766"/>
      <c r="Q76" s="1763"/>
      <c r="R76" s="1742"/>
      <c r="S76" s="1742"/>
      <c r="T76" s="1742"/>
      <c r="U76" s="1742"/>
      <c r="V76" s="1742"/>
      <c r="W76" s="1742"/>
      <c r="X76" s="1742"/>
      <c r="Y76" s="1742"/>
      <c r="Z76" s="1742"/>
      <c r="AA76" s="1742"/>
      <c r="AB76" s="1742"/>
      <c r="AC76" s="1742"/>
    </row>
    <row r="77" spans="1:29" ht="15.75"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7"/>
      <c r="O77" s="1768"/>
      <c r="P77" s="1766"/>
      <c r="Q77" s="1763"/>
      <c r="R77" s="1742"/>
      <c r="S77" s="1742"/>
      <c r="T77" s="1742"/>
      <c r="U77" s="1742"/>
      <c r="V77" s="1742"/>
      <c r="W77" s="1742"/>
      <c r="X77" s="1742"/>
      <c r="Y77" s="1742"/>
      <c r="Z77" s="1742"/>
      <c r="AA77" s="1742"/>
      <c r="AB77" s="1742"/>
      <c r="AC77" s="1742"/>
    </row>
    <row r="78" spans="1:29" s="1133" customFormat="1" ht="15.75" thickTop="1">
      <c r="A78" s="629"/>
      <c r="B78" s="615">
        <f>B14</f>
        <v>111</v>
      </c>
      <c r="C78" s="630"/>
      <c r="D78" s="630"/>
      <c r="E78" s="630"/>
      <c r="F78" s="630"/>
      <c r="G78" s="630"/>
      <c r="H78" s="631"/>
      <c r="I78" s="631"/>
      <c r="J78" s="631"/>
      <c r="K78" s="631"/>
      <c r="L78" s="632"/>
      <c r="M78" s="633"/>
      <c r="N78" s="2738"/>
      <c r="O78" s="1769"/>
      <c r="P78" s="1769"/>
      <c r="Q78" s="1770"/>
      <c r="R78" s="1771"/>
      <c r="S78" s="1771"/>
      <c r="T78" s="1771"/>
      <c r="U78" s="1771"/>
      <c r="V78" s="1771"/>
      <c r="W78" s="1771"/>
      <c r="X78" s="1771"/>
      <c r="Y78" s="1771"/>
      <c r="Z78" s="1771"/>
      <c r="AA78" s="1771"/>
      <c r="AB78" s="1771"/>
      <c r="AC78" s="1771"/>
    </row>
    <row r="79" spans="1:29" s="1133" customFormat="1" ht="15.75" thickBot="1">
      <c r="A79" s="629"/>
      <c r="B79" s="620"/>
      <c r="C79" s="634"/>
      <c r="D79" s="613"/>
      <c r="E79" s="613"/>
      <c r="F79" s="613"/>
      <c r="G79" s="613"/>
      <c r="H79" s="613"/>
      <c r="I79" s="613"/>
      <c r="J79" s="613"/>
      <c r="K79" s="613"/>
      <c r="L79" s="613"/>
      <c r="M79" s="614"/>
      <c r="N79" s="2737"/>
      <c r="O79" s="1768"/>
      <c r="P79" s="1769"/>
      <c r="Q79" s="1770"/>
      <c r="R79" s="1771"/>
      <c r="S79" s="1771"/>
      <c r="T79" s="1771"/>
      <c r="U79" s="1771"/>
      <c r="V79" s="1771"/>
      <c r="W79" s="1771"/>
      <c r="X79" s="1771"/>
      <c r="Y79" s="1771"/>
      <c r="Z79" s="1771"/>
      <c r="AA79" s="1771"/>
      <c r="AB79" s="1771"/>
      <c r="AC79" s="1771"/>
    </row>
    <row r="80" spans="1:29" s="1133" customFormat="1" ht="15.75" thickTop="1">
      <c r="A80" s="629"/>
      <c r="B80" s="615">
        <f>B15</f>
        <v>111</v>
      </c>
      <c r="C80" s="630"/>
      <c r="D80" s="630"/>
      <c r="E80" s="630"/>
      <c r="F80" s="630"/>
      <c r="G80" s="630"/>
      <c r="H80" s="631"/>
      <c r="I80" s="631"/>
      <c r="J80" s="631"/>
      <c r="K80" s="631"/>
      <c r="L80" s="632"/>
      <c r="M80" s="633"/>
      <c r="N80" s="2738"/>
      <c r="O80" s="1769"/>
      <c r="P80" s="1771"/>
      <c r="Q80" s="1772"/>
      <c r="R80" s="1771"/>
      <c r="S80" s="1771"/>
      <c r="T80" s="1771"/>
      <c r="U80" s="1771"/>
      <c r="V80" s="1771"/>
      <c r="W80" s="1771"/>
      <c r="X80" s="1771"/>
      <c r="Y80" s="1771"/>
      <c r="Z80" s="1771"/>
      <c r="AA80" s="1771"/>
      <c r="AB80" s="1771"/>
      <c r="AC80" s="1771"/>
    </row>
    <row r="81" spans="1:29" s="1133" customFormat="1" ht="15.75" thickBot="1">
      <c r="A81" s="629"/>
      <c r="B81" s="620"/>
      <c r="C81" s="634"/>
      <c r="D81" s="634"/>
      <c r="E81" s="634"/>
      <c r="F81" s="634"/>
      <c r="G81" s="634"/>
      <c r="H81" s="635"/>
      <c r="I81" s="635"/>
      <c r="J81" s="635"/>
      <c r="K81" s="635"/>
      <c r="L81" s="635"/>
      <c r="M81" s="636"/>
      <c r="N81" s="2738"/>
      <c r="O81" s="1769"/>
      <c r="P81" s="1769"/>
      <c r="Q81" s="1770"/>
      <c r="R81" s="1771"/>
      <c r="S81" s="1771"/>
      <c r="T81" s="1771"/>
      <c r="U81" s="1771"/>
      <c r="V81" s="1771"/>
      <c r="W81" s="1771"/>
      <c r="X81" s="1771"/>
      <c r="Y81" s="1771"/>
      <c r="Z81" s="1771"/>
      <c r="AA81" s="1771"/>
      <c r="AB81" s="1771"/>
      <c r="AC81" s="1771"/>
    </row>
    <row r="82" spans="1:29" s="1133" customFormat="1" ht="15.75" thickTop="1">
      <c r="A82" s="629"/>
      <c r="B82" s="623">
        <f>B16</f>
        <v>111</v>
      </c>
      <c r="C82" s="80"/>
      <c r="D82" s="80"/>
      <c r="E82" s="80"/>
      <c r="F82" s="80"/>
      <c r="G82" s="80"/>
      <c r="H82" s="637"/>
      <c r="I82" s="637"/>
      <c r="J82" s="637"/>
      <c r="K82" s="637"/>
      <c r="L82" s="638"/>
      <c r="M82" s="639"/>
      <c r="N82" s="2738"/>
      <c r="O82" s="1769"/>
      <c r="P82" s="1773"/>
      <c r="Q82" s="1770"/>
      <c r="R82" s="1771"/>
      <c r="S82" s="1771"/>
      <c r="T82" s="1771"/>
      <c r="U82" s="1771"/>
      <c r="V82" s="1771"/>
      <c r="W82" s="1771"/>
      <c r="X82" s="1771"/>
      <c r="Y82" s="1771"/>
      <c r="Z82" s="1771"/>
      <c r="AA82" s="1771"/>
      <c r="AB82" s="1771"/>
      <c r="AC82" s="1771"/>
    </row>
    <row r="83" spans="1:29" s="1133" customFormat="1" ht="15.75" thickBot="1">
      <c r="A83" s="640"/>
      <c r="B83" s="641"/>
      <c r="C83" s="642"/>
      <c r="D83" s="642"/>
      <c r="E83" s="642"/>
      <c r="F83" s="642"/>
      <c r="G83" s="642"/>
      <c r="H83" s="643"/>
      <c r="I83" s="643"/>
      <c r="J83" s="643"/>
      <c r="K83" s="643"/>
      <c r="L83" s="643"/>
      <c r="M83" s="644"/>
      <c r="N83" s="2738"/>
      <c r="O83" s="1769"/>
      <c r="P83" s="1769"/>
      <c r="Q83" s="1770"/>
      <c r="R83" s="1771"/>
      <c r="S83" s="1771"/>
      <c r="T83" s="1771"/>
      <c r="U83" s="1771"/>
      <c r="V83" s="1771"/>
      <c r="W83" s="1771"/>
      <c r="X83" s="1771"/>
      <c r="Y83" s="1771"/>
      <c r="Z83" s="1771"/>
      <c r="AA83" s="1771"/>
      <c r="AB83" s="1771"/>
      <c r="AC83" s="1771"/>
    </row>
    <row r="84" spans="1:29">
      <c r="A84" s="607" t="s">
        <v>488</v>
      </c>
      <c r="B84" s="608" t="s">
        <v>550</v>
      </c>
      <c r="C84" s="143" t="s">
        <v>527</v>
      </c>
      <c r="D84" s="143" t="s">
        <v>528</v>
      </c>
      <c r="E84" s="143" t="s">
        <v>529</v>
      </c>
      <c r="F84" s="143" t="s">
        <v>530</v>
      </c>
      <c r="G84" s="143" t="s">
        <v>531</v>
      </c>
      <c r="H84" s="645"/>
      <c r="I84" s="645"/>
      <c r="J84" s="645"/>
      <c r="K84" s="646"/>
      <c r="L84" s="647"/>
      <c r="M84" s="648"/>
      <c r="N84" s="2736"/>
      <c r="O84" s="1767"/>
      <c r="P84" s="1774"/>
      <c r="Q84" s="1763"/>
      <c r="R84" s="1742"/>
      <c r="S84" s="1742"/>
      <c r="T84" s="1742"/>
      <c r="U84" s="1742"/>
      <c r="V84" s="1742"/>
      <c r="W84" s="1742"/>
      <c r="X84" s="1742"/>
      <c r="Y84" s="1742"/>
      <c r="Z84" s="1742"/>
      <c r="AA84" s="1742"/>
      <c r="AB84" s="1742"/>
      <c r="AC84" s="1742"/>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7"/>
      <c r="O85" s="1768"/>
      <c r="P85" s="1766"/>
      <c r="Q85" s="1763"/>
      <c r="R85" s="1742"/>
      <c r="S85" s="1742"/>
      <c r="T85" s="1742"/>
      <c r="U85" s="1742"/>
      <c r="V85" s="1742"/>
      <c r="W85" s="1742"/>
      <c r="X85" s="1742"/>
      <c r="Y85" s="1742"/>
      <c r="Z85" s="1742"/>
      <c r="AA85" s="1742"/>
      <c r="AB85" s="1742"/>
      <c r="AC85" s="1742"/>
    </row>
    <row r="86" spans="1:29" ht="15.75" thickTop="1">
      <c r="A86" s="482"/>
      <c r="B86" s="615" t="s">
        <v>534</v>
      </c>
      <c r="C86" s="649" t="s">
        <v>527</v>
      </c>
      <c r="D86" s="649" t="s">
        <v>528</v>
      </c>
      <c r="E86" s="649" t="s">
        <v>529</v>
      </c>
      <c r="F86" s="649" t="s">
        <v>530</v>
      </c>
      <c r="G86" s="649" t="s">
        <v>531</v>
      </c>
      <c r="H86" s="616"/>
      <c r="I86" s="616"/>
      <c r="J86" s="616"/>
      <c r="K86" s="617"/>
      <c r="L86" s="618"/>
      <c r="M86" s="619"/>
      <c r="N86" s="2736"/>
      <c r="O86" s="1767"/>
      <c r="P86" s="1766"/>
      <c r="Q86" s="1763"/>
      <c r="R86" s="1742"/>
      <c r="S86" s="1742"/>
      <c r="T86" s="1742"/>
      <c r="U86" s="1742"/>
      <c r="V86" s="1742"/>
      <c r="W86" s="1742"/>
      <c r="X86" s="1742"/>
      <c r="Y86" s="1742"/>
      <c r="Z86" s="1742"/>
      <c r="AA86" s="1742"/>
      <c r="AB86" s="1742"/>
      <c r="AC86" s="1742"/>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7"/>
      <c r="O87" s="1768"/>
      <c r="P87" s="1766"/>
      <c r="Q87" s="1763"/>
      <c r="R87" s="1742"/>
      <c r="S87" s="1742"/>
      <c r="T87" s="1742"/>
      <c r="U87" s="1742"/>
      <c r="V87" s="1742"/>
      <c r="W87" s="1742"/>
      <c r="X87" s="1742"/>
      <c r="Y87" s="1742"/>
      <c r="Z87" s="1742"/>
      <c r="AA87" s="1742"/>
      <c r="AB87" s="1742"/>
      <c r="AC87" s="1742"/>
    </row>
    <row r="88" spans="1:29" s="1059" customFormat="1" ht="27.75" thickTop="1">
      <c r="A88" s="486"/>
      <c r="B88" s="615" t="s">
        <v>535</v>
      </c>
      <c r="C88" s="649" t="s">
        <v>527</v>
      </c>
      <c r="D88" s="649" t="s">
        <v>528</v>
      </c>
      <c r="E88" s="649" t="s">
        <v>529</v>
      </c>
      <c r="F88" s="649" t="s">
        <v>530</v>
      </c>
      <c r="G88" s="649" t="s">
        <v>531</v>
      </c>
      <c r="H88" s="649"/>
      <c r="I88" s="649"/>
      <c r="J88" s="649"/>
      <c r="K88" s="649"/>
      <c r="L88" s="650"/>
      <c r="M88" s="651"/>
      <c r="N88" s="2735"/>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52">
        <v>100</v>
      </c>
      <c r="D89" s="621">
        <f>C89-$K21</f>
        <v>100</v>
      </c>
      <c r="E89" s="621">
        <f>D89-$K21</f>
        <v>100</v>
      </c>
      <c r="F89" s="621">
        <f>E89-$K21</f>
        <v>100</v>
      </c>
      <c r="G89" s="621">
        <f>F89-$K21</f>
        <v>100</v>
      </c>
      <c r="H89" s="621"/>
      <c r="I89" s="621"/>
      <c r="J89" s="621"/>
      <c r="K89" s="621"/>
      <c r="L89" s="621"/>
      <c r="M89" s="622"/>
      <c r="N89" s="2737"/>
      <c r="O89" s="1768"/>
      <c r="P89" s="1766"/>
      <c r="Q89" s="1763"/>
      <c r="R89" s="1640"/>
      <c r="S89" s="1640"/>
      <c r="T89" s="1640"/>
      <c r="U89" s="1640"/>
      <c r="V89" s="1640"/>
      <c r="W89" s="1640"/>
      <c r="X89" s="1640"/>
      <c r="Y89" s="1640"/>
      <c r="Z89" s="1640"/>
      <c r="AA89" s="1640"/>
      <c r="AB89" s="1640"/>
      <c r="AC89" s="1640"/>
    </row>
    <row r="90" spans="1:29" s="1059" customFormat="1" ht="27.75" thickTop="1">
      <c r="A90" s="486"/>
      <c r="B90" s="615" t="s">
        <v>536</v>
      </c>
      <c r="C90" s="143" t="s">
        <v>527</v>
      </c>
      <c r="D90" s="143" t="s">
        <v>528</v>
      </c>
      <c r="E90" s="143" t="s">
        <v>529</v>
      </c>
      <c r="F90" s="143" t="s">
        <v>530</v>
      </c>
      <c r="G90" s="143" t="s">
        <v>531</v>
      </c>
      <c r="H90" s="649"/>
      <c r="I90" s="649"/>
      <c r="J90" s="649"/>
      <c r="K90" s="649"/>
      <c r="L90" s="649"/>
      <c r="M90" s="651"/>
      <c r="N90" s="2735"/>
      <c r="O90" s="1766"/>
      <c r="P90" s="1766"/>
      <c r="Q90" s="1763"/>
      <c r="R90" s="1640"/>
      <c r="S90" s="1640"/>
      <c r="T90" s="1640"/>
      <c r="U90" s="1640"/>
      <c r="V90" s="1640"/>
      <c r="W90" s="1640"/>
      <c r="X90" s="1640"/>
      <c r="Y90" s="1640"/>
      <c r="Z90" s="1640"/>
      <c r="AA90" s="1640"/>
      <c r="AB90" s="1640"/>
      <c r="AC90" s="1640"/>
    </row>
    <row r="91" spans="1:29" s="1059" customFormat="1" ht="15.75" thickBot="1">
      <c r="A91" s="486"/>
      <c r="B91" s="620"/>
      <c r="C91" s="621">
        <v>100</v>
      </c>
      <c r="D91" s="621">
        <f>C91-$K23</f>
        <v>100</v>
      </c>
      <c r="E91" s="621">
        <f>D91-$K23</f>
        <v>100</v>
      </c>
      <c r="F91" s="621">
        <f>E91-$K23</f>
        <v>100</v>
      </c>
      <c r="G91" s="621">
        <f>F91-$K23</f>
        <v>100</v>
      </c>
      <c r="H91" s="621"/>
      <c r="I91" s="621"/>
      <c r="J91" s="621"/>
      <c r="K91" s="621"/>
      <c r="L91" s="621"/>
      <c r="M91" s="622"/>
      <c r="N91" s="2737"/>
      <c r="O91" s="1768"/>
      <c r="P91" s="1766"/>
      <c r="Q91" s="1763"/>
      <c r="R91" s="1640"/>
      <c r="S91" s="1640"/>
      <c r="T91" s="1640"/>
      <c r="U91" s="1640"/>
      <c r="V91" s="1640"/>
      <c r="W91" s="1640"/>
      <c r="X91" s="1640"/>
      <c r="Y91" s="1640"/>
      <c r="Z91" s="1640"/>
      <c r="AA91" s="1640"/>
      <c r="AB91" s="1640"/>
      <c r="AC91" s="1640"/>
    </row>
    <row r="92" spans="1:29" s="1133" customFormat="1" ht="15.75" thickTop="1">
      <c r="A92" s="629"/>
      <c r="B92" s="1555" t="s">
        <v>1831</v>
      </c>
      <c r="C92" s="143" t="s">
        <v>527</v>
      </c>
      <c r="D92" s="143" t="s">
        <v>528</v>
      </c>
      <c r="E92" s="143" t="s">
        <v>529</v>
      </c>
      <c r="F92" s="143" t="s">
        <v>530</v>
      </c>
      <c r="G92" s="143" t="s">
        <v>531</v>
      </c>
      <c r="H92" s="653"/>
      <c r="I92" s="653"/>
      <c r="J92" s="653"/>
      <c r="K92" s="653"/>
      <c r="L92" s="654"/>
      <c r="M92" s="655"/>
      <c r="N92" s="2738"/>
      <c r="O92" s="1769"/>
      <c r="P92" s="1769"/>
      <c r="Q92" s="1770"/>
      <c r="R92" s="1771"/>
      <c r="S92" s="1771"/>
      <c r="T92" s="1771"/>
      <c r="U92" s="1771"/>
      <c r="V92" s="1771"/>
      <c r="W92" s="1771"/>
      <c r="X92" s="1771"/>
      <c r="Y92" s="1771"/>
      <c r="Z92" s="1771"/>
      <c r="AA92" s="1771"/>
      <c r="AB92" s="1771"/>
      <c r="AC92" s="1771"/>
    </row>
    <row r="93" spans="1:29" s="1133" customFormat="1" ht="15.75" thickBot="1">
      <c r="A93" s="629"/>
      <c r="B93" s="620"/>
      <c r="C93" s="621">
        <v>100</v>
      </c>
      <c r="D93" s="621">
        <f>C93-$K25</f>
        <v>100</v>
      </c>
      <c r="E93" s="621">
        <f>D93-$K25</f>
        <v>100</v>
      </c>
      <c r="F93" s="621">
        <f>E93-$K25</f>
        <v>100</v>
      </c>
      <c r="G93" s="621">
        <f>F93-$K25</f>
        <v>100</v>
      </c>
      <c r="H93" s="656"/>
      <c r="I93" s="656"/>
      <c r="J93" s="656"/>
      <c r="K93" s="656"/>
      <c r="L93" s="656"/>
      <c r="M93" s="657"/>
      <c r="N93" s="2738"/>
      <c r="O93" s="1769"/>
      <c r="P93" s="1769"/>
      <c r="Q93" s="1770"/>
      <c r="R93" s="1771"/>
      <c r="S93" s="1771"/>
      <c r="T93" s="1771"/>
      <c r="U93" s="1771"/>
      <c r="V93" s="1771"/>
      <c r="W93" s="1771"/>
      <c r="X93" s="1771"/>
      <c r="Y93" s="1771"/>
      <c r="Z93" s="1771"/>
      <c r="AA93" s="1771"/>
      <c r="AB93" s="1771"/>
      <c r="AC93" s="1771"/>
    </row>
    <row r="94" spans="1:29" s="1133" customFormat="1" ht="15.75" thickTop="1">
      <c r="A94" s="629"/>
      <c r="B94" s="2056" t="s">
        <v>1833</v>
      </c>
      <c r="C94" s="2057" t="s">
        <v>1834</v>
      </c>
      <c r="D94" s="2057" t="s">
        <v>1835</v>
      </c>
      <c r="E94" s="2057" t="s">
        <v>1836</v>
      </c>
      <c r="F94" s="2057" t="s">
        <v>1837</v>
      </c>
      <c r="G94" s="2057" t="s">
        <v>1838</v>
      </c>
      <c r="H94" s="653"/>
      <c r="I94" s="653"/>
      <c r="J94" s="653"/>
      <c r="K94" s="653"/>
      <c r="L94" s="653"/>
      <c r="M94" s="655"/>
      <c r="N94" s="2738"/>
      <c r="O94" s="1769"/>
      <c r="P94" s="1769"/>
      <c r="Q94" s="1770"/>
      <c r="R94" s="1771"/>
      <c r="S94" s="1771"/>
      <c r="T94" s="1771"/>
      <c r="U94" s="1771"/>
      <c r="V94" s="1771"/>
      <c r="W94" s="1771"/>
      <c r="X94" s="1771"/>
      <c r="Y94" s="1771"/>
      <c r="Z94" s="1771"/>
      <c r="AA94" s="1771"/>
      <c r="AB94" s="1771"/>
      <c r="AC94" s="1771"/>
    </row>
    <row r="95" spans="1:29" s="1133" customFormat="1" ht="15.75" thickBot="1">
      <c r="A95" s="629"/>
      <c r="B95" s="623"/>
      <c r="C95" s="621">
        <v>100</v>
      </c>
      <c r="D95" s="621">
        <f>C95-$K27</f>
        <v>100</v>
      </c>
      <c r="E95" s="621">
        <f>D95-$K27</f>
        <v>100</v>
      </c>
      <c r="F95" s="621">
        <f>E95-$K27</f>
        <v>100</v>
      </c>
      <c r="G95" s="621">
        <f>F95-$K27</f>
        <v>100</v>
      </c>
      <c r="H95" s="625"/>
      <c r="I95" s="625"/>
      <c r="J95" s="625"/>
      <c r="K95" s="625"/>
      <c r="L95" s="625"/>
      <c r="M95" s="2049"/>
      <c r="N95" s="2738"/>
      <c r="O95" s="1769"/>
      <c r="P95" s="1769"/>
      <c r="Q95" s="1770"/>
      <c r="R95" s="1771"/>
      <c r="S95" s="1771"/>
      <c r="T95" s="1771"/>
      <c r="U95" s="1771"/>
      <c r="V95" s="1771"/>
      <c r="W95" s="1771"/>
      <c r="X95" s="1771"/>
      <c r="Y95" s="1771"/>
      <c r="Z95" s="1771"/>
      <c r="AA95" s="1771"/>
      <c r="AB95" s="1771"/>
      <c r="AC95" s="1771"/>
    </row>
    <row r="96" spans="1:29" ht="15.75" thickTop="1">
      <c r="A96" s="482"/>
      <c r="B96" s="615" t="str">
        <f>B29</f>
        <v>临街状况</v>
      </c>
      <c r="C96" s="616" t="s">
        <v>537</v>
      </c>
      <c r="D96" s="616" t="s">
        <v>538</v>
      </c>
      <c r="E96" s="616" t="s">
        <v>539</v>
      </c>
      <c r="F96" s="616" t="s">
        <v>540</v>
      </c>
      <c r="G96" s="616"/>
      <c r="H96" s="616"/>
      <c r="I96" s="616"/>
      <c r="J96" s="616"/>
      <c r="K96" s="617"/>
      <c r="L96" s="618"/>
      <c r="M96" s="619"/>
      <c r="N96" s="2736"/>
      <c r="O96" s="1767"/>
      <c r="P96" s="1766"/>
      <c r="Q96" s="1763"/>
      <c r="R96" s="1742"/>
      <c r="S96" s="1742"/>
      <c r="T96" s="1742"/>
      <c r="U96" s="1742"/>
      <c r="V96" s="1742"/>
      <c r="W96" s="1742"/>
      <c r="X96" s="1742"/>
      <c r="Y96" s="1742"/>
      <c r="Z96" s="1742"/>
      <c r="AA96" s="1742"/>
      <c r="AB96" s="1742"/>
      <c r="AC96" s="1742"/>
    </row>
    <row r="97" spans="1:29" ht="15.75"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7"/>
      <c r="O97" s="1768"/>
      <c r="P97" s="1766"/>
      <c r="Q97" s="1763"/>
      <c r="R97" s="1742"/>
      <c r="S97" s="1742"/>
      <c r="T97" s="1742"/>
      <c r="U97" s="1742"/>
      <c r="V97" s="1742"/>
      <c r="W97" s="1742"/>
      <c r="X97" s="1742"/>
      <c r="Y97" s="1742"/>
      <c r="Z97" s="1742"/>
      <c r="AA97" s="1742"/>
      <c r="AB97" s="1742"/>
      <c r="AC97" s="1742"/>
    </row>
    <row r="98" spans="1:29" ht="27.75" thickTop="1">
      <c r="A98" s="482"/>
      <c r="B98" s="615" t="s">
        <v>497</v>
      </c>
      <c r="C98" s="630"/>
      <c r="D98" s="630"/>
      <c r="E98" s="630"/>
      <c r="F98" s="630"/>
      <c r="G98" s="630"/>
      <c r="H98" s="658"/>
      <c r="I98" s="658"/>
      <c r="J98" s="658"/>
      <c r="K98" s="659"/>
      <c r="L98" s="660"/>
      <c r="M98" s="661"/>
      <c r="N98" s="2736"/>
      <c r="O98" s="1767"/>
      <c r="P98" s="1766"/>
      <c r="Q98" s="1763"/>
      <c r="R98" s="1742"/>
      <c r="S98" s="1742"/>
      <c r="T98" s="1742"/>
      <c r="U98" s="1742"/>
      <c r="V98" s="1742"/>
      <c r="W98" s="1742"/>
      <c r="X98" s="1742"/>
      <c r="Y98" s="1742"/>
      <c r="Z98" s="1742"/>
      <c r="AA98" s="1742"/>
      <c r="AB98" s="1742"/>
      <c r="AC98" s="1742"/>
    </row>
    <row r="99" spans="1:29" ht="15.75"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7"/>
      <c r="O99" s="1768"/>
      <c r="P99" s="1766"/>
      <c r="Q99" s="1763"/>
      <c r="R99" s="1742"/>
      <c r="S99" s="1742"/>
      <c r="T99" s="1742"/>
      <c r="U99" s="1742"/>
      <c r="V99" s="1742"/>
      <c r="W99" s="1742"/>
      <c r="X99" s="1742"/>
      <c r="Y99" s="1742"/>
      <c r="Z99" s="1742"/>
      <c r="AA99" s="1742"/>
      <c r="AB99" s="1742"/>
      <c r="AC99" s="1742"/>
    </row>
    <row r="100" spans="1:29" ht="15.75" thickTop="1">
      <c r="A100" s="482"/>
      <c r="B100" s="615" t="s">
        <v>498</v>
      </c>
      <c r="C100" s="658"/>
      <c r="D100" s="658"/>
      <c r="E100" s="658"/>
      <c r="F100" s="658"/>
      <c r="G100" s="658"/>
      <c r="H100" s="658"/>
      <c r="I100" s="658"/>
      <c r="J100" s="658"/>
      <c r="K100" s="659"/>
      <c r="L100" s="660"/>
      <c r="M100" s="661"/>
      <c r="N100" s="2736"/>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7"/>
      <c r="O101" s="1768"/>
      <c r="P101" s="1766"/>
      <c r="Q101" s="1763"/>
      <c r="R101" s="1742"/>
      <c r="S101" s="1742"/>
      <c r="T101" s="1742"/>
      <c r="U101" s="1742"/>
      <c r="V101" s="1742"/>
      <c r="W101" s="1742"/>
      <c r="X101" s="1742"/>
      <c r="Y101" s="1742"/>
      <c r="Z101" s="1742"/>
      <c r="AA101" s="1742"/>
      <c r="AB101" s="1742"/>
      <c r="AC101" s="1742"/>
    </row>
    <row r="102" spans="1:29" ht="15.75" thickTop="1">
      <c r="A102" s="482"/>
      <c r="B102" s="623">
        <f>B33</f>
        <v>111</v>
      </c>
      <c r="C102" s="630"/>
      <c r="D102" s="630"/>
      <c r="E102" s="630"/>
      <c r="F102" s="630"/>
      <c r="G102" s="662"/>
      <c r="H102" s="662"/>
      <c r="I102" s="662"/>
      <c r="J102" s="662"/>
      <c r="K102" s="663"/>
      <c r="L102" s="664"/>
      <c r="M102" s="665"/>
      <c r="N102" s="2736"/>
      <c r="O102" s="1767"/>
      <c r="P102" s="1766"/>
      <c r="Q102" s="1763"/>
      <c r="R102" s="1742"/>
      <c r="S102" s="1742"/>
      <c r="T102" s="1742"/>
      <c r="U102" s="1742"/>
      <c r="V102" s="1742"/>
      <c r="W102" s="1742"/>
      <c r="X102" s="1742"/>
      <c r="Y102" s="1742"/>
      <c r="Z102" s="1742"/>
      <c r="AA102" s="1742"/>
      <c r="AB102" s="1742"/>
      <c r="AC102" s="1742"/>
    </row>
    <row r="103" spans="1:29" ht="15.75" thickBot="1">
      <c r="A103" s="482"/>
      <c r="B103" s="641"/>
      <c r="C103" s="634"/>
      <c r="D103" s="613"/>
      <c r="E103" s="613"/>
      <c r="F103" s="613"/>
      <c r="G103" s="666"/>
      <c r="H103" s="666"/>
      <c r="I103" s="666"/>
      <c r="J103" s="666"/>
      <c r="K103" s="666"/>
      <c r="L103" s="666"/>
      <c r="M103" s="667"/>
      <c r="N103" s="2737"/>
      <c r="O103" s="1768"/>
      <c r="P103" s="1766"/>
      <c r="Q103" s="1763"/>
      <c r="R103" s="1742"/>
      <c r="S103" s="1742"/>
      <c r="T103" s="1742"/>
      <c r="U103" s="1742"/>
      <c r="V103" s="1742"/>
      <c r="W103" s="1742"/>
      <c r="X103" s="1742"/>
      <c r="Y103" s="1742"/>
      <c r="Z103" s="1742"/>
      <c r="AA103" s="1742"/>
      <c r="AB103" s="1742"/>
      <c r="AC103" s="1742"/>
    </row>
    <row r="104" spans="1:29" ht="15" thickTop="1">
      <c r="A104" s="536"/>
      <c r="B104" s="615">
        <f>B34</f>
        <v>111</v>
      </c>
      <c r="C104" s="630"/>
      <c r="D104" s="630"/>
      <c r="E104" s="630"/>
      <c r="F104" s="630"/>
      <c r="G104" s="658"/>
      <c r="H104" s="658"/>
      <c r="I104" s="658"/>
      <c r="J104" s="658"/>
      <c r="K104" s="659"/>
      <c r="L104" s="660"/>
      <c r="M104" s="661"/>
      <c r="N104" s="2736"/>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34"/>
      <c r="D105" s="634"/>
      <c r="E105" s="634"/>
      <c r="F105" s="634"/>
      <c r="G105" s="613"/>
      <c r="H105" s="613"/>
      <c r="I105" s="613"/>
      <c r="J105" s="613"/>
      <c r="K105" s="613"/>
      <c r="L105" s="613"/>
      <c r="M105" s="614"/>
      <c r="N105" s="2737"/>
      <c r="O105" s="1768"/>
      <c r="P105" s="1766"/>
      <c r="Q105" s="1763"/>
      <c r="R105" s="1742"/>
      <c r="S105" s="1742"/>
      <c r="T105" s="1742"/>
      <c r="U105" s="1742"/>
      <c r="V105" s="1742"/>
      <c r="W105" s="1742"/>
      <c r="X105" s="1742"/>
      <c r="Y105" s="1742"/>
      <c r="Z105" s="1742"/>
      <c r="AA105" s="1742"/>
      <c r="AB105" s="1742"/>
      <c r="AC105" s="1742"/>
    </row>
    <row r="106" spans="1:29" s="1133" customFormat="1" ht="15" thickTop="1">
      <c r="A106" s="552"/>
      <c r="B106" s="668">
        <f>B35</f>
        <v>111</v>
      </c>
      <c r="C106" s="80"/>
      <c r="D106" s="80"/>
      <c r="E106" s="80"/>
      <c r="F106" s="80"/>
      <c r="G106" s="79"/>
      <c r="H106" s="79"/>
      <c r="I106" s="79"/>
      <c r="J106" s="669"/>
      <c r="K106" s="669"/>
      <c r="L106" s="670"/>
      <c r="M106" s="671"/>
      <c r="N106" s="2738"/>
      <c r="O106" s="1769"/>
      <c r="P106" s="1769"/>
      <c r="Q106" s="1770"/>
      <c r="R106" s="1771"/>
      <c r="S106" s="1771"/>
      <c r="T106" s="1771"/>
      <c r="U106" s="1771"/>
      <c r="V106" s="1771"/>
      <c r="W106" s="1771"/>
      <c r="X106" s="1771"/>
      <c r="Y106" s="1771"/>
      <c r="Z106" s="1771"/>
      <c r="AA106" s="1771"/>
      <c r="AB106" s="1771"/>
      <c r="AC106" s="1771"/>
    </row>
    <row r="107" spans="1:29" s="1133" customFormat="1" ht="15.75" thickBot="1">
      <c r="A107" s="629"/>
      <c r="B107" s="623"/>
      <c r="C107" s="642"/>
      <c r="D107" s="642"/>
      <c r="E107" s="642"/>
      <c r="F107" s="642"/>
      <c r="G107" s="541"/>
      <c r="H107" s="541"/>
      <c r="I107" s="541"/>
      <c r="J107" s="541"/>
      <c r="K107" s="541"/>
      <c r="L107" s="541"/>
      <c r="M107" s="672"/>
      <c r="N107" s="2737"/>
      <c r="O107" s="1768"/>
      <c r="P107" s="1769"/>
      <c r="Q107" s="1770"/>
      <c r="R107" s="1771"/>
      <c r="S107" s="1771"/>
      <c r="T107" s="1771"/>
      <c r="U107" s="1771"/>
      <c r="V107" s="1771"/>
      <c r="W107" s="1771"/>
      <c r="X107" s="1771"/>
      <c r="Y107" s="1771"/>
      <c r="Z107" s="1771"/>
      <c r="AA107" s="1771"/>
      <c r="AB107" s="1771"/>
      <c r="AC107" s="1771"/>
    </row>
    <row r="108" spans="1:29">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8" t="str">
        <f t="shared" si="24"/>
        <v>(含)-</v>
      </c>
      <c r="L108" s="2349" t="str">
        <f t="shared" si="24"/>
        <v>(含)-</v>
      </c>
      <c r="M108" s="145" t="str">
        <f>M109&amp;"(含)"&amp;"-"&amp;P109</f>
        <v>(含)-</v>
      </c>
      <c r="N108" s="2736"/>
      <c r="O108" s="1767"/>
      <c r="P108" s="1766"/>
      <c r="Q108" s="1763"/>
      <c r="R108" s="1742"/>
      <c r="S108" s="1742"/>
      <c r="T108" s="1742"/>
      <c r="U108" s="1742"/>
      <c r="V108" s="1742"/>
      <c r="W108" s="1742"/>
      <c r="X108" s="1742"/>
      <c r="Y108" s="1742"/>
      <c r="Z108" s="1742"/>
      <c r="AA108" s="1742"/>
      <c r="AB108" s="1742"/>
      <c r="AC108" s="1742"/>
    </row>
    <row r="109" spans="1:29" ht="15">
      <c r="A109" s="482"/>
      <c r="B109" s="623"/>
      <c r="C109" s="79"/>
      <c r="D109" s="79"/>
      <c r="E109" s="79"/>
      <c r="F109" s="79"/>
      <c r="G109" s="79"/>
      <c r="H109" s="79"/>
      <c r="I109" s="79"/>
      <c r="J109" s="669"/>
      <c r="K109" s="669"/>
      <c r="L109" s="670"/>
      <c r="M109" s="671"/>
      <c r="N109" s="2736"/>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42"/>
      <c r="D110" s="666"/>
      <c r="E110" s="666"/>
      <c r="F110" s="666"/>
      <c r="G110" s="666"/>
      <c r="H110" s="666"/>
      <c r="I110" s="666"/>
      <c r="J110" s="666"/>
      <c r="K110" s="666"/>
      <c r="L110" s="666"/>
      <c r="M110" s="667"/>
      <c r="N110" s="2737"/>
      <c r="O110" s="1768"/>
      <c r="P110" s="1766"/>
      <c r="Q110" s="1763"/>
      <c r="R110" s="1742"/>
      <c r="S110" s="1742"/>
      <c r="T110" s="1742"/>
      <c r="U110" s="1742"/>
      <c r="V110" s="1742"/>
      <c r="W110" s="1742"/>
      <c r="X110" s="1742"/>
      <c r="Y110" s="1742"/>
      <c r="Z110" s="1742"/>
      <c r="AA110" s="1742"/>
      <c r="AB110" s="1742"/>
      <c r="AC110" s="1742"/>
    </row>
    <row r="111" spans="1:29" ht="15" thickTop="1">
      <c r="A111" s="543"/>
      <c r="B111" s="615" t="s">
        <v>542</v>
      </c>
      <c r="C111" s="658"/>
      <c r="D111" s="658"/>
      <c r="E111" s="658"/>
      <c r="F111" s="658"/>
      <c r="G111" s="658"/>
      <c r="H111" s="658"/>
      <c r="I111" s="658"/>
      <c r="J111" s="658"/>
      <c r="K111" s="659"/>
      <c r="L111" s="660"/>
      <c r="M111" s="661"/>
      <c r="N111" s="2736"/>
      <c r="O111" s="1767"/>
      <c r="P111" s="1766"/>
      <c r="Q111" s="1763"/>
      <c r="R111" s="1742"/>
      <c r="S111" s="1742"/>
      <c r="T111" s="1742"/>
      <c r="U111" s="1742"/>
      <c r="V111" s="1742"/>
      <c r="W111" s="1742"/>
      <c r="X111" s="1742"/>
      <c r="Y111" s="1742"/>
      <c r="Z111" s="1742"/>
      <c r="AA111" s="1742"/>
      <c r="AB111" s="1742"/>
      <c r="AC111" s="1742"/>
    </row>
    <row r="112" spans="1:29" ht="15.75"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7"/>
      <c r="O112" s="1768"/>
      <c r="P112" s="1766"/>
      <c r="Q112" s="1763"/>
      <c r="R112" s="1742"/>
      <c r="S112" s="1742"/>
      <c r="T112" s="1742"/>
      <c r="U112" s="1742"/>
      <c r="V112" s="1742"/>
      <c r="W112" s="1742"/>
      <c r="X112" s="1742"/>
      <c r="Y112" s="1742"/>
      <c r="Z112" s="1742"/>
      <c r="AA112" s="1742"/>
      <c r="AB112" s="1742"/>
      <c r="AC112" s="1742"/>
    </row>
    <row r="113" spans="1:29" s="1133" customFormat="1" ht="15" thickTop="1">
      <c r="A113" s="552"/>
      <c r="B113" s="1555" t="s">
        <v>1777</v>
      </c>
      <c r="C113" s="1166"/>
      <c r="D113" s="1166"/>
      <c r="E113" s="1166"/>
      <c r="F113" s="1166"/>
      <c r="G113" s="1166"/>
      <c r="H113" s="658"/>
      <c r="I113" s="658"/>
      <c r="J113" s="658"/>
      <c r="K113" s="659"/>
      <c r="L113" s="660"/>
      <c r="M113" s="661"/>
      <c r="N113" s="2738"/>
      <c r="O113" s="1769"/>
      <c r="P113" s="1769"/>
      <c r="Q113" s="1770"/>
      <c r="R113" s="1771"/>
      <c r="S113" s="1771"/>
      <c r="T113" s="1771"/>
      <c r="U113" s="1771"/>
      <c r="V113" s="1771"/>
      <c r="W113" s="1771"/>
      <c r="X113" s="1771"/>
      <c r="Y113" s="1771"/>
      <c r="Z113" s="1771"/>
      <c r="AA113" s="1771"/>
      <c r="AB113" s="1771"/>
      <c r="AC113" s="1771"/>
    </row>
    <row r="114" spans="1:29" s="1133" customFormat="1" ht="15.75"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8"/>
      <c r="O114" s="1769"/>
      <c r="P114" s="1769"/>
      <c r="Q114" s="1770"/>
      <c r="R114" s="1771"/>
      <c r="S114" s="1771"/>
      <c r="T114" s="1771"/>
      <c r="U114" s="1771"/>
      <c r="V114" s="1771"/>
      <c r="W114" s="1771"/>
      <c r="X114" s="1771"/>
      <c r="Y114" s="1771"/>
      <c r="Z114" s="1771"/>
      <c r="AA114" s="1771"/>
      <c r="AB114" s="1771"/>
      <c r="AC114" s="1771"/>
    </row>
    <row r="115" spans="1:29" ht="15" thickTop="1">
      <c r="A115" s="543"/>
      <c r="B115" s="615" t="s">
        <v>544</v>
      </c>
      <c r="C115" s="630"/>
      <c r="D115" s="630"/>
      <c r="E115" s="658"/>
      <c r="F115" s="658"/>
      <c r="G115" s="658"/>
      <c r="H115" s="658"/>
      <c r="I115" s="658"/>
      <c r="J115" s="658"/>
      <c r="K115" s="659"/>
      <c r="L115" s="660"/>
      <c r="M115" s="661"/>
      <c r="N115" s="2736"/>
      <c r="O115" s="1767"/>
      <c r="P115" s="1766"/>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7"/>
      <c r="O116" s="1768"/>
      <c r="P116" s="1766"/>
      <c r="Q116" s="1763"/>
      <c r="R116" s="1742"/>
      <c r="S116" s="1742"/>
      <c r="T116" s="1742"/>
      <c r="U116" s="1742"/>
      <c r="V116" s="1742"/>
      <c r="W116" s="1742"/>
      <c r="X116" s="1742"/>
      <c r="Y116" s="1742"/>
      <c r="Z116" s="1742"/>
      <c r="AA116" s="1742"/>
      <c r="AB116" s="1742"/>
      <c r="AC116" s="1742"/>
    </row>
    <row r="117" spans="1:29" ht="15" thickTop="1">
      <c r="A117" s="543"/>
      <c r="B117" s="615">
        <f>B40</f>
        <v>111</v>
      </c>
      <c r="C117" s="630"/>
      <c r="D117" s="630"/>
      <c r="E117" s="630"/>
      <c r="F117" s="630"/>
      <c r="G117" s="630"/>
      <c r="H117" s="658"/>
      <c r="I117" s="658"/>
      <c r="J117" s="658"/>
      <c r="K117" s="659"/>
      <c r="L117" s="660"/>
      <c r="M117" s="661"/>
      <c r="N117" s="2736"/>
      <c r="O117" s="1767"/>
      <c r="P117" s="1766"/>
      <c r="Q117" s="1763"/>
      <c r="R117" s="1742"/>
      <c r="S117" s="1742"/>
      <c r="T117" s="1742"/>
      <c r="U117" s="1742"/>
      <c r="V117" s="1742"/>
      <c r="W117" s="1742"/>
      <c r="X117" s="1742"/>
      <c r="Y117" s="1742"/>
      <c r="Z117" s="1742"/>
      <c r="AA117" s="1742"/>
      <c r="AB117" s="1742"/>
      <c r="AC117" s="1742"/>
    </row>
    <row r="118" spans="1:29" ht="15.75" thickBot="1">
      <c r="A118" s="482"/>
      <c r="B118" s="620"/>
      <c r="C118" s="634"/>
      <c r="D118" s="613"/>
      <c r="E118" s="613"/>
      <c r="F118" s="613"/>
      <c r="G118" s="613"/>
      <c r="H118" s="613"/>
      <c r="I118" s="613"/>
      <c r="J118" s="613"/>
      <c r="K118" s="613"/>
      <c r="L118" s="613"/>
      <c r="M118" s="614"/>
      <c r="N118" s="2737"/>
      <c r="O118" s="1768"/>
      <c r="P118" s="1766"/>
      <c r="Q118" s="1763"/>
      <c r="R118" s="1742"/>
      <c r="S118" s="1742"/>
      <c r="T118" s="1742"/>
      <c r="U118" s="1742"/>
      <c r="V118" s="1742"/>
      <c r="W118" s="1742"/>
      <c r="X118" s="1742"/>
      <c r="Y118" s="1742"/>
      <c r="Z118" s="1742"/>
      <c r="AA118" s="1742"/>
      <c r="AB118" s="1742"/>
      <c r="AC118" s="1742"/>
    </row>
    <row r="119" spans="1:29" ht="15" thickTop="1">
      <c r="A119" s="543"/>
      <c r="B119" s="615">
        <f>B41</f>
        <v>111</v>
      </c>
      <c r="C119" s="630"/>
      <c r="D119" s="630"/>
      <c r="E119" s="630"/>
      <c r="F119" s="630"/>
      <c r="G119" s="658"/>
      <c r="H119" s="658"/>
      <c r="I119" s="658"/>
      <c r="J119" s="658"/>
      <c r="K119" s="659"/>
      <c r="L119" s="660"/>
      <c r="M119" s="661"/>
      <c r="N119" s="2736"/>
      <c r="O119" s="1767"/>
      <c r="P119" s="1766"/>
      <c r="Q119" s="1763"/>
      <c r="R119" s="1742"/>
      <c r="S119" s="1742"/>
      <c r="T119" s="1742"/>
      <c r="U119" s="1742"/>
      <c r="V119" s="1742"/>
      <c r="W119" s="1742"/>
      <c r="X119" s="1742"/>
      <c r="Y119" s="1742"/>
      <c r="Z119" s="1742"/>
      <c r="AA119" s="1742"/>
      <c r="AB119" s="1742"/>
      <c r="AC119" s="1742"/>
    </row>
    <row r="120" spans="1:29" ht="15.75" thickBot="1">
      <c r="A120" s="482"/>
      <c r="B120" s="620"/>
      <c r="C120" s="634"/>
      <c r="D120" s="634"/>
      <c r="E120" s="634"/>
      <c r="F120" s="634"/>
      <c r="G120" s="613"/>
      <c r="H120" s="613"/>
      <c r="I120" s="613"/>
      <c r="J120" s="613"/>
      <c r="K120" s="613"/>
      <c r="L120" s="613"/>
      <c r="M120" s="614"/>
      <c r="N120" s="2737"/>
      <c r="O120" s="1768"/>
      <c r="P120" s="1766"/>
      <c r="Q120" s="1763"/>
      <c r="R120" s="1742"/>
      <c r="S120" s="1742"/>
      <c r="T120" s="1742"/>
      <c r="U120" s="1742"/>
      <c r="V120" s="1742"/>
      <c r="W120" s="1742"/>
      <c r="X120" s="1742"/>
      <c r="Y120" s="1742"/>
      <c r="Z120" s="1742"/>
      <c r="AA120" s="1742"/>
      <c r="AB120" s="1742"/>
      <c r="AC120" s="1742"/>
    </row>
    <row r="121" spans="1:29" s="1133" customFormat="1" ht="15" thickTop="1">
      <c r="A121" s="552"/>
      <c r="B121" s="615">
        <f>B42</f>
        <v>111</v>
      </c>
      <c r="C121" s="80"/>
      <c r="D121" s="80"/>
      <c r="E121" s="80"/>
      <c r="F121" s="80"/>
      <c r="G121" s="631"/>
      <c r="H121" s="631"/>
      <c r="I121" s="631"/>
      <c r="J121" s="631"/>
      <c r="K121" s="631"/>
      <c r="L121" s="632"/>
      <c r="M121" s="633"/>
      <c r="N121" s="2738"/>
      <c r="O121" s="1769"/>
      <c r="P121" s="1769"/>
      <c r="Q121" s="1770"/>
      <c r="R121" s="1771"/>
      <c r="S121" s="1771"/>
      <c r="T121" s="1771"/>
      <c r="U121" s="1771"/>
      <c r="V121" s="1771"/>
      <c r="W121" s="1771"/>
      <c r="X121" s="1771"/>
      <c r="Y121" s="1771"/>
      <c r="Z121" s="1771"/>
      <c r="AA121" s="1771"/>
      <c r="AB121" s="1771"/>
      <c r="AC121" s="1771"/>
    </row>
    <row r="122" spans="1:29" s="1133" customFormat="1" ht="15.75" thickBot="1">
      <c r="A122" s="640"/>
      <c r="B122" s="673"/>
      <c r="C122" s="642"/>
      <c r="D122" s="642"/>
      <c r="E122" s="642"/>
      <c r="F122" s="642"/>
      <c r="G122" s="666"/>
      <c r="H122" s="666"/>
      <c r="I122" s="666"/>
      <c r="J122" s="666"/>
      <c r="K122" s="666"/>
      <c r="L122" s="666"/>
      <c r="M122" s="667"/>
      <c r="N122" s="2738"/>
      <c r="O122" s="1769"/>
      <c r="P122" s="1769"/>
      <c r="Q122" s="1770"/>
      <c r="R122" s="1771"/>
      <c r="S122" s="1771"/>
      <c r="T122" s="1771"/>
      <c r="U122" s="1771"/>
      <c r="V122" s="1771"/>
      <c r="W122" s="1771"/>
      <c r="X122" s="1771"/>
      <c r="Y122" s="1771"/>
      <c r="Z122" s="1771"/>
      <c r="AA122" s="1771"/>
      <c r="AB122" s="1771"/>
      <c r="AC122" s="1771"/>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500-000000000000}">
      <formula1>单价内涵</formula1>
    </dataValidation>
    <dataValidation type="list" allowBlank="1" showInputMessage="1" showErrorMessage="1" sqref="C24 E24 G24 I24" xr:uid="{00000000-0002-0000-1500-000001000000}">
      <formula1>环境</formula1>
    </dataValidation>
    <dataValidation type="list" allowBlank="1" showInputMessage="1" showErrorMessage="1" sqref="E20 C20 G20 I20" xr:uid="{00000000-0002-0000-1500-000002000000}">
      <formula1>交通便捷度</formula1>
    </dataValidation>
    <dataValidation type="list" allowBlank="1" showInputMessage="1" showErrorMessage="1" sqref="E26 C26 I26 G26" xr:uid="{00000000-0002-0000-1500-000003000000}">
      <formula1>公共配套设施</formula1>
    </dataValidation>
    <dataValidation type="list" allowBlank="1" showInputMessage="1" showErrorMessage="1" sqref="C10 E10 G10 I10" xr:uid="{00000000-0002-0000-1500-000004000000}">
      <formula1>套工交易情况</formula1>
    </dataValidation>
    <dataValidation type="list" allowBlank="1" showInputMessage="1" showErrorMessage="1" sqref="C11 E11 G11 I11" xr:uid="{00000000-0002-0000-1500-000005000000}">
      <formula1>套工用途</formula1>
    </dataValidation>
    <dataValidation type="list" allowBlank="1" showInputMessage="1" showErrorMessage="1" sqref="I32 E32 G32" xr:uid="{00000000-0002-0000-1500-000006000000}">
      <formula1>套工土地级别</formula1>
    </dataValidation>
    <dataValidation type="list" allowBlank="1" showInputMessage="1" showErrorMessage="1" sqref="C29 E29 G29 I29" xr:uid="{00000000-0002-0000-1500-000007000000}">
      <formula1>临街状况</formula1>
    </dataValidation>
    <dataValidation type="list" allowBlank="1" showInputMessage="1" showErrorMessage="1" sqref="E22 C22 G22 I22" xr:uid="{00000000-0002-0000-1500-000008000000}">
      <formula1>区域土地利用方向</formula1>
    </dataValidation>
    <dataValidation type="list" allowBlank="1" showInputMessage="1" showErrorMessage="1" sqref="C52" xr:uid="{00000000-0002-0000-1500-000009000000}">
      <formula1>"北京市系数,其他省市系数"</formula1>
    </dataValidation>
    <dataValidation type="list" allowBlank="1" showInputMessage="1" showErrorMessage="1" sqref="G58" xr:uid="{00000000-0002-0000-1500-00000A000000}">
      <formula1>"商业,办公,住宅,工业"</formula1>
    </dataValidation>
    <dataValidation type="list" allowBlank="1" showInputMessage="1" showErrorMessage="1" sqref="G59" xr:uid="{00000000-0002-0000-1500-00000B000000}">
      <formula1>"住宅,工业"</formula1>
    </dataValidation>
    <dataValidation type="list" allowBlank="1" showInputMessage="1" showErrorMessage="1" sqref="C18 E18 G18 I18" xr:uid="{00000000-0002-0000-1500-00000C000000}">
      <formula1>产业集聚程度</formula1>
    </dataValidation>
    <dataValidation type="list" allowBlank="1" showInputMessage="1" showErrorMessage="1" sqref="C28 E28 G28 I28" xr:uid="{00000000-0002-0000-1500-00000D000000}">
      <formula1>基础设施水平</formula1>
    </dataValidation>
    <dataValidation type="list" allowBlank="1" showInputMessage="1" showErrorMessage="1" sqref="C31 E31 G31 I31" xr:uid="{00000000-0002-0000-1500-00000E000000}">
      <formula1>套工临街等级</formula1>
    </dataValidation>
    <dataValidation type="list" allowBlank="1" showInputMessage="1" showErrorMessage="1" sqref="C37 E37 G37 I37" xr:uid="{00000000-0002-0000-1500-00000F000000}">
      <formula1>套工宗地形状</formula1>
    </dataValidation>
    <dataValidation type="list" allowBlank="1" showInputMessage="1" showErrorMessage="1" sqref="C38 E38 G38 I38" xr:uid="{00000000-0002-0000-1500-000010000000}">
      <formula1>套工开发程度</formula1>
    </dataValidation>
    <dataValidation type="list" allowBlank="1" showInputMessage="1" showErrorMessage="1" sqref="C39 E39 G39 I39" xr:uid="{00000000-0002-0000-1500-000011000000}">
      <formula1>套工工程地质条件</formula1>
    </dataValidation>
    <dataValidation type="list" allowBlank="1" showInputMessage="1" showErrorMessage="1" sqref="D44" xr:uid="{00000000-0002-0000-1500-000012000000}">
      <formula1>"简单平均,加权平均"</formula1>
    </dataValidation>
    <dataValidation type="list" allowBlank="1" showInputMessage="1" showErrorMessage="1" sqref="D54:D61" xr:uid="{00000000-0002-0000-15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R123"/>
  <sheetViews>
    <sheetView view="pageBreakPreview" zoomScale="70" zoomScaleNormal="60" zoomScaleSheetLayoutView="70" workbookViewId="0">
      <selection activeCell="F14" sqref="F14:F15"/>
    </sheetView>
  </sheetViews>
  <sheetFormatPr defaultColWidth="12" defaultRowHeight="12"/>
  <cols>
    <col min="1" max="1" width="9.75" style="1188" customWidth="1"/>
    <col min="2" max="2" width="24.625" style="1274" customWidth="1"/>
    <col min="3" max="4" width="12" style="1189"/>
    <col min="5" max="5" width="14.625" style="1189" customWidth="1"/>
    <col min="6" max="8" width="12" style="1189"/>
    <col min="9" max="9" width="12.25" style="1189" bestFit="1" customWidth="1"/>
    <col min="10" max="10" width="12" style="1189"/>
    <col min="11" max="11" width="9.625" style="1186" customWidth="1"/>
    <col min="12" max="12" width="15.75" style="1189" customWidth="1"/>
    <col min="13" max="14" width="10.625" style="1189" customWidth="1"/>
    <col min="15" max="17" width="12" style="1189"/>
    <col min="18" max="18" width="12" style="1188"/>
    <col min="19" max="22" width="15.5" style="1188" customWidth="1"/>
    <col min="23" max="28" width="12" style="1189"/>
    <col min="29" max="29" width="9.375" style="1188" customWidth="1"/>
    <col min="30" max="35" width="9.375" style="1187" customWidth="1"/>
    <col min="36" max="39" width="9.375" style="1188" customWidth="1"/>
    <col min="40" max="41" width="9.375" style="1189" customWidth="1"/>
    <col min="42" max="16384" width="12" style="1189"/>
  </cols>
  <sheetData>
    <row r="1" spans="1:39" ht="20.25">
      <c r="A1" s="1183" t="s">
        <v>1227</v>
      </c>
      <c r="B1" s="1184"/>
      <c r="C1" s="1190" t="s">
        <v>1778</v>
      </c>
      <c r="D1" s="1267">
        <f>SUM(D33:D34,D37:D42)</f>
        <v>0</v>
      </c>
      <c r="E1" s="1190" t="s">
        <v>1779</v>
      </c>
      <c r="F1" s="1252"/>
      <c r="G1" s="1185"/>
      <c r="H1" s="1185"/>
      <c r="I1" s="1185"/>
      <c r="J1" s="1185"/>
      <c r="K1" s="1789"/>
      <c r="L1" s="1541" t="s">
        <v>1597</v>
      </c>
      <c r="M1" s="1542">
        <f>SUMPRODUCT((区片价!B5:B9=I2)*(区片价!C3:G3=E2)*(区片价!C5:G9))</f>
        <v>0</v>
      </c>
      <c r="N1" s="1543">
        <f>SUMPRODUCT((因素修正幅度!B5:B9=I2)*(因素修正幅度!C3:G3=E2)*(因素修正幅度!C5:G9))</f>
        <v>0</v>
      </c>
      <c r="O1" s="1789"/>
      <c r="P1" s="1789"/>
      <c r="Q1" s="1789"/>
      <c r="R1" s="2232" t="s">
        <v>2043</v>
      </c>
      <c r="S1" s="2232" t="s">
        <v>2044</v>
      </c>
      <c r="T1" s="2232" t="s">
        <v>2061</v>
      </c>
      <c r="U1" s="2232" t="s">
        <v>2062</v>
      </c>
      <c r="V1" s="2232" t="s">
        <v>2063</v>
      </c>
      <c r="W1" s="1789"/>
      <c r="X1" s="1789"/>
      <c r="Y1" s="1789"/>
      <c r="Z1" s="1789"/>
      <c r="AA1" s="1789"/>
      <c r="AB1" s="1789"/>
      <c r="AC1" s="1790"/>
    </row>
    <row r="2" spans="1:39" ht="15.75">
      <c r="A2" s="1190" t="s">
        <v>848</v>
      </c>
      <c r="B2" s="940" t="e">
        <f>C30</f>
        <v>#DIV/0!</v>
      </c>
      <c r="C2" s="1191" t="s">
        <v>849</v>
      </c>
      <c r="D2" s="1192" t="s">
        <v>850</v>
      </c>
      <c r="E2" s="1193"/>
      <c r="F2" s="1192" t="s">
        <v>852</v>
      </c>
      <c r="G2" s="1372">
        <f>IF(E2="商业",项目基本情况!B43,IF(E2="办公",项目基本情况!C43,IF(E2="住宅",项目基本情况!D43,IF(E2="工业",项目基本情况!E43,项目基本情况!F43))))</f>
        <v>0</v>
      </c>
      <c r="H2" s="1192" t="s">
        <v>854</v>
      </c>
      <c r="I2" s="945">
        <f>IF(E2="商业",项目基本情况!B44,IF(E2="办公",项目基本情况!C44,IF(E2="住宅",项目基本情况!D44,IF(E2="工业",项目基本情况!E44,项目基本情况!F44))))</f>
        <v>0</v>
      </c>
      <c r="J2" s="1185"/>
      <c r="K2" s="1789"/>
      <c r="L2" s="1544" t="s">
        <v>1598</v>
      </c>
      <c r="M2" s="1545">
        <f>SUMPRODUCT((区片价!B10:B28=I2)*(区片价!C3:G3=E2)*(区片价!C10:G28))</f>
        <v>0</v>
      </c>
      <c r="N2" s="1546">
        <f>SUMPRODUCT((因素修正幅度!B10:B29=I2)*(因素修正幅度!C3:G3=E2)*(因素修正幅度!C10:G29))</f>
        <v>0</v>
      </c>
      <c r="O2" s="1789"/>
      <c r="P2" s="1789"/>
      <c r="Q2" s="1789"/>
      <c r="R2" s="2233">
        <v>1</v>
      </c>
      <c r="S2" s="2233">
        <f>ROUND(SUMPRODUCT((B107:B111=R2)*(C106:N106=G2)*(C107:N111)),4)</f>
        <v>0</v>
      </c>
      <c r="T2" s="2233" t="e">
        <f>ROUND($C$5*$C$22*$C$23*$C$24*S2*$C$28,0)</f>
        <v>#DIV/0!</v>
      </c>
      <c r="U2" s="2223"/>
      <c r="V2" s="2233" t="e">
        <f>ROUND(T2*U2/10000,0)</f>
        <v>#DIV/0!</v>
      </c>
      <c r="W2" s="1789"/>
      <c r="X2" s="1789"/>
      <c r="Y2" s="1789"/>
      <c r="Z2" s="1789"/>
      <c r="AA2" s="1789"/>
      <c r="AB2" s="1789"/>
      <c r="AC2" s="1790"/>
    </row>
    <row r="3" spans="1:39" ht="15.75">
      <c r="A3" s="1194" t="s">
        <v>1220</v>
      </c>
      <c r="B3" s="940" t="e">
        <f>ROUND(B2*10000/D1,0)</f>
        <v>#DIV/0!</v>
      </c>
      <c r="C3" s="1191" t="s">
        <v>855</v>
      </c>
      <c r="D3" s="1192" t="s">
        <v>856</v>
      </c>
      <c r="E3" s="1195"/>
      <c r="F3" s="1196"/>
      <c r="G3" s="941">
        <f>IF(F3="宗地容积率",'数据-汇总表'!I4,IF(F3="估价对象容积率",'数据-汇总表'!I6,'数据-汇总表'!I7))</f>
        <v>0</v>
      </c>
      <c r="H3" s="1192" t="s">
        <v>857</v>
      </c>
      <c r="I3" s="942"/>
      <c r="J3" s="1185" t="s">
        <v>858</v>
      </c>
      <c r="K3" s="1789"/>
      <c r="L3" s="1544" t="s">
        <v>1599</v>
      </c>
      <c r="M3" s="1545">
        <f>SUMPRODUCT((区片价!B30:B54=I2)*(区片价!C3:G3=E2)*(区片价!C30:G54))</f>
        <v>0</v>
      </c>
      <c r="N3" s="1546">
        <f>SUMPRODUCT((因素修正幅度!B30:B54=I2)*(因素修正幅度!C3:G3=E2)*(因素修正幅度!C30:G54))</f>
        <v>0</v>
      </c>
      <c r="O3" s="1789"/>
      <c r="P3" s="1789"/>
      <c r="Q3" s="1789"/>
      <c r="R3" s="2233">
        <v>2</v>
      </c>
      <c r="S3" s="2233">
        <f>ROUND(SUMPRODUCT((B107:B111=R3)*(C106:N106=G2)*(C107:N111)),4)</f>
        <v>0</v>
      </c>
      <c r="T3" s="2233" t="e">
        <f t="shared" ref="T3:T16" si="0">ROUND($C$5*$C$22*$C$23*$C$24*S3*$C$28,0)</f>
        <v>#DIV/0!</v>
      </c>
      <c r="U3" s="2223"/>
      <c r="V3" s="2233" t="e">
        <f t="shared" ref="V3:V16" si="1">ROUND(T3*U3/10000,0)</f>
        <v>#DIV/0!</v>
      </c>
      <c r="W3" s="1789"/>
      <c r="X3" s="1789"/>
      <c r="Y3" s="1789"/>
      <c r="Z3" s="1789"/>
      <c r="AA3" s="1789"/>
      <c r="AB3" s="1789"/>
      <c r="AC3" s="1790"/>
    </row>
    <row r="4" spans="1:39" ht="28.5">
      <c r="A4" s="1550" t="s">
        <v>1638</v>
      </c>
      <c r="B4" s="1970" t="e">
        <f>ROUND(B2*10000/F1,0)</f>
        <v>#DIV/0!</v>
      </c>
      <c r="C4" s="1553" t="s">
        <v>1613</v>
      </c>
      <c r="D4" s="1553" t="e">
        <f>ROUND(B2/(F1/666.67),0)</f>
        <v>#DIV/0!</v>
      </c>
      <c r="E4" s="1553" t="s">
        <v>1614</v>
      </c>
      <c r="F4" s="1551"/>
      <c r="G4" s="1551"/>
      <c r="H4" s="1551"/>
      <c r="I4" s="1551"/>
      <c r="J4" s="1552"/>
      <c r="K4" s="2739"/>
      <c r="L4" s="1544" t="s">
        <v>1600</v>
      </c>
      <c r="M4" s="1545">
        <f>SUMPRODUCT((区片价!B55:B86=I2)*(区片价!C3:G3=E2)*(区片价!C55:G86))</f>
        <v>0</v>
      </c>
      <c r="N4" s="1546">
        <f>SUMPRODUCT((因素修正幅度!B55:B86=I2)*(因素修正幅度!C3:G3=E2)*(因素修正幅度!C55:G86))</f>
        <v>0</v>
      </c>
      <c r="O4" s="2739"/>
      <c r="P4" s="1789"/>
      <c r="Q4" s="1789"/>
      <c r="R4" s="2233">
        <v>3</v>
      </c>
      <c r="S4" s="2233">
        <f>ROUND(SUMPRODUCT((B107:B111=R4)*(C106:N106=G2)*(C107:N111)),4)</f>
        <v>0</v>
      </c>
      <c r="T4" s="2233" t="e">
        <f t="shared" si="0"/>
        <v>#DIV/0!</v>
      </c>
      <c r="U4" s="2223"/>
      <c r="V4" s="2233" t="e">
        <f t="shared" si="1"/>
        <v>#DIV/0!</v>
      </c>
      <c r="W4" s="1789"/>
      <c r="X4" s="1789"/>
      <c r="Y4" s="1789"/>
      <c r="Z4" s="1789"/>
      <c r="AA4" s="1789"/>
      <c r="AB4" s="1789"/>
      <c r="AC4" s="1790"/>
    </row>
    <row r="5" spans="1:39" s="1203" customFormat="1" ht="15.75" thickBot="1">
      <c r="A5" s="1359" t="s">
        <v>1352</v>
      </c>
      <c r="B5" s="1197" t="s">
        <v>859</v>
      </c>
      <c r="C5" s="943" t="e">
        <f>ROUND(IF(E2="商业",C6*C7*C17+C20,(IF(E2="住宅",C6*C13*C17+C20,IF(E2="办公",C6*C12*C17+C20,C6+C20)))),0)</f>
        <v>#DIV/0!</v>
      </c>
      <c r="D5" s="2358" t="e">
        <f>ROUND(C6*C17+C20,0)</f>
        <v>#DIV/0!</v>
      </c>
      <c r="E5" s="2358"/>
      <c r="F5" s="1198"/>
      <c r="G5" s="1199"/>
      <c r="H5" s="1199"/>
      <c r="I5" s="1199"/>
      <c r="J5" s="1200"/>
      <c r="K5" s="2740"/>
      <c r="L5" s="1544" t="s">
        <v>1601</v>
      </c>
      <c r="M5" s="1545">
        <f>SUMPRODUCT((区片价!B76:B109=I2)*(区片价!C3:G3=E2)*(区片价!C76:G109))</f>
        <v>0</v>
      </c>
      <c r="N5" s="1546">
        <f>SUMPRODUCT((因素修正幅度!B87:B126=I2)*(因素修正幅度!C3:G3=E2)*(因素修正幅度!C87:G126))</f>
        <v>0</v>
      </c>
      <c r="O5" s="2740"/>
      <c r="P5" s="2742"/>
      <c r="Q5" s="1789"/>
      <c r="R5" s="2233">
        <v>4</v>
      </c>
      <c r="S5" s="2233">
        <f>ROUND(SUMPRODUCT((B107:B111=R5)*(C106:N106=G2)*(C107:N111)),4)</f>
        <v>0</v>
      </c>
      <c r="T5" s="2233" t="e">
        <f t="shared" si="0"/>
        <v>#DIV/0!</v>
      </c>
      <c r="U5" s="2223"/>
      <c r="V5" s="2233" t="e">
        <f t="shared" si="1"/>
        <v>#DIV/0!</v>
      </c>
      <c r="W5" s="1789"/>
      <c r="X5" s="1789"/>
      <c r="Y5" s="1789"/>
      <c r="Z5" s="1789"/>
      <c r="AA5" s="1789"/>
      <c r="AB5" s="1789"/>
      <c r="AC5" s="1791"/>
      <c r="AD5" s="1201"/>
      <c r="AE5" s="1201"/>
      <c r="AF5" s="1201"/>
      <c r="AG5" s="1201"/>
      <c r="AH5" s="1201"/>
      <c r="AI5" s="1201"/>
      <c r="AJ5" s="1202"/>
      <c r="AK5" s="1202"/>
      <c r="AL5" s="1202"/>
      <c r="AM5" s="1202"/>
    </row>
    <row r="6" spans="1:39" ht="15.75" thickBot="1">
      <c r="A6" s="3251" t="s">
        <v>1395</v>
      </c>
      <c r="B6" s="1204" t="s">
        <v>859</v>
      </c>
      <c r="C6" s="3252">
        <f>SUMIF(L1:L12,G2,M1:M12)</f>
        <v>0</v>
      </c>
      <c r="D6" s="3253" t="s">
        <v>1228</v>
      </c>
      <c r="E6" s="1204"/>
      <c r="F6" s="1204"/>
      <c r="G6" s="3254"/>
      <c r="H6" s="3254"/>
      <c r="I6" s="3254"/>
      <c r="J6" s="3255"/>
      <c r="K6" s="1789"/>
      <c r="L6" s="1544" t="s">
        <v>1602</v>
      </c>
      <c r="M6" s="1545">
        <f>SUMPRODUCT((区片价!B127:B189=I2)*(区片价!C3:G3=E2)*(区片价!C127:G189))</f>
        <v>0</v>
      </c>
      <c r="N6" s="1546">
        <f>SUMPRODUCT((因素修正幅度!B127:B189=I2)*(因素修正幅度!C3:G3=E2)*(因素修正幅度!C127:G189))</f>
        <v>0</v>
      </c>
      <c r="O6" s="1789"/>
      <c r="P6" s="2743"/>
      <c r="Q6" s="1789"/>
      <c r="R6" s="2233">
        <v>5</v>
      </c>
      <c r="S6" s="2233">
        <f>ROUND(SUMPRODUCT((B107:B111=R6)*(C106:N106=G2)*(C107:N111)),4)</f>
        <v>0</v>
      </c>
      <c r="T6" s="2233" t="e">
        <f t="shared" si="0"/>
        <v>#DIV/0!</v>
      </c>
      <c r="U6" s="2223"/>
      <c r="V6" s="2233" t="e">
        <f t="shared" si="1"/>
        <v>#DIV/0!</v>
      </c>
      <c r="W6" s="1789"/>
      <c r="X6" s="1789"/>
      <c r="Y6" s="1789"/>
      <c r="Z6" s="1789"/>
      <c r="AA6" s="1789"/>
      <c r="AB6" s="1789"/>
      <c r="AC6" s="1791"/>
      <c r="AD6" s="1201"/>
      <c r="AE6" s="1201"/>
      <c r="AF6" s="1201"/>
      <c r="AG6" s="1201"/>
      <c r="AH6" s="1201"/>
      <c r="AI6" s="1201"/>
      <c r="AJ6" s="1202"/>
    </row>
    <row r="7" spans="1:39" ht="24.75" thickBot="1">
      <c r="A7" s="3256" t="s">
        <v>3195</v>
      </c>
      <c r="B7" s="1205" t="s">
        <v>860</v>
      </c>
      <c r="C7" s="3257" t="e">
        <f>IF(C8="不临65条商业街",1,ROUND(1+(1.6*E8+1.2*E9+0.8*E10+0.4*E11)*C9,4))</f>
        <v>#DIV/0!</v>
      </c>
      <c r="D7" s="3258" t="s">
        <v>861</v>
      </c>
      <c r="E7" s="3259"/>
      <c r="F7" s="3260"/>
      <c r="G7" s="3260"/>
      <c r="H7" s="3260"/>
      <c r="I7" s="3260"/>
      <c r="J7" s="3261"/>
      <c r="K7" s="1789"/>
      <c r="L7" s="1544" t="s">
        <v>1603</v>
      </c>
      <c r="M7" s="1545">
        <f>SUMPRODUCT((区片价!B190:B233=I2)*(区片价!C3:G3=E2)*(区片价!C190:G233))</f>
        <v>0</v>
      </c>
      <c r="N7" s="1546">
        <f>SUMPRODUCT((因素修正幅度!B190:B233=I2)*(因素修正幅度!C3:G3=E2)*(因素修正幅度!C190:G233))</f>
        <v>0</v>
      </c>
      <c r="O7" s="1789"/>
      <c r="P7" s="2743"/>
      <c r="Q7" s="1789"/>
      <c r="R7" s="2233">
        <v>6</v>
      </c>
      <c r="S7" s="2223"/>
      <c r="T7" s="2233" t="e">
        <f t="shared" si="0"/>
        <v>#DIV/0!</v>
      </c>
      <c r="U7" s="2223"/>
      <c r="V7" s="2233" t="e">
        <f t="shared" si="1"/>
        <v>#DIV/0!</v>
      </c>
      <c r="W7" s="2231" t="s">
        <v>2046</v>
      </c>
      <c r="X7" s="2224">
        <f>G2</f>
        <v>0</v>
      </c>
      <c r="Y7" s="2224" t="s">
        <v>2047</v>
      </c>
      <c r="Z7" s="2225">
        <f>G3</f>
        <v>0</v>
      </c>
      <c r="AA7" s="1792"/>
      <c r="AB7" s="1792"/>
      <c r="AC7" s="1793"/>
      <c r="AD7" s="2226"/>
      <c r="AE7" s="2226"/>
      <c r="AF7" s="2226"/>
      <c r="AG7" s="2226"/>
      <c r="AH7" s="2226"/>
      <c r="AI7" s="2226"/>
      <c r="AJ7" s="2227"/>
    </row>
    <row r="8" spans="1:39" ht="15">
      <c r="A8" s="3262"/>
      <c r="B8" s="1192" t="s">
        <v>862</v>
      </c>
      <c r="C8" s="3263"/>
      <c r="D8" s="3264" t="s">
        <v>863</v>
      </c>
      <c r="E8" s="3265" t="e">
        <f>ROUND(C11/E7,4)</f>
        <v>#DIV/0!</v>
      </c>
      <c r="F8" s="3266" t="s">
        <v>864</v>
      </c>
      <c r="G8" s="3267"/>
      <c r="H8" s="3267"/>
      <c r="I8" s="3267"/>
      <c r="J8" s="3268"/>
      <c r="K8" s="1789"/>
      <c r="L8" s="1544" t="s">
        <v>1604</v>
      </c>
      <c r="M8" s="1545">
        <f>SUMPRODUCT((区片价!B234:B276=I2)*(区片价!C3:G3=E2)*(区片价!C234:G276))</f>
        <v>0</v>
      </c>
      <c r="N8" s="1546">
        <f>SUMPRODUCT((因素修正幅度!B234:B276=I2)*(因素修正幅度!C3:G3=E2)*(因素修正幅度!C234:G276))</f>
        <v>0</v>
      </c>
      <c r="O8" s="1789"/>
      <c r="P8" s="1789"/>
      <c r="Q8" s="1789"/>
      <c r="R8" s="2233">
        <v>7</v>
      </c>
      <c r="S8" s="2223"/>
      <c r="T8" s="2233" t="e">
        <f t="shared" si="0"/>
        <v>#DIV/0!</v>
      </c>
      <c r="U8" s="2223"/>
      <c r="V8" s="2233" t="e">
        <f t="shared" si="1"/>
        <v>#DIV/0!</v>
      </c>
      <c r="W8" s="3642" t="s">
        <v>2060</v>
      </c>
      <c r="X8" s="3643"/>
      <c r="Y8" s="1538" t="s">
        <v>2048</v>
      </c>
      <c r="Z8" s="1538" t="s">
        <v>2049</v>
      </c>
      <c r="AA8" s="1538" t="s">
        <v>2050</v>
      </c>
      <c r="AB8" s="1538" t="s">
        <v>2051</v>
      </c>
      <c r="AC8" s="1538" t="s">
        <v>2052</v>
      </c>
      <c r="AD8" s="1538" t="s">
        <v>2053</v>
      </c>
      <c r="AE8" s="1538" t="s">
        <v>2054</v>
      </c>
      <c r="AF8" s="1538" t="s">
        <v>2055</v>
      </c>
      <c r="AG8" s="1538" t="s">
        <v>2056</v>
      </c>
      <c r="AH8" s="1538" t="s">
        <v>2057</v>
      </c>
      <c r="AI8" s="1538" t="s">
        <v>2058</v>
      </c>
      <c r="AJ8" s="1538" t="s">
        <v>2059</v>
      </c>
    </row>
    <row r="9" spans="1:39" ht="15">
      <c r="A9" s="3262"/>
      <c r="B9" s="1192" t="s">
        <v>865</v>
      </c>
      <c r="C9" s="3269">
        <f>SUMIF(修正!C71:C139,C8,修正!E71:E139)</f>
        <v>0</v>
      </c>
      <c r="D9" s="3270" t="s">
        <v>866</v>
      </c>
      <c r="E9" s="3270" t="e">
        <f>ROUND(C11/E7,4)</f>
        <v>#DIV/0!</v>
      </c>
      <c r="F9" s="3266" t="s">
        <v>867</v>
      </c>
      <c r="G9" s="3267"/>
      <c r="H9" s="3267"/>
      <c r="I9" s="3267"/>
      <c r="J9" s="3268"/>
      <c r="K9" s="1789"/>
      <c r="L9" s="1544" t="s">
        <v>1605</v>
      </c>
      <c r="M9" s="1545">
        <f>SUMPRODUCT((区片价!B277:B326=I2)*(区片价!C3:G3=E2)*(区片价!C277:G326))</f>
        <v>0</v>
      </c>
      <c r="N9" s="1546">
        <f>SUMPRODUCT((因素修正幅度!B277:B326=I2)*(因素修正幅度!C3:G3=E2)*(因素修正幅度!C277:G326))</f>
        <v>0</v>
      </c>
      <c r="O9" s="1789"/>
      <c r="P9" s="1789"/>
      <c r="Q9" s="1789"/>
      <c r="R9" s="2233">
        <v>8</v>
      </c>
      <c r="S9" s="2223"/>
      <c r="T9" s="2233" t="e">
        <f t="shared" si="0"/>
        <v>#DIV/0!</v>
      </c>
      <c r="U9" s="2223"/>
      <c r="V9" s="2233" t="e">
        <f t="shared" si="1"/>
        <v>#DIV/0!</v>
      </c>
      <c r="W9" s="3641"/>
      <c r="X9" s="2228" t="s">
        <v>3219</v>
      </c>
      <c r="Y9" s="2351">
        <v>6</v>
      </c>
      <c r="Z9" s="2229">
        <f t="shared" ref="Z9:AJ9" si="2">$Y$9</f>
        <v>6</v>
      </c>
      <c r="AA9" s="2229">
        <f t="shared" si="2"/>
        <v>6</v>
      </c>
      <c r="AB9" s="2229">
        <f t="shared" si="2"/>
        <v>6</v>
      </c>
      <c r="AC9" s="2229">
        <f t="shared" si="2"/>
        <v>6</v>
      </c>
      <c r="AD9" s="2229">
        <f t="shared" si="2"/>
        <v>6</v>
      </c>
      <c r="AE9" s="2229">
        <f t="shared" si="2"/>
        <v>6</v>
      </c>
      <c r="AF9" s="2229">
        <f t="shared" si="2"/>
        <v>6</v>
      </c>
      <c r="AG9" s="2229">
        <f t="shared" si="2"/>
        <v>6</v>
      </c>
      <c r="AH9" s="2229">
        <f t="shared" si="2"/>
        <v>6</v>
      </c>
      <c r="AI9" s="2229">
        <f t="shared" si="2"/>
        <v>6</v>
      </c>
      <c r="AJ9" s="2229">
        <f t="shared" si="2"/>
        <v>6</v>
      </c>
    </row>
    <row r="10" spans="1:39" ht="15">
      <c r="A10" s="3262"/>
      <c r="B10" s="1192" t="s">
        <v>868</v>
      </c>
      <c r="C10" s="3270">
        <f>SUMIF(修正!C71:C139,C8,修正!F71:F139)</f>
        <v>0</v>
      </c>
      <c r="D10" s="3270" t="s">
        <v>869</v>
      </c>
      <c r="E10" s="3270" t="e">
        <f>ROUND(C11/E7,4)</f>
        <v>#DIV/0!</v>
      </c>
      <c r="F10" s="3266" t="s">
        <v>870</v>
      </c>
      <c r="G10" s="3267"/>
      <c r="H10" s="3267"/>
      <c r="I10" s="3267"/>
      <c r="J10" s="3268"/>
      <c r="K10" s="1789"/>
      <c r="L10" s="1544" t="s">
        <v>1606</v>
      </c>
      <c r="M10" s="1545">
        <f>SUMPRODUCT((区片价!B327:B357=I2)*(区片价!C3:G3=E2)*(区片价!C327:G357))</f>
        <v>0</v>
      </c>
      <c r="N10" s="1546">
        <f>SUMPRODUCT((因素修正幅度!B327:B357=I2)*(因素修正幅度!C3:G3=E2)*(因素修正幅度!C327:G357))</f>
        <v>0</v>
      </c>
      <c r="O10" s="1789"/>
      <c r="P10" s="1789"/>
      <c r="Q10" s="1789"/>
      <c r="R10" s="2233">
        <v>9</v>
      </c>
      <c r="S10" s="2223"/>
      <c r="T10" s="2233" t="e">
        <f t="shared" si="0"/>
        <v>#DIV/0!</v>
      </c>
      <c r="U10" s="2223"/>
      <c r="V10" s="2233" t="e">
        <f t="shared" si="1"/>
        <v>#DIV/0!</v>
      </c>
      <c r="W10" s="3641"/>
      <c r="X10" s="2228">
        <v>6</v>
      </c>
      <c r="Y10" s="2230">
        <f>ROUND((-0.5556*(Y9^2)-0.2719*Y9+8944)*(10^(-4)),4)</f>
        <v>0.89219999999999999</v>
      </c>
      <c r="Z10" s="2230">
        <f>ROUND((-0.5556*(Z9^2)-0.2719*Z9+8944)*(10^(-4)),4)</f>
        <v>0.89219999999999999</v>
      </c>
      <c r="AA10" s="2230">
        <f>ROUND((-0.7912*(AA9^2)-11.3794*AA9+8482)*(10^(-4)),4)</f>
        <v>0.83850000000000002</v>
      </c>
      <c r="AB10" s="2230">
        <f>ROUND((-0.7912*(AB9^2)-11.3794*AB9+8482)*(10^(-4)),4)</f>
        <v>0.83850000000000002</v>
      </c>
      <c r="AC10" s="2230">
        <f>ROUND((-0.7912*(AC9^2)-11.3794*AC9+8482)*(10^(-4)),4)</f>
        <v>0.83850000000000002</v>
      </c>
      <c r="AD10" s="2230">
        <f>ROUND((-0.7912*(AD9^2)-11.3794*AD9+8482)*(10^(-4)),4)</f>
        <v>0.83850000000000002</v>
      </c>
      <c r="AE10" s="2230">
        <f>ROUND((-0.7912*(AE9^2)-11.3794*AE9+8482)*(10^(-4)),4)</f>
        <v>0.83850000000000002</v>
      </c>
      <c r="AF10" s="2230">
        <f>ROUND((-0.989*(AF9^2)-63.78*AF9+7771)*(10^(-4)),4)</f>
        <v>0.73529999999999995</v>
      </c>
      <c r="AG10" s="2230">
        <f>ROUND((-0.989*(AG9^2)-63.78*AG9+7771)*(10^(-4)),4)</f>
        <v>0.73529999999999995</v>
      </c>
      <c r="AH10" s="2230">
        <f>ROUND((-0.989*(AH9^2)-63.78*AH9+7771)*(10^(-4)),4)</f>
        <v>0.73529999999999995</v>
      </c>
      <c r="AI10" s="2230">
        <f>ROUND((-0.989*(AI9^2)-63.78*AI9+7771)*(10^(-4)),4)</f>
        <v>0.73529999999999995</v>
      </c>
      <c r="AJ10" s="2230">
        <f>ROUND((-0.989*(AJ9^2)-63.78*AJ9+7771)*(10^(-4)),4)</f>
        <v>0.73529999999999995</v>
      </c>
    </row>
    <row r="11" spans="1:39" ht="15.75" customHeight="1" thickBot="1">
      <c r="A11" s="3262"/>
      <c r="B11" s="1209" t="s">
        <v>871</v>
      </c>
      <c r="C11" s="3271">
        <f>C10/4</f>
        <v>0</v>
      </c>
      <c r="D11" s="3271" t="s">
        <v>872</v>
      </c>
      <c r="E11" s="3271" t="e">
        <f>ROUND(C11/E7,4)</f>
        <v>#DIV/0!</v>
      </c>
      <c r="F11" s="3272" t="s">
        <v>873</v>
      </c>
      <c r="G11" s="3273"/>
      <c r="H11" s="3273"/>
      <c r="I11" s="3273"/>
      <c r="J11" s="3274"/>
      <c r="K11" s="1789"/>
      <c r="L11" s="1544" t="s">
        <v>1607</v>
      </c>
      <c r="M11" s="1545">
        <f>SUMPRODUCT((区片价!B358:B377=I2)*(区片价!C3:G3=E2)*(区片价!C358:G377))</f>
        <v>0</v>
      </c>
      <c r="N11" s="1546">
        <f>SUMPRODUCT((因素修正幅度!B358:B377=I2)*(因素修正幅度!C3:G3=E2)*(因素修正幅度!C358:G377))</f>
        <v>0</v>
      </c>
      <c r="O11" s="1789"/>
      <c r="P11" s="1789"/>
      <c r="Q11" s="1789"/>
      <c r="R11" s="2233">
        <v>10</v>
      </c>
      <c r="S11" s="2223"/>
      <c r="T11" s="2233" t="e">
        <f t="shared" si="0"/>
        <v>#DIV/0!</v>
      </c>
      <c r="U11" s="2223"/>
      <c r="V11" s="2233" t="e">
        <f t="shared" si="1"/>
        <v>#DIV/0!</v>
      </c>
      <c r="W11" s="1789"/>
      <c r="X11" s="1789"/>
      <c r="Y11" s="1789"/>
      <c r="Z11" s="1789"/>
      <c r="AA11" s="1789"/>
      <c r="AB11" s="1789"/>
      <c r="AC11" s="1790"/>
    </row>
    <row r="12" spans="1:39" ht="25.5" thickBot="1">
      <c r="A12" s="3256" t="s">
        <v>3196</v>
      </c>
      <c r="B12" s="3238" t="s">
        <v>3197</v>
      </c>
      <c r="C12" s="3244">
        <v>1.02</v>
      </c>
      <c r="D12" s="3239" t="s">
        <v>3198</v>
      </c>
      <c r="E12" s="3240" t="s">
        <v>3199</v>
      </c>
      <c r="F12" s="3241"/>
      <c r="G12" s="3242"/>
      <c r="H12" s="3242"/>
      <c r="I12" s="3242"/>
      <c r="J12" s="3243"/>
      <c r="K12" s="1789"/>
      <c r="L12" s="1547" t="s">
        <v>1608</v>
      </c>
      <c r="M12" s="1548">
        <f>SUMPRODUCT((区片价!B378:B384=I2)*(区片价!C3:G3=E2)*(区片价!C378:G384))</f>
        <v>0</v>
      </c>
      <c r="N12" s="1549">
        <f>SUMPRODUCT((因素修正幅度!B378:B384=I2)*(因素修正幅度!C3:G3=E2)*(因素修正幅度!C378:G384))</f>
        <v>0</v>
      </c>
      <c r="O12" s="1789"/>
      <c r="P12" s="1789"/>
      <c r="Q12" s="1789"/>
      <c r="R12" s="2233">
        <v>11</v>
      </c>
      <c r="S12" s="2223"/>
      <c r="T12" s="2233" t="e">
        <f t="shared" si="0"/>
        <v>#DIV/0!</v>
      </c>
      <c r="U12" s="2223"/>
      <c r="V12" s="2233" t="e">
        <f t="shared" si="1"/>
        <v>#DIV/0!</v>
      </c>
      <c r="W12" s="1789"/>
      <c r="X12" s="1789"/>
      <c r="Y12" s="1789"/>
      <c r="Z12" s="1789"/>
      <c r="AA12" s="1789"/>
      <c r="AB12" s="1789"/>
      <c r="AC12" s="1790"/>
    </row>
    <row r="13" spans="1:39" ht="15.75" thickBot="1">
      <c r="A13" s="3256" t="s">
        <v>3200</v>
      </c>
      <c r="B13" s="1210" t="s">
        <v>874</v>
      </c>
      <c r="C13" s="3257">
        <f>ROUND(C16*D16*E16*F16*G16*H16*I16*J16,4)</f>
        <v>0</v>
      </c>
      <c r="D13" s="3275" t="s">
        <v>3201</v>
      </c>
      <c r="E13" s="3276"/>
      <c r="F13" s="3276"/>
      <c r="G13" s="3276"/>
      <c r="H13" s="3276"/>
      <c r="I13" s="3276"/>
      <c r="J13" s="3277"/>
      <c r="K13" s="1790"/>
      <c r="L13" s="1790"/>
      <c r="M13" s="1790"/>
      <c r="N13" s="1790"/>
      <c r="O13" s="1790"/>
      <c r="P13" s="1789"/>
      <c r="Q13" s="1789"/>
      <c r="R13" s="2233">
        <v>12</v>
      </c>
      <c r="S13" s="2223"/>
      <c r="T13" s="2233" t="e">
        <f t="shared" si="0"/>
        <v>#DIV/0!</v>
      </c>
      <c r="U13" s="2223"/>
      <c r="V13" s="2233" t="e">
        <f t="shared" si="1"/>
        <v>#DIV/0!</v>
      </c>
      <c r="W13" s="1789"/>
      <c r="X13" s="1789"/>
      <c r="Y13" s="1789"/>
      <c r="Z13" s="1789"/>
      <c r="AA13" s="1789"/>
      <c r="AB13" s="1789"/>
      <c r="AC13" s="1790"/>
    </row>
    <row r="14" spans="1:39" ht="12.75" customHeight="1">
      <c r="A14" s="3278"/>
      <c r="B14" s="1214" t="s">
        <v>1229</v>
      </c>
      <c r="C14" s="3194" t="s">
        <v>1230</v>
      </c>
      <c r="D14" s="1216" t="s">
        <v>1231</v>
      </c>
      <c r="E14" s="750" t="s">
        <v>3202</v>
      </c>
      <c r="F14" s="3279" t="s">
        <v>1178</v>
      </c>
      <c r="G14" s="3279" t="s">
        <v>1178</v>
      </c>
      <c r="H14" s="3280" t="s">
        <v>1178</v>
      </c>
      <c r="I14" s="3280" t="s">
        <v>1178</v>
      </c>
      <c r="J14" s="3280" t="s">
        <v>1178</v>
      </c>
      <c r="K14" s="2741"/>
      <c r="L14" s="2741"/>
      <c r="M14" s="2741"/>
      <c r="N14" s="2741"/>
      <c r="O14" s="2741"/>
      <c r="P14" s="1789"/>
      <c r="Q14" s="1789"/>
      <c r="R14" s="2233">
        <v>13</v>
      </c>
      <c r="S14" s="2223"/>
      <c r="T14" s="2233" t="e">
        <f t="shared" si="0"/>
        <v>#DIV/0!</v>
      </c>
      <c r="U14" s="2223"/>
      <c r="V14" s="2233" t="e">
        <f t="shared" si="1"/>
        <v>#DIV/0!</v>
      </c>
      <c r="W14" s="1789"/>
      <c r="X14" s="1789"/>
      <c r="Y14" s="1789"/>
      <c r="Z14" s="1789"/>
      <c r="AA14" s="1789"/>
      <c r="AB14" s="1789"/>
      <c r="AC14" s="1790"/>
    </row>
    <row r="15" spans="1:39" ht="13.5" customHeight="1">
      <c r="A15" s="3278"/>
      <c r="B15" s="1216"/>
      <c r="C15" s="3281"/>
      <c r="D15" s="3282"/>
      <c r="E15" s="3283"/>
      <c r="F15" s="3283"/>
      <c r="G15" s="1037" t="s">
        <v>3203</v>
      </c>
      <c r="H15" s="3247"/>
      <c r="I15" s="3248"/>
      <c r="J15" s="3249"/>
      <c r="K15" s="3250"/>
      <c r="L15" s="1793"/>
      <c r="M15" s="1793"/>
      <c r="N15" s="1793"/>
      <c r="O15" s="1793"/>
      <c r="P15" s="1789"/>
      <c r="Q15" s="1789"/>
      <c r="R15" s="2233">
        <v>14</v>
      </c>
      <c r="S15" s="2223"/>
      <c r="T15" s="2233" t="e">
        <f t="shared" si="0"/>
        <v>#DIV/0!</v>
      </c>
      <c r="U15" s="2223"/>
      <c r="V15" s="2233" t="e">
        <f t="shared" si="1"/>
        <v>#DIV/0!</v>
      </c>
      <c r="W15" s="1789"/>
      <c r="X15" s="1789"/>
      <c r="Y15" s="1789"/>
      <c r="Z15" s="1789"/>
      <c r="AA15" s="1789"/>
      <c r="AB15" s="1789"/>
      <c r="AC15" s="1790"/>
    </row>
    <row r="16" spans="1:39" ht="24.6" customHeight="1" thickBot="1">
      <c r="A16" s="3278"/>
      <c r="B16" s="2406" t="s">
        <v>1232</v>
      </c>
      <c r="C16" s="3245"/>
      <c r="D16" s="3245"/>
      <c r="E16" s="3245"/>
      <c r="F16" s="3245"/>
      <c r="G16" s="3245">
        <v>1</v>
      </c>
      <c r="H16" s="3245">
        <v>1</v>
      </c>
      <c r="I16" s="3245">
        <v>1</v>
      </c>
      <c r="J16" s="3246">
        <v>1</v>
      </c>
      <c r="K16" s="1793"/>
      <c r="L16" s="1793"/>
      <c r="M16" s="1793"/>
      <c r="N16" s="1793"/>
      <c r="O16" s="1793"/>
      <c r="P16" s="1789"/>
      <c r="Q16" s="1789"/>
      <c r="R16" s="2233">
        <v>15</v>
      </c>
      <c r="S16" s="2223"/>
      <c r="T16" s="2233" t="e">
        <f t="shared" si="0"/>
        <v>#DIV/0!</v>
      </c>
      <c r="U16" s="2223"/>
      <c r="V16" s="2233" t="e">
        <f t="shared" si="1"/>
        <v>#DIV/0!</v>
      </c>
      <c r="W16" s="1792"/>
      <c r="X16" s="1792"/>
      <c r="Y16" s="1792"/>
      <c r="Z16" s="1792"/>
      <c r="AA16" s="1792"/>
      <c r="AB16" s="1792"/>
      <c r="AC16" s="1793"/>
    </row>
    <row r="17" spans="1:40" ht="24">
      <c r="A17" s="3285" t="s">
        <v>3204</v>
      </c>
      <c r="B17" s="3286" t="s">
        <v>3205</v>
      </c>
      <c r="C17" s="3294">
        <f>ROUND(IF(OR(E2="工业",E2="公共服务"),1,IF(AND(E18=0,E19=0),1,IF(AND(E18=J24,E19=G19),0.8,IF(E19=0,1+E17*(-0.2),1+E17*G17*(-0.2))))),4)</f>
        <v>1</v>
      </c>
      <c r="D17" s="3287" t="s">
        <v>3206</v>
      </c>
      <c r="E17" s="3294" t="e">
        <f>ROUND(G18/I18,2)</f>
        <v>#DIV/0!</v>
      </c>
      <c r="F17" s="3287" t="s">
        <v>3209</v>
      </c>
      <c r="G17" s="3294" t="e">
        <f>ROUND(E19/G19,2)</f>
        <v>#DIV/0!</v>
      </c>
      <c r="H17" s="3294"/>
      <c r="I17" s="3294"/>
      <c r="J17" s="3373"/>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25">
      <c r="A18" s="3278"/>
      <c r="B18" s="3158"/>
      <c r="C18" s="3292"/>
      <c r="D18" s="3288" t="s">
        <v>3207</v>
      </c>
      <c r="E18" s="3293"/>
      <c r="F18" s="3290" t="s">
        <v>3210</v>
      </c>
      <c r="G18" s="3292">
        <f>ROUND(1-(1/(POWER(1+G24,E18))),4)</f>
        <v>0</v>
      </c>
      <c r="H18" s="3290" t="s">
        <v>3212</v>
      </c>
      <c r="I18" s="3292">
        <f>ROUND(1-(1/(POWER(1+G24,J24))),4)</f>
        <v>0</v>
      </c>
      <c r="J18" s="3374"/>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4"/>
      <c r="B19" s="3161"/>
      <c r="C19" s="3289"/>
      <c r="D19" s="3289" t="s">
        <v>3208</v>
      </c>
      <c r="E19" s="3295"/>
      <c r="F19" s="3291" t="s">
        <v>3211</v>
      </c>
      <c r="G19" s="3295"/>
      <c r="H19" s="3289"/>
      <c r="I19" s="3289"/>
      <c r="J19" s="3375"/>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25">
      <c r="A20" s="3635" t="s">
        <v>1370</v>
      </c>
      <c r="B20" s="1205" t="s">
        <v>875</v>
      </c>
      <c r="C20" s="947" t="e">
        <f>ROUND(IF(F21="与级别开发程度一致",0,(G21-E21)/C21),0)</f>
        <v>#DIV/0!</v>
      </c>
      <c r="D20" s="3647" t="s">
        <v>879</v>
      </c>
      <c r="E20" s="3648"/>
      <c r="F20" s="3647" t="s">
        <v>876</v>
      </c>
      <c r="G20" s="3648"/>
      <c r="H20" s="1217"/>
      <c r="I20" s="1217"/>
      <c r="J20" s="1217"/>
      <c r="K20" s="1217"/>
      <c r="L20" s="1217"/>
      <c r="M20" s="1217"/>
      <c r="N20" s="1217"/>
      <c r="O20" s="2411"/>
      <c r="P20" s="1789"/>
      <c r="Q20" s="1792"/>
      <c r="R20" s="1795"/>
      <c r="S20" s="1795"/>
      <c r="T20" s="1795"/>
      <c r="U20" s="1795"/>
      <c r="V20" s="1795"/>
      <c r="W20" s="1795"/>
      <c r="X20" s="1795"/>
      <c r="Y20" s="1221"/>
      <c r="Z20" s="1221"/>
      <c r="AA20" s="1221"/>
      <c r="AB20" s="1221"/>
      <c r="AC20" s="1221"/>
      <c r="AD20" s="1221"/>
    </row>
    <row r="21" spans="1:40" s="1203" customFormat="1" ht="15" thickBot="1">
      <c r="A21" s="3636"/>
      <c r="B21" s="2412" t="s">
        <v>878</v>
      </c>
      <c r="C21" s="2413">
        <f>IF(E3="M4科研用地",SUMPRODUCT((修正!A2:A7=E3)*(修正!B1:M1=G2)*(修正!B2:M7)),SUMPRODUCT((修正!A2:A7=E2)*(修正!B1:M1=G2)*(修正!B2:M7)))</f>
        <v>0</v>
      </c>
      <c r="D21" s="2414" t="str">
        <f>IF(OR(G2="八级",G2="九级",G2="十级",G2="十一级",G2="十二级"),"五通一平","七通一平")</f>
        <v>七通一平</v>
      </c>
      <c r="E21" s="2404">
        <f>SUMPRODUCT((修正!B1:M1=G2)*(修正!B17:M17))</f>
        <v>0</v>
      </c>
      <c r="F21" s="2405"/>
      <c r="G21" s="2404">
        <f>SUM(H21:O21)</f>
        <v>0</v>
      </c>
      <c r="H21" s="946">
        <f>SUMPRODUCT((七通一平=H20)*(修正!B1:M1=G2)*(修正!B8:M16))</f>
        <v>0</v>
      </c>
      <c r="I21" s="946">
        <f>SUMPRODUCT((七通一平=I20)*(修正!B1:M1=G2)*(修正!B8:M16))</f>
        <v>0</v>
      </c>
      <c r="J21" s="946">
        <f>SUMPRODUCT((七通一平=J20)*(修正!B1:M1=G2)*(修正!B8:M16))</f>
        <v>0</v>
      </c>
      <c r="K21" s="946">
        <f>SUMPRODUCT((七通一平=K20)*(修正!B1:M1=G2)*(修正!B8:M16))</f>
        <v>0</v>
      </c>
      <c r="L21" s="946">
        <f>SUMPRODUCT((七通一平=L20)*(修正!B1:M1=G2)*(修正!B8:M16))</f>
        <v>0</v>
      </c>
      <c r="M21" s="946">
        <f>SUMPRODUCT((七通一平=M20)*(修正!B1:M1=G2)*(修正!B8:M16))</f>
        <v>0</v>
      </c>
      <c r="N21" s="946">
        <f>SUMPRODUCT((七通一平=N20)*(修正!B1:M1=G2)*(修正!B8:M16))</f>
        <v>0</v>
      </c>
      <c r="O21" s="2415">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75" thickBot="1">
      <c r="A22" s="2095" t="s">
        <v>1358</v>
      </c>
      <c r="B22" s="2407" t="s">
        <v>880</v>
      </c>
      <c r="C22" s="2408">
        <f>SUMIF(修正!C20:C51,E3,修正!E20:E51)</f>
        <v>0</v>
      </c>
      <c r="D22" s="2409"/>
      <c r="E22" s="2410"/>
      <c r="F22" s="2397"/>
      <c r="G22" s="1230"/>
      <c r="H22" s="1230"/>
      <c r="I22" s="1230"/>
      <c r="J22" s="2402"/>
      <c r="K22" s="2740"/>
      <c r="L22" s="1230"/>
      <c r="M22" s="1230"/>
      <c r="N22" s="1230"/>
      <c r="O22" s="1230"/>
      <c r="P22" s="2740"/>
      <c r="Q22" s="1794"/>
      <c r="R22" s="1795"/>
      <c r="S22" s="1795"/>
      <c r="T22" s="1795"/>
      <c r="U22" s="1795"/>
      <c r="V22" s="1795"/>
      <c r="W22" s="1795"/>
      <c r="X22" s="1795"/>
      <c r="Y22" s="1221"/>
      <c r="Z22" s="1221"/>
      <c r="AA22" s="1221"/>
      <c r="AB22" s="1221"/>
      <c r="AC22" s="1221"/>
      <c r="AD22" s="1221"/>
    </row>
    <row r="23" spans="1:40" ht="27.75" thickBot="1">
      <c r="A23" s="1360" t="s">
        <v>1364</v>
      </c>
      <c r="B23" s="1220" t="s">
        <v>881</v>
      </c>
      <c r="C23" s="94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0</v>
      </c>
      <c r="D23" s="1223" t="s">
        <v>882</v>
      </c>
      <c r="E23" s="949">
        <v>44197</v>
      </c>
      <c r="F23" s="1223" t="s">
        <v>883</v>
      </c>
      <c r="G23" s="950">
        <f>'数据-取费表'!B2</f>
        <v>45057</v>
      </c>
      <c r="H23" s="1224" t="s">
        <v>2242</v>
      </c>
      <c r="I23" s="2101" t="str">
        <f>IF(H23="季度增幅（自定义）",SUMIF(N25:N28,E2,O25:O28),"")</f>
        <v/>
      </c>
      <c r="J23" s="3296"/>
      <c r="K23" s="2740"/>
      <c r="L23" s="2323" t="s">
        <v>2116</v>
      </c>
      <c r="M23" s="2324">
        <f>ROUND(SUMIF(地价!B2:F2,E2,地价!B41:F41),0)</f>
        <v>0</v>
      </c>
      <c r="N23" s="2103" t="s">
        <v>1211</v>
      </c>
      <c r="O23" s="2102">
        <f>ROUNDDOWN(DATEDIF(E23,G23,"M")/3,0)</f>
        <v>9</v>
      </c>
      <c r="P23" s="1793"/>
      <c r="Q23" s="2222"/>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7.75" thickBot="1">
      <c r="A24" s="2095" t="s">
        <v>1365</v>
      </c>
      <c r="B24" s="2096" t="s">
        <v>896</v>
      </c>
      <c r="C24" s="2097" t="e">
        <f>ROUND(POWER(1+G24,J24-I24)*(POWER(1+G24,I24)-1)/(POWER(1+G24,J24)-1),4)</f>
        <v>#DIV/0!</v>
      </c>
      <c r="D24" s="2098" t="s">
        <v>897</v>
      </c>
      <c r="E24" s="2350">
        <f>存贷款利率!E22/100</f>
        <v>4.3499999999999997E-2</v>
      </c>
      <c r="F24" s="2098" t="s">
        <v>898</v>
      </c>
      <c r="G24" s="2099">
        <f>SUMIF(M30:Q30,E2,M33:Q33)</f>
        <v>0</v>
      </c>
      <c r="H24" s="2098" t="s">
        <v>899</v>
      </c>
      <c r="I24" s="2094" t="e">
        <f>SUMIF('数据-取费表'!C6:C15,E2,'数据-取费表'!F6:F15)/COUNTIF('数据-取费表'!C6:C15,E2)</f>
        <v>#DIV/0!</v>
      </c>
      <c r="J24" s="2100">
        <f>IF(E2="住宅",70,IF(E2="商业",40,50))</f>
        <v>50</v>
      </c>
      <c r="K24" s="1793"/>
      <c r="L24" s="2325" t="s">
        <v>2117</v>
      </c>
      <c r="M24" s="2399">
        <f>ROUND(SUMPRODUCT((地价!A4:A41=YEAR(G23)&amp;"-"&amp;ROUNDUP(MONTH(G23)/3,0))*(地价!B2:F2=E2)*(地价!B4:F41)),0)</f>
        <v>0</v>
      </c>
      <c r="N24" s="2106" t="s">
        <v>1927</v>
      </c>
      <c r="O24" s="2104" t="s">
        <v>1926</v>
      </c>
      <c r="P24" s="2105" t="s">
        <v>1932</v>
      </c>
      <c r="Q24" s="2222"/>
      <c r="R24" s="1795"/>
      <c r="S24" s="1795"/>
      <c r="T24" s="1795"/>
      <c r="U24" s="1795"/>
      <c r="V24" s="1795"/>
      <c r="W24" s="1795"/>
      <c r="X24" s="1795"/>
      <c r="Y24" s="1221"/>
      <c r="Z24" s="1221"/>
      <c r="AA24" s="1221"/>
      <c r="AB24" s="1221"/>
      <c r="AC24" s="1221"/>
      <c r="AD24" s="1221"/>
    </row>
    <row r="25" spans="1:40" ht="14.25">
      <c r="A25" s="1362" t="s">
        <v>1366</v>
      </c>
      <c r="B25" s="1229" t="s">
        <v>2274</v>
      </c>
      <c r="C25" s="1003">
        <f>IF(B25="容积率修正",IF(G3&lt;10,D26,J26),C27)</f>
        <v>0</v>
      </c>
      <c r="D25" s="1230"/>
      <c r="E25" s="1230"/>
      <c r="F25" s="1230"/>
      <c r="G25" s="1230"/>
      <c r="H25" s="1230"/>
      <c r="I25" s="1230"/>
      <c r="J25" s="1231"/>
      <c r="K25" s="2740"/>
      <c r="L25" s="1230"/>
      <c r="M25" s="1230"/>
      <c r="N25" s="1227" t="s">
        <v>900</v>
      </c>
      <c r="O25" s="1287"/>
      <c r="P25" s="2093">
        <f>SUMPRODUCT((地价!A3:A41=YEAR(G23)&amp;"-"&amp;ROUNDUP(MONTH(G23)/3,0))*(地价!AD2:AH2=N25)*(地价!AD3:AH41))</f>
        <v>0</v>
      </c>
      <c r="Q25" s="2222"/>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25">
      <c r="A26" s="1363" t="s">
        <v>1395</v>
      </c>
      <c r="B26" s="1232" t="s">
        <v>901</v>
      </c>
      <c r="C26" s="3297" t="s">
        <v>3213</v>
      </c>
      <c r="D26" s="951">
        <f>IF(E26=G26,F26,IF(G3&lt;10,ROUND(F26+(H26-F26)*(G3-E26)/(G26-E26),4),"——"))</f>
        <v>0</v>
      </c>
      <c r="E26" s="941">
        <f>ROUNDDOWN(G3,1)</f>
        <v>0</v>
      </c>
      <c r="F26" s="9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1">
        <f>ROUNDUP(G3,1)</f>
        <v>0</v>
      </c>
      <c r="H26" s="9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7" t="s">
        <v>3214</v>
      </c>
      <c r="J26" s="951" t="str">
        <f>IF(G3&gt;=10,D116,"——")</f>
        <v>——</v>
      </c>
      <c r="K26" s="2222"/>
      <c r="L26" s="1230"/>
      <c r="M26" s="1230"/>
      <c r="N26" s="1227" t="s">
        <v>902</v>
      </c>
      <c r="O26" s="1287"/>
      <c r="P26" s="2093">
        <f>SUMPRODUCT((地价!A3:A41=YEAR(G23)&amp;"-"&amp;ROUNDUP(MONTH(G23)/3,0))*(地价!AD2:AH2=N26)*(地价!AD3:AH41))</f>
        <v>0</v>
      </c>
      <c r="Q26" s="2222"/>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75" thickBot="1">
      <c r="A27" s="1363" t="s">
        <v>1396</v>
      </c>
      <c r="B27" s="1232" t="s">
        <v>903</v>
      </c>
      <c r="C27" s="952">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2"/>
      <c r="R27" s="2222"/>
      <c r="S27" s="2222"/>
      <c r="T27" s="2222"/>
      <c r="U27" s="2222"/>
      <c r="V27" s="2222"/>
      <c r="W27" s="1795"/>
      <c r="X27" s="1795"/>
      <c r="Y27" s="1795"/>
      <c r="Z27" s="1795"/>
      <c r="AA27" s="1795"/>
      <c r="AB27" s="1795"/>
      <c r="AC27" s="1795"/>
    </row>
    <row r="28" spans="1:40" ht="15.75" thickBot="1">
      <c r="A28" s="1361" t="s">
        <v>1397</v>
      </c>
      <c r="B28" s="1197" t="s">
        <v>904</v>
      </c>
      <c r="C28" s="953">
        <f>SUMIF(A47:A101,E2,B47:B101)</f>
        <v>0</v>
      </c>
      <c r="D28" s="1280"/>
      <c r="E28" s="1281"/>
      <c r="F28" s="1281"/>
      <c r="G28" s="1281"/>
      <c r="H28" s="1281"/>
      <c r="I28" s="1281"/>
      <c r="J28" s="1281"/>
      <c r="K28" s="1795"/>
      <c r="L28" s="1230"/>
      <c r="M28" s="1230"/>
      <c r="N28" s="1227" t="s">
        <v>905</v>
      </c>
      <c r="O28" s="2398"/>
      <c r="P28" s="2093">
        <f>SUMPRODUCT((地价!A3:A41=YEAR(G23)&amp;"-"&amp;ROUNDUP(MONTH(G23)/3,0))*(地价!AD2:AH2=N28)*(地价!AD3:AH41))</f>
        <v>0</v>
      </c>
      <c r="Q28" s="2222"/>
      <c r="R28" s="2222"/>
      <c r="S28" s="2222"/>
      <c r="T28" s="2222"/>
      <c r="U28" s="2222"/>
      <c r="V28" s="2222"/>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400" t="s">
        <v>1930</v>
      </c>
      <c r="O29" s="2401"/>
      <c r="P29" s="1967">
        <f>SUMPRODUCT((地价!A3:A41=YEAR(G23)&amp;"-"&amp;ROUNDUP(MONTH(G23)/3,0))*(地价!AD2:AH2=N29)*(地价!AD3:AH41))</f>
        <v>0</v>
      </c>
      <c r="Q29" s="2222"/>
      <c r="R29" s="1795"/>
      <c r="S29" s="1795"/>
      <c r="T29" s="1795"/>
      <c r="U29" s="1795"/>
      <c r="V29" s="1795"/>
      <c r="W29" s="2222"/>
      <c r="X29" s="2222"/>
      <c r="Y29" s="2222"/>
      <c r="Z29" s="2222"/>
      <c r="AA29" s="2222"/>
      <c r="AB29" s="1795"/>
      <c r="AC29" s="1795"/>
      <c r="AD29" s="1795"/>
      <c r="AE29" s="1795"/>
      <c r="AF29" s="1795"/>
      <c r="AG29" s="1795"/>
      <c r="AH29" s="1795"/>
      <c r="AJ29" s="1187"/>
      <c r="AK29" s="1187"/>
      <c r="AL29" s="1187"/>
      <c r="AM29" s="1186"/>
      <c r="AN29" s="1186"/>
    </row>
    <row r="30" spans="1:40" ht="13.5">
      <c r="A30" s="1237"/>
      <c r="B30" s="1232" t="s">
        <v>910</v>
      </c>
      <c r="C30" s="2553" t="e">
        <f>IF(B25="容积率修正",E33+SUM(E37:E42),SUM(V2:V16)+SUM(E37:E42))</f>
        <v>#DIV/0!</v>
      </c>
      <c r="D30" s="1238"/>
      <c r="E30" s="1185"/>
      <c r="F30" s="1239"/>
      <c r="G30" s="1185"/>
      <c r="H30" s="1185"/>
      <c r="I30" s="1185"/>
      <c r="J30" s="1240"/>
      <c r="K30" s="1789"/>
      <c r="L30" s="1326" t="s">
        <v>833</v>
      </c>
      <c r="M30" s="1206" t="s">
        <v>907</v>
      </c>
      <c r="N30" s="1206" t="s">
        <v>908</v>
      </c>
      <c r="O30" s="1206" t="s">
        <v>835</v>
      </c>
      <c r="P30" s="1225" t="s">
        <v>909</v>
      </c>
      <c r="Q30" s="1225" t="s">
        <v>3241</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4.25" thickBot="1">
      <c r="A31" s="1237"/>
      <c r="B31" s="1241" t="s">
        <v>912</v>
      </c>
      <c r="C31" s="955" t="e">
        <f>E34+SUM(I37:I42)</f>
        <v>#DIV/0!</v>
      </c>
      <c r="D31" s="1242"/>
      <c r="E31" s="1243"/>
      <c r="F31" s="1244"/>
      <c r="G31" s="1243"/>
      <c r="H31" s="1243"/>
      <c r="I31" s="1243"/>
      <c r="J31" s="1245"/>
      <c r="K31" s="1789"/>
      <c r="L31" s="1218" t="s">
        <v>911</v>
      </c>
      <c r="M31" s="944">
        <v>0.25</v>
      </c>
      <c r="N31" s="944">
        <v>0.2</v>
      </c>
      <c r="O31" s="944">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4.2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2.75">
      <c r="A33" s="1250"/>
      <c r="B33" s="1251" t="s">
        <v>917</v>
      </c>
      <c r="C33" s="954" t="e">
        <f>ROUND(C5*C22*C23*C24*C25*C28,0)</f>
        <v>#DIV/0!</v>
      </c>
      <c r="D33" s="1252"/>
      <c r="E33" s="1538" t="e">
        <f>ROUND(C33*D33/10000,0)</f>
        <v>#DIV/0!</v>
      </c>
      <c r="F33" s="3298" t="s">
        <v>3216</v>
      </c>
      <c r="G33" s="1253"/>
      <c r="H33" s="1253"/>
      <c r="I33" s="1253"/>
      <c r="J33" s="1254"/>
      <c r="K33" s="2744"/>
      <c r="L33" s="3366" t="s">
        <v>3242</v>
      </c>
      <c r="M33" s="3367">
        <v>5.5E-2</v>
      </c>
      <c r="N33" s="3367">
        <v>5.5E-2</v>
      </c>
      <c r="O33" s="3367">
        <v>0.05</v>
      </c>
      <c r="P33" s="3367">
        <v>0.05</v>
      </c>
      <c r="Q33" s="3367">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24.75" thickBot="1">
      <c r="A34" s="1255"/>
      <c r="B34" s="1256" t="s">
        <v>918</v>
      </c>
      <c r="C34" s="946" t="e">
        <f>ROUND(IF(E2="工业",C33*M42,IF(B25="楼层修正",SUM(V2:V16)*M41*10000/D34,C33*M41)),0)</f>
        <v>#DIV/0!</v>
      </c>
      <c r="D34" s="1257"/>
      <c r="E34" s="1538" t="e">
        <f>ROUND(IF(B25="楼层修正",SUM(V2:V16)*#REF!,C34*D34/10000),0)</f>
        <v>#DIV/0!</v>
      </c>
      <c r="F34" s="3299" t="s">
        <v>3217</v>
      </c>
      <c r="G34" s="1258"/>
      <c r="H34" s="1258"/>
      <c r="I34" s="1258"/>
      <c r="J34" s="1259"/>
      <c r="K34" s="1789"/>
      <c r="L34" s="3366" t="s">
        <v>3243</v>
      </c>
      <c r="M34" s="3367">
        <v>6.5000000000000002E-2</v>
      </c>
      <c r="N34" s="3367">
        <v>6.5000000000000002E-2</v>
      </c>
      <c r="O34" s="3367">
        <v>0.06</v>
      </c>
      <c r="P34" s="3367">
        <v>0.06</v>
      </c>
      <c r="Q34" s="3367">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24.75" thickBot="1">
      <c r="A36" s="1250"/>
      <c r="B36" s="1264"/>
      <c r="C36" s="1265" t="s">
        <v>914</v>
      </c>
      <c r="D36" s="1266" t="s">
        <v>915</v>
      </c>
      <c r="E36" s="1266" t="s">
        <v>916</v>
      </c>
      <c r="F36" s="1267" t="s">
        <v>922</v>
      </c>
      <c r="G36" s="1228" t="s">
        <v>914</v>
      </c>
      <c r="H36" s="1228" t="s">
        <v>915</v>
      </c>
      <c r="I36" s="1228" t="s">
        <v>916</v>
      </c>
      <c r="J36" s="1268"/>
      <c r="K36" s="3368" t="s">
        <v>3244</v>
      </c>
      <c r="L36" s="3370">
        <v>3.6999999999999998E-2</v>
      </c>
      <c r="M36" s="3371">
        <f>ROUND($L$36*(1+M31),3)</f>
        <v>4.5999999999999999E-2</v>
      </c>
      <c r="N36" s="3371">
        <f>ROUND($L$36*(1+N31),3)</f>
        <v>4.3999999999999997E-2</v>
      </c>
      <c r="O36" s="3371">
        <f>ROUND($L$36*(1+O31),3)</f>
        <v>4.2999999999999997E-2</v>
      </c>
      <c r="P36" s="3371">
        <f>ROUND($L$36*(1+P31),3)</f>
        <v>4.1000000000000002E-2</v>
      </c>
      <c r="Q36" s="3371">
        <f>ROUND($L$36*(1+Q31),3)</f>
        <v>4.2999999999999997E-2</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13.5" thickBot="1">
      <c r="A37" s="3639"/>
      <c r="B37" s="1270" t="s">
        <v>923</v>
      </c>
      <c r="C37" s="954" t="e">
        <f>ROUND(D5*C22*C23*C24*C28*F37,0)</f>
        <v>#DIV/0!</v>
      </c>
      <c r="D37" s="1282"/>
      <c r="E37" s="945" t="e">
        <f>ROUND(C37*D37/10000,0)</f>
        <v>#DIV/0!</v>
      </c>
      <c r="F37" s="945">
        <f>SUMIF(修正!A57:A68,G2,修正!B57:B68)</f>
        <v>0</v>
      </c>
      <c r="G37" s="945" t="e">
        <f>ROUND(IF(E2="工业",C37*$M$42,C37*$M$41),0)</f>
        <v>#DIV/0!</v>
      </c>
      <c r="H37" s="945">
        <f>D37</f>
        <v>0</v>
      </c>
      <c r="I37" s="945" t="e">
        <f>ROUND(G37*H37/10000,0)</f>
        <v>#DIV/0!</v>
      </c>
      <c r="J37" s="3639"/>
      <c r="K37" s="3369" t="s">
        <v>3245</v>
      </c>
      <c r="L37" s="3370">
        <f>L36+K38</f>
        <v>4.1999999999999996E-2</v>
      </c>
      <c r="M37" s="3371">
        <f>ROUND($L$37*(1+M31),3)</f>
        <v>5.2999999999999999E-2</v>
      </c>
      <c r="N37" s="3371">
        <f t="shared" ref="N37:Q37" si="3">ROUND($L$37*(1+N31),3)</f>
        <v>0.05</v>
      </c>
      <c r="O37" s="3371">
        <f t="shared" si="3"/>
        <v>4.8000000000000001E-2</v>
      </c>
      <c r="P37" s="3371">
        <f t="shared" si="3"/>
        <v>4.5999999999999999E-2</v>
      </c>
      <c r="Q37" s="3371">
        <f t="shared" si="3"/>
        <v>4.8000000000000001E-2</v>
      </c>
      <c r="R37" s="1790"/>
      <c r="S37" s="1790"/>
      <c r="T37" s="1790"/>
      <c r="U37" s="1790"/>
      <c r="V37" s="1790"/>
      <c r="W37" s="1789"/>
      <c r="X37" s="1789"/>
      <c r="Y37" s="1789"/>
      <c r="Z37" s="1789"/>
      <c r="AA37" s="1789"/>
      <c r="AB37" s="1789"/>
      <c r="AC37" s="1790"/>
    </row>
    <row r="38" spans="1:44" ht="12.75">
      <c r="A38" s="3640"/>
      <c r="B38" s="1215" t="s">
        <v>924</v>
      </c>
      <c r="C38" s="954" t="e">
        <f>ROUND(D5*C22*C23*C24*C28*F38,0)</f>
        <v>#DIV/0!</v>
      </c>
      <c r="D38" s="1282"/>
      <c r="E38" s="945" t="e">
        <f t="shared" ref="E38:E42" si="4">ROUND(C38*D38/10000,0)</f>
        <v>#DIV/0!</v>
      </c>
      <c r="F38" s="945">
        <f>SUMIF(修正!A57:A68,G2,修正!C57:C68)</f>
        <v>0</v>
      </c>
      <c r="G38" s="945" t="e">
        <f>ROUND(IF(E2="工业",C38*$M$42,C38*$M$41),0)</f>
        <v>#DIV/0!</v>
      </c>
      <c r="H38" s="945">
        <f t="shared" ref="H38:H42" si="5">D38</f>
        <v>0</v>
      </c>
      <c r="I38" s="945" t="e">
        <f t="shared" ref="I38:I42" si="6">ROUND(G38*H38/10000,0)</f>
        <v>#DIV/0!</v>
      </c>
      <c r="J38" s="3640"/>
      <c r="K38" s="3368">
        <v>5.0000000000000001E-3</v>
      </c>
      <c r="L38" s="3368"/>
      <c r="M38" s="3368"/>
      <c r="N38" s="3368"/>
      <c r="O38" s="3368"/>
      <c r="P38" s="3368"/>
      <c r="Q38" s="3368"/>
      <c r="R38" s="1790"/>
      <c r="S38" s="1790"/>
      <c r="T38" s="1790"/>
      <c r="U38" s="1790"/>
      <c r="V38" s="1790"/>
      <c r="W38" s="1789"/>
      <c r="X38" s="1789"/>
      <c r="Y38" s="1789"/>
      <c r="Z38" s="1789"/>
      <c r="AA38" s="1789"/>
      <c r="AB38" s="1789"/>
      <c r="AC38" s="1790"/>
    </row>
    <row r="39" spans="1:44" ht="13.5" thickBot="1">
      <c r="A39" s="3640"/>
      <c r="B39" s="3300" t="s">
        <v>3218</v>
      </c>
      <c r="C39" s="954" t="e">
        <f>ROUND(D5*C22*C23*C24*C28*F39,0)</f>
        <v>#DIV/0!</v>
      </c>
      <c r="D39" s="1282"/>
      <c r="E39" s="945" t="e">
        <f t="shared" si="4"/>
        <v>#DIV/0!</v>
      </c>
      <c r="F39" s="945">
        <f>SUMIF(修正!A57:A68,G2,修正!D57:D68)</f>
        <v>0</v>
      </c>
      <c r="G39" s="945" t="e">
        <f>ROUND(IF(E2="工业",C39*$M$42,C39*$M$41),0)</f>
        <v>#DIV/0!</v>
      </c>
      <c r="H39" s="945">
        <f t="shared" si="5"/>
        <v>0</v>
      </c>
      <c r="I39" s="945" t="e">
        <f t="shared" si="6"/>
        <v>#DIV/0!</v>
      </c>
      <c r="J39" s="3640"/>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2.75">
      <c r="A40" s="1269"/>
      <c r="B40" s="1215" t="s">
        <v>925</v>
      </c>
      <c r="C40" s="945" t="e">
        <f>ROUND(D5*C22*C23*C24*C28*F40,0)</f>
        <v>#DIV/0!</v>
      </c>
      <c r="D40" s="1282"/>
      <c r="E40" s="945" t="e">
        <f t="shared" si="4"/>
        <v>#DIV/0!</v>
      </c>
      <c r="F40" s="954">
        <f>SUMIF(修正!A57:A68,G2,修正!E57:E68)</f>
        <v>0</v>
      </c>
      <c r="G40" s="945" t="e">
        <f>ROUND(IF(E2="工业",C40*$M$42,C40*$M$41),0)</f>
        <v>#DIV/0!</v>
      </c>
      <c r="H40" s="945">
        <f t="shared" si="5"/>
        <v>0</v>
      </c>
      <c r="I40" s="945" t="e">
        <f t="shared" si="6"/>
        <v>#DIV/0!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2.75">
      <c r="A41" s="1269"/>
      <c r="B41" s="1215" t="s">
        <v>926</v>
      </c>
      <c r="C41" s="945" t="e">
        <f>ROUND(D5*C22*C23*C44*C28*F41,0)</f>
        <v>#DIV/0!</v>
      </c>
      <c r="D41" s="1282"/>
      <c r="E41" s="945" t="e">
        <f t="shared" si="4"/>
        <v>#DIV/0!</v>
      </c>
      <c r="F41" s="954">
        <f>SUMIF(修正!A57:A68,G2,修正!F57:F68)</f>
        <v>0</v>
      </c>
      <c r="G41" s="945" t="e">
        <f>ROUND(IF(E2="工业",C41*$M$42,C41*$M$41),0)</f>
        <v>#DIV/0!</v>
      </c>
      <c r="H41" s="945">
        <f t="shared" si="5"/>
        <v>0</v>
      </c>
      <c r="I41" s="945" t="e">
        <f t="shared" si="6"/>
        <v>#DIV/0!</v>
      </c>
      <c r="J41" s="1271"/>
      <c r="K41" s="1789"/>
      <c r="L41" s="3372" t="s">
        <v>3246</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5" thickBot="1">
      <c r="A42" s="1255"/>
      <c r="B42" s="1272" t="s">
        <v>927</v>
      </c>
      <c r="C42" s="946" t="e">
        <f>ROUND(D5*C22*C23*C44*C28*F42,0)</f>
        <v>#DIV/0!</v>
      </c>
      <c r="D42" s="1283"/>
      <c r="E42" s="946" t="e">
        <f t="shared" si="4"/>
        <v>#DIV/0!</v>
      </c>
      <c r="F42" s="956">
        <f>SUMIF(修正!A57:A68,G2,修正!G57:G68)</f>
        <v>0</v>
      </c>
      <c r="G42" s="946" t="e">
        <f>ROUND(IF(E2="工业",C42*$M$42,C42*$M$41),0)</f>
        <v>#DIV/0!</v>
      </c>
      <c r="H42" s="946">
        <f t="shared" si="5"/>
        <v>0</v>
      </c>
      <c r="I42" s="946" t="e">
        <f t="shared" si="6"/>
        <v>#DIV/0!</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12.75">
      <c r="A44" s="1187"/>
      <c r="B44" s="2396" t="s">
        <v>2238</v>
      </c>
      <c r="C44" s="773" t="e">
        <f>ROUND(POWER(1+E44,H44-G44)*(POWER(1+E44,G44)-1)/(POWER(1+E44,H44)-1),4)</f>
        <v>#DIV/0!</v>
      </c>
      <c r="D44" s="348" t="s">
        <v>2236</v>
      </c>
      <c r="E44" s="2395">
        <f>G24</f>
        <v>0</v>
      </c>
      <c r="F44" s="348" t="s">
        <v>2237</v>
      </c>
      <c r="G44" s="366"/>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3" customFormat="1" ht="15" thickBot="1">
      <c r="A47" s="3309" t="s">
        <v>928</v>
      </c>
      <c r="B47" s="3310"/>
      <c r="C47" s="3311"/>
      <c r="D47" s="3312"/>
      <c r="E47" s="3312"/>
      <c r="F47" s="3312"/>
      <c r="G47" s="3168"/>
      <c r="H47" s="3312"/>
      <c r="I47" s="3168"/>
      <c r="J47" s="3168"/>
      <c r="K47" s="3168"/>
      <c r="L47" s="3168"/>
      <c r="M47" s="3168"/>
      <c r="O47" s="1798"/>
      <c r="P47" s="1798"/>
      <c r="Q47" s="1798"/>
      <c r="R47" s="1798"/>
      <c r="S47" s="1798"/>
      <c r="T47" s="1798"/>
      <c r="U47" s="1798"/>
      <c r="V47" s="1798"/>
      <c r="W47" s="1798"/>
      <c r="X47" s="1798"/>
      <c r="Y47" s="1798"/>
      <c r="Z47" s="1798"/>
      <c r="AA47" s="1798"/>
      <c r="AB47" s="1798"/>
      <c r="AC47" s="1798"/>
      <c r="AD47" s="1798"/>
    </row>
    <row r="48" spans="1:44" s="3313" customFormat="1" ht="15">
      <c r="A48" s="3314" t="s">
        <v>929</v>
      </c>
      <c r="B48" s="3376">
        <f>1+E50</f>
        <v>1</v>
      </c>
      <c r="C48" s="3315"/>
      <c r="D48" s="3316"/>
      <c r="E48" s="3317"/>
      <c r="F48" s="3309"/>
      <c r="G48" s="3312"/>
      <c r="H48" s="3312"/>
      <c r="I48" s="3168"/>
      <c r="J48" s="3168"/>
      <c r="K48" s="3168"/>
      <c r="L48" s="3168"/>
      <c r="M48" s="3168"/>
      <c r="O48" s="1798"/>
      <c r="P48" s="1798"/>
      <c r="Q48" s="1798"/>
      <c r="R48" s="1798"/>
      <c r="S48" s="1798"/>
      <c r="T48" s="1798"/>
      <c r="U48" s="1798"/>
      <c r="V48" s="1798"/>
      <c r="W48" s="1798"/>
      <c r="X48" s="1798"/>
      <c r="Y48" s="1798"/>
      <c r="Z48" s="1798"/>
      <c r="AA48" s="1798"/>
      <c r="AB48" s="1798"/>
      <c r="AC48" s="1798"/>
      <c r="AD48" s="1798"/>
    </row>
    <row r="49" spans="1:30" s="3313" customFormat="1" ht="24">
      <c r="A49" s="3318" t="s">
        <v>930</v>
      </c>
      <c r="B49" s="3319" t="s">
        <v>931</v>
      </c>
      <c r="C49" s="3320" t="s">
        <v>932</v>
      </c>
      <c r="D49" s="3321" t="s">
        <v>933</v>
      </c>
      <c r="E49" s="3322" t="s">
        <v>935</v>
      </c>
      <c r="F49" s="3196" t="s">
        <v>1609</v>
      </c>
      <c r="G49" s="3321" t="s">
        <v>936</v>
      </c>
      <c r="H49" s="3323" t="s">
        <v>1772</v>
      </c>
      <c r="I49" s="3321" t="s">
        <v>934</v>
      </c>
      <c r="J49" s="3324" t="s">
        <v>937</v>
      </c>
      <c r="K49" s="3324" t="s">
        <v>938</v>
      </c>
      <c r="L49" s="3324" t="s">
        <v>939</v>
      </c>
      <c r="M49" s="3324" t="s">
        <v>940</v>
      </c>
      <c r="N49" s="3324" t="s">
        <v>941</v>
      </c>
      <c r="P49" s="1798"/>
      <c r="Q49" s="1798"/>
      <c r="R49" s="1798"/>
      <c r="S49" s="1798"/>
      <c r="T49" s="1798"/>
      <c r="U49" s="1798"/>
      <c r="V49" s="1798"/>
      <c r="W49" s="1798"/>
      <c r="X49" s="1798"/>
      <c r="Y49" s="1798"/>
      <c r="Z49" s="1798"/>
      <c r="AA49" s="1798"/>
      <c r="AB49" s="1798"/>
      <c r="AC49" s="1798"/>
      <c r="AD49" s="1798"/>
    </row>
    <row r="50" spans="1:30" s="3313" customFormat="1" ht="36">
      <c r="A50" s="3318" t="s">
        <v>942</v>
      </c>
      <c r="B50" s="3325" t="str">
        <f>估价对象房地状况!C16</f>
        <v>估价对象周边商业氛围成熟度较差，人流量较少，住宅底商为主，商业繁华度较差</v>
      </c>
      <c r="C50" s="3326"/>
      <c r="D50" s="3327">
        <f t="shared" ref="D50:D58" si="7">SUMIF($J$49:$N$49,C50,J50:N50)</f>
        <v>0</v>
      </c>
      <c r="E50" s="3328">
        <f>ROUND(SUM(D50:D58),4)</f>
        <v>0</v>
      </c>
      <c r="F50" s="3329" t="str">
        <f>IF(E2="商业",SUMIF(L1:L12,G2,N1:N12),"——")</f>
        <v>——</v>
      </c>
      <c r="G50" s="3330"/>
      <c r="H50" s="3331" t="str">
        <f t="shared" ref="H50:H58" si="8">IFERROR(ROUNDDOWN(($F$50*I50/2),4),"——")</f>
        <v>——</v>
      </c>
      <c r="I50" s="3306">
        <v>0.3</v>
      </c>
      <c r="J50" s="3332">
        <f t="shared" ref="J50:J58" si="9">K50+$G50</f>
        <v>0</v>
      </c>
      <c r="K50" s="3332">
        <f t="shared" ref="K50:K58" si="10">$L50+$G50</f>
        <v>0</v>
      </c>
      <c r="L50" s="3332">
        <v>0</v>
      </c>
      <c r="M50" s="3332">
        <f t="shared" ref="M50:N58" si="11">L50-$G50</f>
        <v>0</v>
      </c>
      <c r="N50" s="3332">
        <f t="shared" si="11"/>
        <v>0</v>
      </c>
      <c r="P50" s="1798"/>
      <c r="Q50" s="1798"/>
      <c r="R50" s="1798"/>
      <c r="S50" s="1798"/>
      <c r="T50" s="1798"/>
      <c r="U50" s="1798"/>
      <c r="V50" s="1798"/>
      <c r="W50" s="1798"/>
      <c r="X50" s="1798"/>
      <c r="Y50" s="1798"/>
      <c r="Z50" s="1798"/>
      <c r="AA50" s="1798"/>
      <c r="AB50" s="1798"/>
      <c r="AC50" s="1798"/>
      <c r="AD50" s="1798"/>
    </row>
    <row r="51" spans="1:30" s="3313" customFormat="1" ht="48">
      <c r="A51" s="3318" t="s">
        <v>943</v>
      </c>
      <c r="B51" s="3319" t="str">
        <f>估价对象房地状况!C18</f>
        <v>估价对象周边道路状况一般、公共交通通达情况较差，有5、122路经过、停车便捷程度，综合评价交通便捷度一般</v>
      </c>
      <c r="C51" s="3326"/>
      <c r="D51" s="3327">
        <f t="shared" si="7"/>
        <v>0</v>
      </c>
      <c r="E51" s="3333"/>
      <c r="F51" s="3329"/>
      <c r="G51" s="3330"/>
      <c r="H51" s="3331" t="str">
        <f t="shared" si="8"/>
        <v>——</v>
      </c>
      <c r="I51" s="3306">
        <v>0.22</v>
      </c>
      <c r="J51" s="3332">
        <f t="shared" si="9"/>
        <v>0</v>
      </c>
      <c r="K51" s="3332">
        <f t="shared" si="10"/>
        <v>0</v>
      </c>
      <c r="L51" s="3332">
        <v>0</v>
      </c>
      <c r="M51" s="3332">
        <f t="shared" si="11"/>
        <v>0</v>
      </c>
      <c r="N51" s="3332">
        <f t="shared" si="11"/>
        <v>0</v>
      </c>
      <c r="P51" s="1798"/>
      <c r="Q51" s="1798"/>
      <c r="R51" s="1798"/>
      <c r="S51" s="1798"/>
      <c r="T51" s="1798"/>
      <c r="U51" s="1798"/>
      <c r="V51" s="1798"/>
      <c r="W51" s="1798"/>
      <c r="X51" s="1798"/>
      <c r="Y51" s="1798"/>
      <c r="Z51" s="1798"/>
      <c r="AA51" s="1798"/>
      <c r="AB51" s="1798"/>
      <c r="AC51" s="1798"/>
      <c r="AD51" s="1798"/>
    </row>
    <row r="52" spans="1:30" s="3313" customFormat="1" ht="36">
      <c r="A52" s="3301" t="s">
        <v>3220</v>
      </c>
      <c r="B52" s="3319">
        <f>估价对象房地状况!C19</f>
        <v>0</v>
      </c>
      <c r="C52" s="3326"/>
      <c r="D52" s="3327">
        <f t="shared" si="7"/>
        <v>0</v>
      </c>
      <c r="E52" s="3333"/>
      <c r="F52" s="3329"/>
      <c r="G52" s="3330"/>
      <c r="H52" s="3331" t="str">
        <f t="shared" si="8"/>
        <v>——</v>
      </c>
      <c r="I52" s="3306">
        <v>0.12</v>
      </c>
      <c r="J52" s="3332">
        <f t="shared" si="9"/>
        <v>0</v>
      </c>
      <c r="K52" s="3332">
        <f t="shared" si="10"/>
        <v>0</v>
      </c>
      <c r="L52" s="3332">
        <v>0</v>
      </c>
      <c r="M52" s="3332">
        <f t="shared" si="11"/>
        <v>0</v>
      </c>
      <c r="N52" s="3332">
        <f t="shared" si="11"/>
        <v>0</v>
      </c>
      <c r="P52" s="1798"/>
      <c r="Q52" s="1798"/>
      <c r="R52" s="1798"/>
      <c r="S52" s="1798"/>
      <c r="T52" s="1798"/>
      <c r="U52" s="1798"/>
      <c r="V52" s="1798"/>
      <c r="W52" s="1798"/>
      <c r="X52" s="1798"/>
      <c r="Y52" s="1798"/>
      <c r="Z52" s="1798"/>
      <c r="AA52" s="1798"/>
      <c r="AB52" s="1798"/>
      <c r="AC52" s="1798"/>
      <c r="AD52" s="1798"/>
    </row>
    <row r="53" spans="1:30" s="3313" customFormat="1" ht="36">
      <c r="A53" s="3318" t="s">
        <v>945</v>
      </c>
      <c r="B53" s="3334" t="s">
        <v>2195</v>
      </c>
      <c r="C53" s="3326"/>
      <c r="D53" s="3327">
        <f t="shared" si="7"/>
        <v>0</v>
      </c>
      <c r="E53" s="3333"/>
      <c r="F53" s="3329"/>
      <c r="G53" s="3330"/>
      <c r="H53" s="3331" t="str">
        <f t="shared" si="8"/>
        <v>——</v>
      </c>
      <c r="I53" s="3306">
        <v>0.05</v>
      </c>
      <c r="J53" s="3332">
        <f t="shared" si="9"/>
        <v>0</v>
      </c>
      <c r="K53" s="3332">
        <f t="shared" si="10"/>
        <v>0</v>
      </c>
      <c r="L53" s="3332">
        <v>0</v>
      </c>
      <c r="M53" s="3332">
        <f t="shared" si="11"/>
        <v>0</v>
      </c>
      <c r="N53" s="3332">
        <f t="shared" si="11"/>
        <v>0</v>
      </c>
      <c r="P53" s="1798"/>
      <c r="Q53" s="1798"/>
      <c r="R53" s="1798"/>
      <c r="S53" s="1798"/>
      <c r="T53" s="1798"/>
      <c r="U53" s="1798"/>
      <c r="V53" s="1798"/>
      <c r="W53" s="1798"/>
      <c r="X53" s="1798"/>
      <c r="Y53" s="1798"/>
      <c r="Z53" s="1798"/>
      <c r="AA53" s="1798"/>
      <c r="AB53" s="1798"/>
      <c r="AC53" s="1798"/>
      <c r="AD53" s="1798"/>
    </row>
    <row r="54" spans="1:30" s="3313" customFormat="1" ht="24">
      <c r="A54" s="3318" t="s">
        <v>946</v>
      </c>
      <c r="B54" s="3319" t="str">
        <f>估价对象房地状况!C24</f>
        <v>次干道-新华大道</v>
      </c>
      <c r="C54" s="3326"/>
      <c r="D54" s="3327">
        <f t="shared" si="7"/>
        <v>0</v>
      </c>
      <c r="E54" s="3333"/>
      <c r="F54" s="3329"/>
      <c r="G54" s="3330"/>
      <c r="H54" s="3331" t="str">
        <f t="shared" si="8"/>
        <v>——</v>
      </c>
      <c r="I54" s="3306">
        <v>0.08</v>
      </c>
      <c r="J54" s="3332">
        <f t="shared" si="9"/>
        <v>0</v>
      </c>
      <c r="K54" s="3332">
        <f t="shared" si="10"/>
        <v>0</v>
      </c>
      <c r="L54" s="3332">
        <v>0</v>
      </c>
      <c r="M54" s="3332">
        <f t="shared" si="11"/>
        <v>0</v>
      </c>
      <c r="N54" s="3332">
        <f t="shared" si="11"/>
        <v>0</v>
      </c>
      <c r="P54" s="1798"/>
      <c r="Q54" s="1798"/>
      <c r="R54" s="1798"/>
      <c r="S54" s="1798"/>
      <c r="T54" s="1798"/>
      <c r="U54" s="1798"/>
      <c r="V54" s="1798"/>
      <c r="W54" s="1798"/>
      <c r="X54" s="1798"/>
      <c r="Y54" s="1798"/>
      <c r="Z54" s="1798"/>
      <c r="AA54" s="1798"/>
      <c r="AB54" s="1798"/>
      <c r="AC54" s="1798"/>
      <c r="AD54" s="1798"/>
    </row>
    <row r="55" spans="1:30" s="3313" customFormat="1" ht="24">
      <c r="A55" s="3318" t="s">
        <v>947</v>
      </c>
      <c r="B55" s="3335" t="s">
        <v>2194</v>
      </c>
      <c r="C55" s="3326"/>
      <c r="D55" s="3327">
        <f t="shared" si="7"/>
        <v>0</v>
      </c>
      <c r="E55" s="3333"/>
      <c r="F55" s="3329"/>
      <c r="G55" s="3330"/>
      <c r="H55" s="3331" t="str">
        <f t="shared" si="8"/>
        <v>——</v>
      </c>
      <c r="I55" s="3306">
        <v>0.05</v>
      </c>
      <c r="J55" s="3332">
        <f t="shared" si="9"/>
        <v>0</v>
      </c>
      <c r="K55" s="3332">
        <f t="shared" si="10"/>
        <v>0</v>
      </c>
      <c r="L55" s="3332">
        <v>0</v>
      </c>
      <c r="M55" s="3332">
        <f t="shared" si="11"/>
        <v>0</v>
      </c>
      <c r="N55" s="3332">
        <f t="shared" si="11"/>
        <v>0</v>
      </c>
      <c r="P55" s="1798"/>
      <c r="Q55" s="1798"/>
      <c r="R55" s="1798"/>
      <c r="S55" s="1798"/>
      <c r="T55" s="1798"/>
      <c r="U55" s="1798"/>
      <c r="V55" s="1798"/>
      <c r="W55" s="1798"/>
      <c r="X55" s="1798"/>
      <c r="Y55" s="1798"/>
      <c r="Z55" s="1798"/>
      <c r="AA55" s="1798"/>
      <c r="AB55" s="1798"/>
      <c r="AC55" s="1798"/>
      <c r="AD55" s="1798"/>
    </row>
    <row r="56" spans="1:30" s="3313" customFormat="1" ht="24">
      <c r="A56" s="3336" t="s">
        <v>948</v>
      </c>
      <c r="B56" s="3337" t="str">
        <f>估价对象房地状况!C21</f>
        <v>估价对象所在区域公共配套设施齐备情况较差</v>
      </c>
      <c r="C56" s="3326"/>
      <c r="D56" s="3327">
        <f t="shared" si="7"/>
        <v>0</v>
      </c>
      <c r="E56" s="3333"/>
      <c r="F56" s="3329"/>
      <c r="G56" s="3330"/>
      <c r="H56" s="3331" t="str">
        <f t="shared" si="8"/>
        <v>——</v>
      </c>
      <c r="I56" s="3306">
        <v>0.05</v>
      </c>
      <c r="J56" s="3332">
        <f t="shared" si="9"/>
        <v>0</v>
      </c>
      <c r="K56" s="3332">
        <f t="shared" si="10"/>
        <v>0</v>
      </c>
      <c r="L56" s="3332">
        <v>0</v>
      </c>
      <c r="M56" s="3332">
        <f t="shared" si="11"/>
        <v>0</v>
      </c>
      <c r="N56" s="3332">
        <f t="shared" si="11"/>
        <v>0</v>
      </c>
      <c r="P56" s="1798"/>
      <c r="Q56" s="1798"/>
      <c r="R56" s="1798"/>
      <c r="S56" s="1798"/>
      <c r="T56" s="1798"/>
      <c r="U56" s="1798"/>
      <c r="V56" s="1798"/>
      <c r="W56" s="1798"/>
      <c r="X56" s="1798"/>
      <c r="Y56" s="1798"/>
      <c r="Z56" s="1798"/>
      <c r="AA56" s="1798"/>
      <c r="AB56" s="1798"/>
      <c r="AC56" s="1798"/>
      <c r="AD56" s="1798"/>
    </row>
    <row r="57" spans="1:30" s="3313" customFormat="1" ht="24">
      <c r="A57" s="3336" t="s">
        <v>949</v>
      </c>
      <c r="B57" s="3319" t="str">
        <f>估价对象房地状况!C22</f>
        <v>六通</v>
      </c>
      <c r="C57" s="3326"/>
      <c r="D57" s="3327">
        <f t="shared" si="7"/>
        <v>0</v>
      </c>
      <c r="E57" s="3333"/>
      <c r="F57" s="3329"/>
      <c r="G57" s="3330"/>
      <c r="H57" s="3331" t="str">
        <f t="shared" si="8"/>
        <v>——</v>
      </c>
      <c r="I57" s="3306">
        <v>0.08</v>
      </c>
      <c r="J57" s="3332">
        <f t="shared" si="9"/>
        <v>0</v>
      </c>
      <c r="K57" s="3332">
        <f t="shared" si="10"/>
        <v>0</v>
      </c>
      <c r="L57" s="3332">
        <v>0</v>
      </c>
      <c r="M57" s="3332">
        <f t="shared" si="11"/>
        <v>0</v>
      </c>
      <c r="N57" s="3332">
        <f t="shared" si="11"/>
        <v>0</v>
      </c>
      <c r="P57" s="1798"/>
      <c r="Q57" s="1798"/>
      <c r="R57" s="1798"/>
      <c r="S57" s="1798"/>
      <c r="T57" s="1798"/>
      <c r="U57" s="1798"/>
      <c r="V57" s="1798"/>
      <c r="W57" s="1798"/>
      <c r="X57" s="1798"/>
      <c r="Y57" s="1798"/>
      <c r="Z57" s="1798"/>
      <c r="AA57" s="1798"/>
      <c r="AB57" s="1798"/>
      <c r="AC57" s="1798"/>
      <c r="AD57" s="1798"/>
    </row>
    <row r="58" spans="1:30" s="3313" customFormat="1" ht="24.75" thickBot="1">
      <c r="A58" s="3338" t="s">
        <v>950</v>
      </c>
      <c r="B58" s="3339" t="str">
        <f>估价对象房地状况!C20</f>
        <v>区域自然环境：；人文环境；综合评价环境状况较好</v>
      </c>
      <c r="C58" s="3326"/>
      <c r="D58" s="3327">
        <f t="shared" si="7"/>
        <v>0</v>
      </c>
      <c r="E58" s="3340"/>
      <c r="F58" s="3329"/>
      <c r="G58" s="3330"/>
      <c r="H58" s="3331" t="str">
        <f t="shared" si="8"/>
        <v>——</v>
      </c>
      <c r="I58" s="3308">
        <v>0.05</v>
      </c>
      <c r="J58" s="3332">
        <f t="shared" si="9"/>
        <v>0</v>
      </c>
      <c r="K58" s="3332">
        <f t="shared" si="10"/>
        <v>0</v>
      </c>
      <c r="L58" s="3332">
        <v>0</v>
      </c>
      <c r="M58" s="3332">
        <f t="shared" si="11"/>
        <v>0</v>
      </c>
      <c r="N58" s="3332">
        <f t="shared" si="11"/>
        <v>0</v>
      </c>
      <c r="P58" s="1798"/>
      <c r="Q58" s="1798"/>
      <c r="R58" s="1798"/>
      <c r="S58" s="1798"/>
      <c r="T58" s="1798"/>
      <c r="U58" s="1798"/>
      <c r="V58" s="1798"/>
      <c r="W58" s="1798"/>
      <c r="X58" s="1798"/>
      <c r="Y58" s="1798"/>
      <c r="Z58" s="1798"/>
      <c r="AA58" s="1798"/>
      <c r="AB58" s="1798"/>
      <c r="AC58" s="1798"/>
      <c r="AD58" s="1798"/>
    </row>
    <row r="59" spans="1:30" s="3313" customFormat="1" ht="15">
      <c r="A59" s="3314" t="s">
        <v>951</v>
      </c>
      <c r="B59" s="3376">
        <f>1+E61</f>
        <v>1</v>
      </c>
      <c r="C59" s="3341"/>
      <c r="D59" s="3316"/>
      <c r="E59" s="3317"/>
      <c r="F59" s="3309"/>
      <c r="G59" s="3312"/>
      <c r="H59" s="3312"/>
      <c r="I59" s="3312"/>
      <c r="J59" s="3168"/>
      <c r="K59" s="3168"/>
      <c r="L59" s="3168"/>
      <c r="M59" s="3168"/>
      <c r="N59" s="3168"/>
      <c r="P59" s="1798"/>
      <c r="Q59" s="1798"/>
      <c r="R59" s="1798"/>
      <c r="S59" s="1798"/>
      <c r="T59" s="1798"/>
      <c r="U59" s="1798"/>
      <c r="V59" s="1798"/>
      <c r="W59" s="1798"/>
      <c r="X59" s="1798"/>
      <c r="Y59" s="1798"/>
      <c r="Z59" s="1798"/>
      <c r="AA59" s="1798"/>
      <c r="AB59" s="1798"/>
      <c r="AC59" s="1798"/>
      <c r="AD59" s="1798"/>
    </row>
    <row r="60" spans="1:30" s="3313" customFormat="1" ht="24">
      <c r="A60" s="3318" t="s">
        <v>930</v>
      </c>
      <c r="B60" s="3319"/>
      <c r="C60" s="3320" t="s">
        <v>932</v>
      </c>
      <c r="D60" s="3321" t="s">
        <v>933</v>
      </c>
      <c r="E60" s="3322" t="s">
        <v>935</v>
      </c>
      <c r="F60" s="3196" t="s">
        <v>1610</v>
      </c>
      <c r="G60" s="3321" t="s">
        <v>936</v>
      </c>
      <c r="H60" s="3323" t="s">
        <v>1772</v>
      </c>
      <c r="I60" s="3321" t="s">
        <v>934</v>
      </c>
      <c r="J60" s="3324" t="s">
        <v>937</v>
      </c>
      <c r="K60" s="3324" t="s">
        <v>938</v>
      </c>
      <c r="L60" s="3324" t="s">
        <v>939</v>
      </c>
      <c r="M60" s="3324" t="s">
        <v>940</v>
      </c>
      <c r="N60" s="3324" t="s">
        <v>941</v>
      </c>
      <c r="P60" s="1798"/>
      <c r="Q60" s="1798"/>
      <c r="R60" s="1798"/>
      <c r="S60" s="1798"/>
      <c r="T60" s="1798"/>
      <c r="U60" s="1798"/>
      <c r="V60" s="1798"/>
      <c r="W60" s="1798"/>
      <c r="X60" s="1798"/>
      <c r="Y60" s="1798"/>
      <c r="Z60" s="1798"/>
      <c r="AA60" s="1798"/>
      <c r="AB60" s="1798"/>
      <c r="AC60" s="1798"/>
      <c r="AD60" s="1798"/>
    </row>
    <row r="61" spans="1:30" s="3313" customFormat="1" ht="24">
      <c r="A61" s="3318" t="s">
        <v>952</v>
      </c>
      <c r="B61" s="3325">
        <f>估价对象房地状况!C17</f>
        <v>0</v>
      </c>
      <c r="C61" s="3326"/>
      <c r="D61" s="3327">
        <f t="shared" ref="D61:D69" si="12">SUMIF($J$60:$N$60,C61,J61:N61)</f>
        <v>0</v>
      </c>
      <c r="E61" s="3328">
        <f>ROUND(SUM(D61:D69),4)</f>
        <v>0</v>
      </c>
      <c r="F61" s="3329" t="str">
        <f>IF(E2="办公",SUMIF(L1:L12,G2,N1:N12),"——")</f>
        <v>——</v>
      </c>
      <c r="G61" s="3330"/>
      <c r="H61" s="3331" t="str">
        <f>IFERROR(ROUNDDOWN($F$61*I61/2,4),"——")</f>
        <v>——</v>
      </c>
      <c r="I61" s="3306">
        <v>0.25</v>
      </c>
      <c r="J61" s="3332">
        <f t="shared" ref="J61:J69" si="13">K61+$G61</f>
        <v>0</v>
      </c>
      <c r="K61" s="3332">
        <f t="shared" ref="K61:K69" si="14">$L61+$G61</f>
        <v>0</v>
      </c>
      <c r="L61" s="3332">
        <v>0</v>
      </c>
      <c r="M61" s="3332">
        <f t="shared" ref="M61:N69" si="15">L61-$G61</f>
        <v>0</v>
      </c>
      <c r="N61" s="3332">
        <f t="shared" si="15"/>
        <v>0</v>
      </c>
      <c r="P61" s="1798"/>
      <c r="Q61" s="1798"/>
      <c r="R61" s="1798"/>
      <c r="S61" s="1798"/>
      <c r="T61" s="1798"/>
      <c r="U61" s="1798"/>
      <c r="V61" s="1798"/>
      <c r="W61" s="1798"/>
      <c r="X61" s="1798"/>
      <c r="Y61" s="1798"/>
      <c r="Z61" s="1798"/>
      <c r="AA61" s="1798"/>
      <c r="AB61" s="1798"/>
      <c r="AC61" s="1798"/>
      <c r="AD61" s="1798"/>
    </row>
    <row r="62" spans="1:30" s="3313" customFormat="1" ht="48">
      <c r="A62" s="3318" t="s">
        <v>943</v>
      </c>
      <c r="B62" s="3319" t="str">
        <f>估价对象房地状况!C18</f>
        <v>估价对象周边道路状况一般、公共交通通达情况较差，有5、122路经过、停车便捷程度，综合评价交通便捷度一般</v>
      </c>
      <c r="C62" s="3326"/>
      <c r="D62" s="3327">
        <f t="shared" si="12"/>
        <v>0</v>
      </c>
      <c r="E62" s="3333"/>
      <c r="F62" s="3329"/>
      <c r="G62" s="3330"/>
      <c r="H62" s="3331" t="str">
        <f t="shared" ref="H62:H69" si="16">IFERROR(ROUNDDOWN($F$61*I62/2,4),"——")</f>
        <v>——</v>
      </c>
      <c r="I62" s="3306">
        <v>0.26</v>
      </c>
      <c r="J62" s="3332">
        <f t="shared" si="13"/>
        <v>0</v>
      </c>
      <c r="K62" s="3332">
        <f t="shared" si="14"/>
        <v>0</v>
      </c>
      <c r="L62" s="3332">
        <v>0</v>
      </c>
      <c r="M62" s="3332">
        <f t="shared" si="15"/>
        <v>0</v>
      </c>
      <c r="N62" s="3332">
        <f t="shared" si="15"/>
        <v>0</v>
      </c>
      <c r="P62" s="1798"/>
      <c r="Q62" s="1798"/>
      <c r="R62" s="1798"/>
      <c r="S62" s="1798"/>
      <c r="T62" s="1798"/>
      <c r="U62" s="1798"/>
      <c r="V62" s="1798"/>
      <c r="W62" s="1798"/>
      <c r="X62" s="1798"/>
      <c r="Y62" s="1798"/>
      <c r="Z62" s="1798"/>
      <c r="AA62" s="1798"/>
      <c r="AB62" s="1798"/>
      <c r="AC62" s="1798"/>
      <c r="AD62" s="1798"/>
    </row>
    <row r="63" spans="1:30" s="3313" customFormat="1" ht="36">
      <c r="A63" s="3301" t="s">
        <v>3220</v>
      </c>
      <c r="B63" s="3319">
        <f>估价对象房地状况!C19</f>
        <v>0</v>
      </c>
      <c r="C63" s="3326"/>
      <c r="D63" s="3327">
        <f t="shared" si="12"/>
        <v>0</v>
      </c>
      <c r="E63" s="3333"/>
      <c r="F63" s="3329"/>
      <c r="G63" s="3330"/>
      <c r="H63" s="3331" t="str">
        <f t="shared" si="16"/>
        <v>——</v>
      </c>
      <c r="I63" s="3306">
        <v>0.11</v>
      </c>
      <c r="J63" s="3332">
        <f t="shared" si="13"/>
        <v>0</v>
      </c>
      <c r="K63" s="3332">
        <f t="shared" si="14"/>
        <v>0</v>
      </c>
      <c r="L63" s="3332">
        <v>0</v>
      </c>
      <c r="M63" s="3332">
        <f t="shared" si="15"/>
        <v>0</v>
      </c>
      <c r="N63" s="3332">
        <f t="shared" si="15"/>
        <v>0</v>
      </c>
      <c r="P63" s="1798"/>
      <c r="Q63" s="1798"/>
      <c r="R63" s="1798"/>
      <c r="S63" s="1798"/>
      <c r="T63" s="1798"/>
      <c r="U63" s="1798"/>
      <c r="V63" s="1798"/>
      <c r="W63" s="1798"/>
      <c r="X63" s="1798"/>
      <c r="Y63" s="1798"/>
      <c r="Z63" s="1798"/>
      <c r="AA63" s="1798"/>
      <c r="AB63" s="1798"/>
      <c r="AC63" s="1798"/>
      <c r="AD63" s="1798"/>
    </row>
    <row r="64" spans="1:30" s="3313" customFormat="1" ht="36">
      <c r="A64" s="3318" t="s">
        <v>945</v>
      </c>
      <c r="B64" s="3334" t="s">
        <v>2196</v>
      </c>
      <c r="C64" s="3326"/>
      <c r="D64" s="3327">
        <f t="shared" si="12"/>
        <v>0</v>
      </c>
      <c r="E64" s="3333"/>
      <c r="F64" s="3329"/>
      <c r="G64" s="3330"/>
      <c r="H64" s="3331" t="str">
        <f t="shared" si="16"/>
        <v>——</v>
      </c>
      <c r="I64" s="3306">
        <v>0.05</v>
      </c>
      <c r="J64" s="3332">
        <f t="shared" si="13"/>
        <v>0</v>
      </c>
      <c r="K64" s="3332">
        <f t="shared" si="14"/>
        <v>0</v>
      </c>
      <c r="L64" s="3332">
        <v>0</v>
      </c>
      <c r="M64" s="3332">
        <f t="shared" si="15"/>
        <v>0</v>
      </c>
      <c r="N64" s="3332">
        <f t="shared" si="15"/>
        <v>0</v>
      </c>
      <c r="P64" s="1798"/>
      <c r="Q64" s="1798"/>
      <c r="R64" s="1798"/>
      <c r="S64" s="1798"/>
      <c r="T64" s="1798"/>
      <c r="U64" s="1798"/>
      <c r="V64" s="1798"/>
      <c r="W64" s="1798"/>
      <c r="X64" s="1798"/>
      <c r="Y64" s="1798"/>
      <c r="Z64" s="1798"/>
      <c r="AA64" s="1798"/>
      <c r="AB64" s="1798"/>
      <c r="AC64" s="1798"/>
      <c r="AD64" s="1798"/>
    </row>
    <row r="65" spans="1:36" s="3313" customFormat="1" ht="24">
      <c r="A65" s="3318" t="s">
        <v>946</v>
      </c>
      <c r="B65" s="3319" t="str">
        <f>估价对象房地状况!C24</f>
        <v>次干道-新华大道</v>
      </c>
      <c r="C65" s="3326"/>
      <c r="D65" s="3327">
        <f t="shared" si="12"/>
        <v>0</v>
      </c>
      <c r="E65" s="3333"/>
      <c r="F65" s="3329"/>
      <c r="G65" s="3330"/>
      <c r="H65" s="3331" t="str">
        <f t="shared" si="16"/>
        <v>——</v>
      </c>
      <c r="I65" s="3306">
        <v>0.05</v>
      </c>
      <c r="J65" s="3332">
        <f t="shared" si="13"/>
        <v>0</v>
      </c>
      <c r="K65" s="3332">
        <f t="shared" si="14"/>
        <v>0</v>
      </c>
      <c r="L65" s="3332">
        <v>0</v>
      </c>
      <c r="M65" s="3332">
        <f t="shared" si="15"/>
        <v>0</v>
      </c>
      <c r="N65" s="3332">
        <f t="shared" si="15"/>
        <v>0</v>
      </c>
      <c r="P65" s="1798"/>
      <c r="Q65" s="1798"/>
      <c r="R65" s="1798"/>
      <c r="S65" s="1798"/>
      <c r="T65" s="1798"/>
      <c r="U65" s="1798"/>
      <c r="V65" s="1798"/>
      <c r="W65" s="1798"/>
      <c r="X65" s="1798"/>
      <c r="Y65" s="1798"/>
      <c r="Z65" s="1798"/>
      <c r="AA65" s="1798"/>
      <c r="AB65" s="1798"/>
      <c r="AC65" s="1798"/>
      <c r="AD65" s="1798"/>
    </row>
    <row r="66" spans="1:36" s="3313" customFormat="1" ht="24">
      <c r="A66" s="3318" t="s">
        <v>947</v>
      </c>
      <c r="B66" s="3335" t="s">
        <v>2194</v>
      </c>
      <c r="C66" s="3326"/>
      <c r="D66" s="3327">
        <f t="shared" si="12"/>
        <v>0</v>
      </c>
      <c r="E66" s="3333"/>
      <c r="F66" s="3329"/>
      <c r="G66" s="3330"/>
      <c r="H66" s="3331" t="str">
        <f t="shared" si="16"/>
        <v>——</v>
      </c>
      <c r="I66" s="3306">
        <v>0.06</v>
      </c>
      <c r="J66" s="3332">
        <f t="shared" si="13"/>
        <v>0</v>
      </c>
      <c r="K66" s="3332">
        <f t="shared" si="14"/>
        <v>0</v>
      </c>
      <c r="L66" s="3332">
        <v>0</v>
      </c>
      <c r="M66" s="3332">
        <f t="shared" si="15"/>
        <v>0</v>
      </c>
      <c r="N66" s="3332">
        <f t="shared" si="15"/>
        <v>0</v>
      </c>
      <c r="P66" s="1798"/>
      <c r="Q66" s="1798"/>
      <c r="R66" s="1798"/>
      <c r="S66" s="1798"/>
      <c r="T66" s="1798"/>
      <c r="U66" s="1798"/>
      <c r="V66" s="1798"/>
      <c r="W66" s="1798"/>
      <c r="X66" s="1798"/>
      <c r="Y66" s="1798"/>
      <c r="Z66" s="1798"/>
      <c r="AA66" s="1798"/>
      <c r="AB66" s="1798"/>
      <c r="AC66" s="1798"/>
      <c r="AD66" s="1798"/>
    </row>
    <row r="67" spans="1:36" s="3313" customFormat="1" ht="24">
      <c r="A67" s="3318" t="s">
        <v>948</v>
      </c>
      <c r="B67" s="3337" t="str">
        <f>估价对象房地状况!C21</f>
        <v>估价对象所在区域公共配套设施齐备情况较差</v>
      </c>
      <c r="C67" s="3326"/>
      <c r="D67" s="3327">
        <f t="shared" si="12"/>
        <v>0</v>
      </c>
      <c r="E67" s="3333"/>
      <c r="F67" s="3329"/>
      <c r="G67" s="3330"/>
      <c r="H67" s="3331" t="str">
        <f t="shared" si="16"/>
        <v>——</v>
      </c>
      <c r="I67" s="3306">
        <v>0.06</v>
      </c>
      <c r="J67" s="3332">
        <f t="shared" si="13"/>
        <v>0</v>
      </c>
      <c r="K67" s="3332">
        <f t="shared" si="14"/>
        <v>0</v>
      </c>
      <c r="L67" s="3332">
        <v>0</v>
      </c>
      <c r="M67" s="3332">
        <f t="shared" si="15"/>
        <v>0</v>
      </c>
      <c r="N67" s="3332">
        <f t="shared" si="15"/>
        <v>0</v>
      </c>
      <c r="P67" s="1798"/>
      <c r="Q67" s="1798"/>
      <c r="R67" s="1798"/>
      <c r="S67" s="1798"/>
      <c r="T67" s="1798"/>
      <c r="U67" s="1798"/>
      <c r="V67" s="1798"/>
      <c r="W67" s="1798"/>
      <c r="X67" s="1798"/>
      <c r="Y67" s="1798"/>
      <c r="Z67" s="1798"/>
      <c r="AA67" s="1798"/>
      <c r="AB67" s="1798"/>
      <c r="AC67" s="1798"/>
      <c r="AD67" s="1798"/>
    </row>
    <row r="68" spans="1:36" s="3313" customFormat="1" ht="24">
      <c r="A68" s="3318" t="s">
        <v>949</v>
      </c>
      <c r="B68" s="3337" t="str">
        <f>估价对象房地状况!C22</f>
        <v>六通</v>
      </c>
      <c r="C68" s="3326"/>
      <c r="D68" s="3327">
        <f t="shared" si="12"/>
        <v>0</v>
      </c>
      <c r="E68" s="3333"/>
      <c r="F68" s="3329"/>
      <c r="G68" s="3330"/>
      <c r="H68" s="3331" t="str">
        <f t="shared" si="16"/>
        <v>——</v>
      </c>
      <c r="I68" s="3306">
        <v>0.09</v>
      </c>
      <c r="J68" s="3332">
        <f t="shared" si="13"/>
        <v>0</v>
      </c>
      <c r="K68" s="3332">
        <f t="shared" si="14"/>
        <v>0</v>
      </c>
      <c r="L68" s="3332">
        <v>0</v>
      </c>
      <c r="M68" s="3332">
        <f t="shared" si="15"/>
        <v>0</v>
      </c>
      <c r="N68" s="3332">
        <f t="shared" si="15"/>
        <v>0</v>
      </c>
      <c r="P68" s="1798"/>
      <c r="Q68" s="1798"/>
      <c r="R68" s="1798"/>
      <c r="S68" s="1798"/>
      <c r="T68" s="1798"/>
      <c r="U68" s="1798"/>
      <c r="V68" s="1798"/>
      <c r="W68" s="1798"/>
      <c r="X68" s="1798"/>
      <c r="Y68" s="1798"/>
      <c r="Z68" s="1798"/>
      <c r="AA68" s="1798"/>
      <c r="AB68" s="1798"/>
      <c r="AC68" s="1798"/>
      <c r="AD68" s="1798"/>
    </row>
    <row r="69" spans="1:36" s="3313" customFormat="1" ht="24.75" thickBot="1">
      <c r="A69" s="3338" t="s">
        <v>950</v>
      </c>
      <c r="B69" s="3342" t="str">
        <f>估价对象房地状况!C20</f>
        <v>区域自然环境：；人文环境；综合评价环境状况较好</v>
      </c>
      <c r="C69" s="3326"/>
      <c r="D69" s="3327">
        <f t="shared" si="12"/>
        <v>0</v>
      </c>
      <c r="E69" s="3340"/>
      <c r="F69" s="3329"/>
      <c r="G69" s="3330"/>
      <c r="H69" s="3331" t="str">
        <f t="shared" si="16"/>
        <v>——</v>
      </c>
      <c r="I69" s="3308">
        <v>7.0000000000000007E-2</v>
      </c>
      <c r="J69" s="3332">
        <f t="shared" si="13"/>
        <v>0</v>
      </c>
      <c r="K69" s="3332">
        <f t="shared" si="14"/>
        <v>0</v>
      </c>
      <c r="L69" s="3332">
        <v>0</v>
      </c>
      <c r="M69" s="3332">
        <f t="shared" si="15"/>
        <v>0</v>
      </c>
      <c r="N69" s="3332">
        <f t="shared" si="15"/>
        <v>0</v>
      </c>
      <c r="P69" s="1798"/>
      <c r="Q69" s="1798"/>
      <c r="R69" s="1798"/>
      <c r="S69" s="1798"/>
      <c r="T69" s="1798"/>
      <c r="U69" s="1798"/>
      <c r="V69" s="1798"/>
      <c r="W69" s="1798"/>
      <c r="X69" s="1798"/>
      <c r="Y69" s="1798"/>
      <c r="Z69" s="1798"/>
      <c r="AA69" s="1798"/>
      <c r="AB69" s="1798"/>
      <c r="AC69" s="1798"/>
      <c r="AD69" s="1798"/>
    </row>
    <row r="70" spans="1:36" s="3313" customFormat="1" ht="15">
      <c r="A70" s="3314" t="s">
        <v>953</v>
      </c>
      <c r="B70" s="3376">
        <f>1+E72</f>
        <v>1</v>
      </c>
      <c r="C70" s="3341"/>
      <c r="D70" s="3316"/>
      <c r="E70" s="3317"/>
      <c r="F70" s="3309"/>
      <c r="G70" s="3312"/>
      <c r="H70" s="3312"/>
      <c r="I70" s="3312"/>
      <c r="J70" s="3168"/>
      <c r="K70" s="3168"/>
      <c r="L70" s="3168"/>
      <c r="M70" s="3168"/>
      <c r="N70" s="3168"/>
      <c r="P70" s="1798"/>
      <c r="Q70" s="1798"/>
      <c r="R70" s="1798"/>
      <c r="S70" s="1798"/>
      <c r="T70" s="1798"/>
      <c r="U70" s="1798"/>
      <c r="V70" s="1798"/>
      <c r="W70" s="1798"/>
      <c r="X70" s="1798"/>
      <c r="Y70" s="1798"/>
      <c r="Z70" s="1798"/>
      <c r="AA70" s="1798"/>
      <c r="AB70" s="1798"/>
      <c r="AC70" s="1798"/>
      <c r="AD70" s="1798"/>
    </row>
    <row r="71" spans="1:36" s="3313" customFormat="1" ht="24">
      <c r="A71" s="3318" t="s">
        <v>930</v>
      </c>
      <c r="B71" s="3319"/>
      <c r="C71" s="3320" t="s">
        <v>932</v>
      </c>
      <c r="D71" s="3321" t="s">
        <v>933</v>
      </c>
      <c r="E71" s="3322" t="s">
        <v>935</v>
      </c>
      <c r="F71" s="3196" t="s">
        <v>1611</v>
      </c>
      <c r="G71" s="3321" t="s">
        <v>936</v>
      </c>
      <c r="H71" s="3323" t="s">
        <v>1772</v>
      </c>
      <c r="I71" s="3321" t="s">
        <v>934</v>
      </c>
      <c r="J71" s="3324" t="s">
        <v>937</v>
      </c>
      <c r="K71" s="3324" t="s">
        <v>938</v>
      </c>
      <c r="L71" s="3324" t="s">
        <v>939</v>
      </c>
      <c r="M71" s="3324" t="s">
        <v>940</v>
      </c>
      <c r="N71" s="3324" t="s">
        <v>941</v>
      </c>
      <c r="P71" s="1798"/>
      <c r="Q71" s="1798"/>
      <c r="R71" s="1798"/>
      <c r="S71" s="1798"/>
      <c r="T71" s="1798"/>
      <c r="U71" s="1798"/>
      <c r="V71" s="1798"/>
      <c r="W71" s="1798"/>
      <c r="X71" s="1798"/>
      <c r="Y71" s="1798"/>
      <c r="Z71" s="1798"/>
      <c r="AA71" s="1798"/>
      <c r="AB71" s="1798"/>
      <c r="AC71" s="1798"/>
      <c r="AD71" s="1798"/>
    </row>
    <row r="72" spans="1:36" s="3313" customFormat="1" ht="24">
      <c r="A72" s="3318" t="s">
        <v>954</v>
      </c>
      <c r="B72" s="3319">
        <f>估价对象房地状况!C15</f>
        <v>0</v>
      </c>
      <c r="C72" s="3343"/>
      <c r="D72" s="3327">
        <f t="shared" ref="D72:D80" si="17">SUMIF($J$71:$N$71,C72,J72:N72)</f>
        <v>0</v>
      </c>
      <c r="E72" s="3328">
        <f>ROUND(SUM(D72:D80),4)</f>
        <v>0</v>
      </c>
      <c r="F72" s="3329" t="str">
        <f>IF(E2="住宅",SUMIF(L1:L12,G2,N1:N12),"——")</f>
        <v>——</v>
      </c>
      <c r="G72" s="3344"/>
      <c r="H72" s="3345" t="str">
        <f t="shared" ref="H72:H80" si="18">IFERROR(ROUNDDOWN($F$72*I72/2,4),"——")</f>
        <v>——</v>
      </c>
      <c r="I72" s="3306">
        <v>0.2</v>
      </c>
      <c r="J72" s="3332">
        <f t="shared" ref="J72:J80" si="19">K72+$G72</f>
        <v>0</v>
      </c>
      <c r="K72" s="3332">
        <f t="shared" ref="K72:K80" si="20">$L72+$G72</f>
        <v>0</v>
      </c>
      <c r="L72" s="3332">
        <v>0</v>
      </c>
      <c r="M72" s="3332">
        <f t="shared" ref="M72:N80" si="21">L72-$G72</f>
        <v>0</v>
      </c>
      <c r="N72" s="3332">
        <f t="shared" si="21"/>
        <v>0</v>
      </c>
      <c r="P72" s="1798"/>
      <c r="Q72" s="1798"/>
      <c r="R72" s="1798"/>
      <c r="S72" s="1798"/>
      <c r="T72" s="1798"/>
      <c r="U72" s="1798"/>
      <c r="V72" s="1798"/>
      <c r="W72" s="1798"/>
      <c r="X72" s="1798"/>
      <c r="Y72" s="1798"/>
      <c r="Z72" s="1798"/>
      <c r="AA72" s="1798"/>
      <c r="AB72" s="1798"/>
      <c r="AC72" s="1798"/>
      <c r="AD72" s="1798"/>
    </row>
    <row r="73" spans="1:36" s="3313" customFormat="1" ht="48">
      <c r="A73" s="3318" t="s">
        <v>955</v>
      </c>
      <c r="B73" s="3319" t="str">
        <f>估价对象房地状况!C18</f>
        <v>估价对象周边道路状况一般、公共交通通达情况较差，有5、122路经过、停车便捷程度，综合评价交通便捷度一般</v>
      </c>
      <c r="C73" s="3343"/>
      <c r="D73" s="3327">
        <f t="shared" si="17"/>
        <v>0</v>
      </c>
      <c r="E73" s="3333"/>
      <c r="F73" s="3329"/>
      <c r="G73" s="3344"/>
      <c r="H73" s="3345" t="str">
        <f t="shared" si="18"/>
        <v>——</v>
      </c>
      <c r="I73" s="3306">
        <v>0.26</v>
      </c>
      <c r="J73" s="3332">
        <f t="shared" si="19"/>
        <v>0</v>
      </c>
      <c r="K73" s="3332">
        <f t="shared" si="20"/>
        <v>0</v>
      </c>
      <c r="L73" s="3332">
        <v>0</v>
      </c>
      <c r="M73" s="3332">
        <f t="shared" si="21"/>
        <v>0</v>
      </c>
      <c r="N73" s="3332">
        <f t="shared" si="21"/>
        <v>0</v>
      </c>
      <c r="P73" s="1798"/>
      <c r="Q73" s="1798"/>
      <c r="R73" s="1798"/>
      <c r="S73" s="1798"/>
      <c r="T73" s="1798"/>
      <c r="U73" s="1798"/>
      <c r="V73" s="1798"/>
      <c r="W73" s="1798"/>
      <c r="X73" s="1798"/>
      <c r="Y73" s="1798"/>
      <c r="Z73" s="1798"/>
      <c r="AA73" s="1798"/>
      <c r="AB73" s="1798"/>
      <c r="AC73" s="1798"/>
      <c r="AD73" s="1798"/>
    </row>
    <row r="74" spans="1:36" s="3313" customFormat="1" ht="36">
      <c r="A74" s="3301" t="s">
        <v>3220</v>
      </c>
      <c r="B74" s="3319">
        <f>估价对象房地状况!C19</f>
        <v>0</v>
      </c>
      <c r="C74" s="3343"/>
      <c r="D74" s="3327">
        <f t="shared" si="17"/>
        <v>0</v>
      </c>
      <c r="E74" s="3333"/>
      <c r="F74" s="3329"/>
      <c r="G74" s="3344"/>
      <c r="H74" s="3345" t="str">
        <f t="shared" si="18"/>
        <v>——</v>
      </c>
      <c r="I74" s="3306">
        <v>0.1</v>
      </c>
      <c r="J74" s="3332">
        <f t="shared" si="19"/>
        <v>0</v>
      </c>
      <c r="K74" s="3332">
        <f t="shared" si="20"/>
        <v>0</v>
      </c>
      <c r="L74" s="3332">
        <v>0</v>
      </c>
      <c r="M74" s="3332">
        <f t="shared" si="21"/>
        <v>0</v>
      </c>
      <c r="N74" s="3332">
        <f t="shared" si="21"/>
        <v>0</v>
      </c>
      <c r="P74" s="1798"/>
      <c r="Q74" s="1798"/>
      <c r="R74" s="1798"/>
      <c r="S74" s="1798"/>
      <c r="T74" s="1798"/>
      <c r="U74" s="1798"/>
      <c r="V74" s="1798"/>
      <c r="W74" s="1798"/>
      <c r="X74" s="1798"/>
      <c r="Y74" s="1798"/>
      <c r="Z74" s="1798"/>
      <c r="AA74" s="1798"/>
      <c r="AB74" s="1798"/>
      <c r="AC74" s="1798"/>
      <c r="AD74" s="1798"/>
    </row>
    <row r="75" spans="1:36" s="1274" customFormat="1" ht="14.25">
      <c r="A75" s="3318" t="s">
        <v>956</v>
      </c>
      <c r="B75" s="3319" t="str">
        <f>估价对象房地状况!C24</f>
        <v>次干道-新华大道</v>
      </c>
      <c r="C75" s="3343"/>
      <c r="D75" s="3327">
        <f t="shared" si="17"/>
        <v>0</v>
      </c>
      <c r="E75" s="3333"/>
      <c r="F75" s="3329"/>
      <c r="G75" s="3344"/>
      <c r="H75" s="3345" t="str">
        <f t="shared" si="18"/>
        <v>——</v>
      </c>
      <c r="I75" s="3306">
        <v>0.05</v>
      </c>
      <c r="J75" s="3332">
        <f t="shared" si="19"/>
        <v>0</v>
      </c>
      <c r="K75" s="3332">
        <f t="shared" si="20"/>
        <v>0</v>
      </c>
      <c r="L75" s="3332">
        <v>0</v>
      </c>
      <c r="M75" s="3332">
        <f t="shared" si="21"/>
        <v>0</v>
      </c>
      <c r="N75" s="3332">
        <f t="shared" si="21"/>
        <v>0</v>
      </c>
      <c r="O75" s="3313"/>
      <c r="P75" s="1798"/>
      <c r="Q75" s="1798"/>
      <c r="R75" s="3346"/>
      <c r="S75" s="3346"/>
      <c r="T75" s="3346"/>
      <c r="U75" s="3346"/>
      <c r="V75" s="3346"/>
      <c r="W75" s="3346"/>
      <c r="X75" s="3346"/>
      <c r="Y75" s="3346"/>
      <c r="Z75" s="3346"/>
      <c r="AA75" s="3346"/>
      <c r="AB75" s="3346"/>
      <c r="AC75" s="3346"/>
      <c r="AD75" s="3346"/>
      <c r="AE75" s="3313"/>
      <c r="AF75" s="3313"/>
      <c r="AG75" s="3313"/>
      <c r="AH75" s="3313"/>
      <c r="AI75" s="3313"/>
      <c r="AJ75" s="3313"/>
    </row>
    <row r="76" spans="1:36" s="1274" customFormat="1" ht="24">
      <c r="A76" s="3318" t="s">
        <v>948</v>
      </c>
      <c r="B76" s="3337" t="str">
        <f>估价对象房地状况!C21</f>
        <v>估价对象所在区域公共配套设施齐备情况较差</v>
      </c>
      <c r="C76" s="3343"/>
      <c r="D76" s="3327">
        <f t="shared" si="17"/>
        <v>0</v>
      </c>
      <c r="E76" s="3333"/>
      <c r="F76" s="3329"/>
      <c r="G76" s="3344"/>
      <c r="H76" s="3345" t="str">
        <f t="shared" si="18"/>
        <v>——</v>
      </c>
      <c r="I76" s="3306">
        <v>0.08</v>
      </c>
      <c r="J76" s="3332">
        <f t="shared" si="19"/>
        <v>0</v>
      </c>
      <c r="K76" s="3332">
        <f t="shared" si="20"/>
        <v>0</v>
      </c>
      <c r="L76" s="3332">
        <v>0</v>
      </c>
      <c r="M76" s="3332">
        <f t="shared" si="21"/>
        <v>0</v>
      </c>
      <c r="N76" s="3332">
        <f t="shared" si="21"/>
        <v>0</v>
      </c>
      <c r="O76" s="3313"/>
      <c r="P76" s="1798"/>
      <c r="Q76" s="1798"/>
      <c r="AE76" s="3313"/>
      <c r="AF76" s="3313"/>
      <c r="AG76" s="3313"/>
      <c r="AH76" s="3313"/>
      <c r="AI76" s="3313"/>
      <c r="AJ76" s="3313"/>
    </row>
    <row r="77" spans="1:36" s="1274" customFormat="1" ht="24">
      <c r="A77" s="3318" t="s">
        <v>949</v>
      </c>
      <c r="B77" s="3337" t="str">
        <f>估价对象房地状况!C22</f>
        <v>六通</v>
      </c>
      <c r="C77" s="3343"/>
      <c r="D77" s="3327">
        <f t="shared" si="17"/>
        <v>0</v>
      </c>
      <c r="E77" s="3333"/>
      <c r="F77" s="3329"/>
      <c r="G77" s="3344"/>
      <c r="H77" s="3345" t="str">
        <f t="shared" si="18"/>
        <v>——</v>
      </c>
      <c r="I77" s="3306">
        <v>0.09</v>
      </c>
      <c r="J77" s="3332">
        <f t="shared" si="19"/>
        <v>0</v>
      </c>
      <c r="K77" s="3332">
        <f t="shared" si="20"/>
        <v>0</v>
      </c>
      <c r="L77" s="3332">
        <v>0</v>
      </c>
      <c r="M77" s="3332">
        <f t="shared" si="21"/>
        <v>0</v>
      </c>
      <c r="N77" s="3332">
        <f t="shared" si="21"/>
        <v>0</v>
      </c>
      <c r="O77" s="3313"/>
      <c r="P77" s="1798"/>
      <c r="Q77" s="1798"/>
      <c r="AE77" s="3313"/>
      <c r="AF77" s="3313"/>
      <c r="AG77" s="3313"/>
      <c r="AH77" s="3313"/>
      <c r="AI77" s="3313"/>
      <c r="AJ77" s="3313"/>
    </row>
    <row r="78" spans="1:36" s="1274" customFormat="1" ht="24">
      <c r="A78" s="3318" t="s">
        <v>947</v>
      </c>
      <c r="B78" s="3335" t="s">
        <v>2194</v>
      </c>
      <c r="C78" s="3343"/>
      <c r="D78" s="3327">
        <f t="shared" si="17"/>
        <v>0</v>
      </c>
      <c r="E78" s="3333"/>
      <c r="F78" s="3329"/>
      <c r="G78" s="3344"/>
      <c r="H78" s="3345" t="str">
        <f t="shared" si="18"/>
        <v>——</v>
      </c>
      <c r="I78" s="3306">
        <v>0.05</v>
      </c>
      <c r="J78" s="3332">
        <f t="shared" si="19"/>
        <v>0</v>
      </c>
      <c r="K78" s="3332">
        <f t="shared" si="20"/>
        <v>0</v>
      </c>
      <c r="L78" s="3332">
        <v>0</v>
      </c>
      <c r="M78" s="3332">
        <f t="shared" si="21"/>
        <v>0</v>
      </c>
      <c r="N78" s="3332">
        <f t="shared" si="21"/>
        <v>0</v>
      </c>
      <c r="O78" s="3313"/>
      <c r="P78" s="1798"/>
      <c r="Q78" s="1798"/>
      <c r="AE78" s="3313"/>
      <c r="AF78" s="3313"/>
      <c r="AG78" s="3313"/>
      <c r="AH78" s="3313"/>
      <c r="AI78" s="3313"/>
      <c r="AJ78" s="3313"/>
    </row>
    <row r="79" spans="1:36" s="1274" customFormat="1" ht="24">
      <c r="A79" s="3318" t="s">
        <v>950</v>
      </c>
      <c r="B79" s="3325" t="str">
        <f>估价对象房地状况!C20</f>
        <v>区域自然环境：；人文环境；综合评价环境状况较好</v>
      </c>
      <c r="C79" s="3343"/>
      <c r="D79" s="3327">
        <f t="shared" si="17"/>
        <v>0</v>
      </c>
      <c r="E79" s="3333"/>
      <c r="F79" s="3329"/>
      <c r="G79" s="3344"/>
      <c r="H79" s="3345" t="str">
        <f t="shared" si="18"/>
        <v>——</v>
      </c>
      <c r="I79" s="3306">
        <v>0.12</v>
      </c>
      <c r="J79" s="3332">
        <f t="shared" si="19"/>
        <v>0</v>
      </c>
      <c r="K79" s="3332">
        <f t="shared" si="20"/>
        <v>0</v>
      </c>
      <c r="L79" s="3332">
        <v>0</v>
      </c>
      <c r="M79" s="3332">
        <f t="shared" si="21"/>
        <v>0</v>
      </c>
      <c r="N79" s="3332">
        <f t="shared" si="21"/>
        <v>0</v>
      </c>
      <c r="P79" s="3346"/>
      <c r="Q79" s="3346"/>
      <c r="AE79" s="3313"/>
      <c r="AF79" s="3313"/>
      <c r="AG79" s="3313"/>
      <c r="AH79" s="3313"/>
      <c r="AI79" s="3313"/>
      <c r="AJ79" s="3313"/>
    </row>
    <row r="80" spans="1:36" s="1274" customFormat="1" ht="24.75" thickBot="1">
      <c r="A80" s="3338" t="s">
        <v>957</v>
      </c>
      <c r="B80" s="3347"/>
      <c r="C80" s="3343"/>
      <c r="D80" s="3327">
        <f t="shared" si="17"/>
        <v>0</v>
      </c>
      <c r="E80" s="3340"/>
      <c r="F80" s="3329"/>
      <c r="G80" s="3344"/>
      <c r="H80" s="3345" t="str">
        <f t="shared" si="18"/>
        <v>——</v>
      </c>
      <c r="I80" s="3308">
        <v>0.05</v>
      </c>
      <c r="J80" s="3332">
        <f t="shared" si="19"/>
        <v>0</v>
      </c>
      <c r="K80" s="3332">
        <f t="shared" si="20"/>
        <v>0</v>
      </c>
      <c r="L80" s="3332">
        <v>0</v>
      </c>
      <c r="M80" s="3332">
        <f t="shared" si="21"/>
        <v>0</v>
      </c>
      <c r="N80" s="3332">
        <f t="shared" si="21"/>
        <v>0</v>
      </c>
      <c r="AE80" s="3313"/>
      <c r="AF80" s="3313"/>
      <c r="AG80" s="3313"/>
      <c r="AH80" s="3313"/>
      <c r="AI80" s="3313"/>
      <c r="AJ80" s="3313"/>
    </row>
    <row r="81" spans="1:36" s="1274" customFormat="1" ht="15">
      <c r="A81" s="3314" t="s">
        <v>958</v>
      </c>
      <c r="B81" s="3376">
        <f>1+E83</f>
        <v>1</v>
      </c>
      <c r="C81" s="3341"/>
      <c r="D81" s="3316"/>
      <c r="E81" s="3317"/>
      <c r="F81" s="3309"/>
      <c r="G81" s="3312"/>
      <c r="H81" s="3312"/>
      <c r="I81" s="3312"/>
      <c r="J81" s="3168"/>
      <c r="K81" s="3168"/>
      <c r="L81" s="3168"/>
      <c r="M81" s="3168"/>
      <c r="N81" s="3168"/>
      <c r="AE81" s="3313"/>
      <c r="AF81" s="3313"/>
      <c r="AG81" s="3313"/>
      <c r="AH81" s="3313"/>
      <c r="AI81" s="3313"/>
      <c r="AJ81" s="3313"/>
    </row>
    <row r="82" spans="1:36" s="1274" customFormat="1" ht="24">
      <c r="A82" s="3318" t="s">
        <v>930</v>
      </c>
      <c r="B82" s="3319"/>
      <c r="C82" s="3320" t="s">
        <v>932</v>
      </c>
      <c r="D82" s="3321" t="s">
        <v>933</v>
      </c>
      <c r="E82" s="3322" t="s">
        <v>935</v>
      </c>
      <c r="F82" s="3196" t="s">
        <v>1612</v>
      </c>
      <c r="G82" s="3321" t="s">
        <v>936</v>
      </c>
      <c r="H82" s="3323" t="s">
        <v>1772</v>
      </c>
      <c r="I82" s="3321" t="s">
        <v>934</v>
      </c>
      <c r="J82" s="3324" t="s">
        <v>937</v>
      </c>
      <c r="K82" s="3324" t="s">
        <v>938</v>
      </c>
      <c r="L82" s="3324" t="s">
        <v>939</v>
      </c>
      <c r="M82" s="3324" t="s">
        <v>940</v>
      </c>
      <c r="N82" s="3324" t="s">
        <v>941</v>
      </c>
      <c r="AE82" s="3313"/>
      <c r="AF82" s="3313"/>
      <c r="AG82" s="3313"/>
      <c r="AH82" s="3313"/>
      <c r="AI82" s="3313"/>
      <c r="AJ82" s="3313"/>
    </row>
    <row r="83" spans="1:36" s="1274" customFormat="1" ht="24">
      <c r="A83" s="3318" t="s">
        <v>959</v>
      </c>
      <c r="B83" s="3319" t="str">
        <f>估价对象房地状况!G15</f>
        <v>估价对象位于XX开发区，园区建设成熟度XX，产业集聚程度XX</v>
      </c>
      <c r="C83" s="3326"/>
      <c r="D83" s="3327">
        <f t="shared" ref="D83:D90" si="22">SUMIF($J$82:$N$82,C83,J83:N83)</f>
        <v>0</v>
      </c>
      <c r="E83" s="3328">
        <f>ROUND(SUM(D83:D90),4)</f>
        <v>0</v>
      </c>
      <c r="F83" s="3329" t="str">
        <f>IF(E2="工业",SUMIF(L1:L12,G2,N1:N12),"——")</f>
        <v>——</v>
      </c>
      <c r="G83" s="3330"/>
      <c r="H83" s="3331" t="str">
        <f t="shared" ref="H83:H90" si="23">IFERROR(ROUNDDOWN($F$83*I83/2,4),"——")</f>
        <v>——</v>
      </c>
      <c r="I83" s="3306">
        <v>0.26</v>
      </c>
      <c r="J83" s="3332">
        <f t="shared" ref="J83:J90" si="24">K83+$G83</f>
        <v>0</v>
      </c>
      <c r="K83" s="3332">
        <f t="shared" ref="K83:K90" si="25">$L83+$G83</f>
        <v>0</v>
      </c>
      <c r="L83" s="3332">
        <v>0</v>
      </c>
      <c r="M83" s="3332">
        <f t="shared" ref="M83:N90" si="26">L83-$G83</f>
        <v>0</v>
      </c>
      <c r="N83" s="3332">
        <f t="shared" si="26"/>
        <v>0</v>
      </c>
      <c r="AE83" s="3313"/>
      <c r="AF83" s="3313"/>
      <c r="AG83" s="3313"/>
      <c r="AH83" s="3313"/>
      <c r="AI83" s="3313"/>
      <c r="AJ83" s="3313"/>
    </row>
    <row r="84" spans="1:36" s="1274" customFormat="1" ht="36">
      <c r="A84" s="3318" t="s">
        <v>955</v>
      </c>
      <c r="B84" s="3319" t="str">
        <f>估价对象房地状况!G16</f>
        <v>估价对象周边道路状况、公共交通通达情况、停车便捷程度，综合评价交通便捷度较好</v>
      </c>
      <c r="C84" s="3326"/>
      <c r="D84" s="3327">
        <f t="shared" si="22"/>
        <v>0</v>
      </c>
      <c r="E84" s="3333"/>
      <c r="F84" s="3329"/>
      <c r="G84" s="3330"/>
      <c r="H84" s="3331" t="str">
        <f t="shared" si="23"/>
        <v>——</v>
      </c>
      <c r="I84" s="3306">
        <v>0.3</v>
      </c>
      <c r="J84" s="3332">
        <f t="shared" si="24"/>
        <v>0</v>
      </c>
      <c r="K84" s="3332">
        <f t="shared" si="25"/>
        <v>0</v>
      </c>
      <c r="L84" s="3332">
        <v>0</v>
      </c>
      <c r="M84" s="3332">
        <f t="shared" si="26"/>
        <v>0</v>
      </c>
      <c r="N84" s="3332">
        <f t="shared" si="26"/>
        <v>0</v>
      </c>
      <c r="AE84" s="3313"/>
      <c r="AF84" s="3313"/>
      <c r="AG84" s="3313"/>
      <c r="AH84" s="3313"/>
      <c r="AI84" s="3313"/>
      <c r="AJ84" s="3313"/>
    </row>
    <row r="85" spans="1:36" s="1274" customFormat="1" ht="24">
      <c r="A85" s="3318" t="s">
        <v>944</v>
      </c>
      <c r="B85" s="3319">
        <f>估价对象房地状况!G17</f>
        <v>0</v>
      </c>
      <c r="C85" s="3326"/>
      <c r="D85" s="3327">
        <f t="shared" si="22"/>
        <v>0</v>
      </c>
      <c r="E85" s="3333"/>
      <c r="F85" s="3329"/>
      <c r="G85" s="3330"/>
      <c r="H85" s="3331" t="str">
        <f t="shared" si="23"/>
        <v>——</v>
      </c>
      <c r="I85" s="3306">
        <v>0.1</v>
      </c>
      <c r="J85" s="3332">
        <f t="shared" si="24"/>
        <v>0</v>
      </c>
      <c r="K85" s="3332">
        <f t="shared" si="25"/>
        <v>0</v>
      </c>
      <c r="L85" s="3332">
        <v>0</v>
      </c>
      <c r="M85" s="3332">
        <f t="shared" si="26"/>
        <v>0</v>
      </c>
      <c r="N85" s="3332">
        <f t="shared" si="26"/>
        <v>0</v>
      </c>
      <c r="AE85" s="3313"/>
      <c r="AF85" s="3313"/>
      <c r="AG85" s="3313"/>
      <c r="AH85" s="3313"/>
      <c r="AI85" s="3313"/>
      <c r="AJ85" s="3313"/>
    </row>
    <row r="86" spans="1:36" s="1274" customFormat="1" ht="14.25">
      <c r="A86" s="3318" t="s">
        <v>956</v>
      </c>
      <c r="B86" s="3319">
        <f>估价对象房地状况!G22</f>
        <v>0</v>
      </c>
      <c r="C86" s="3326"/>
      <c r="D86" s="3327">
        <f t="shared" si="22"/>
        <v>0</v>
      </c>
      <c r="E86" s="3333"/>
      <c r="F86" s="3329"/>
      <c r="G86" s="3330"/>
      <c r="H86" s="3331" t="str">
        <f t="shared" si="23"/>
        <v>——</v>
      </c>
      <c r="I86" s="3306">
        <v>0.05</v>
      </c>
      <c r="J86" s="3332">
        <f t="shared" si="24"/>
        <v>0</v>
      </c>
      <c r="K86" s="3332">
        <f t="shared" si="25"/>
        <v>0</v>
      </c>
      <c r="L86" s="3332">
        <v>0</v>
      </c>
      <c r="M86" s="3332">
        <f t="shared" si="26"/>
        <v>0</v>
      </c>
      <c r="N86" s="3332">
        <f t="shared" si="26"/>
        <v>0</v>
      </c>
      <c r="AE86" s="3313"/>
      <c r="AF86" s="3313"/>
      <c r="AG86" s="3313"/>
      <c r="AH86" s="3313"/>
      <c r="AI86" s="3313"/>
      <c r="AJ86" s="3313"/>
    </row>
    <row r="87" spans="1:36" s="1274" customFormat="1" ht="24">
      <c r="A87" s="3318" t="s">
        <v>948</v>
      </c>
      <c r="B87" s="3337" t="str">
        <f>估价对象房地状况!G19</f>
        <v>估价对象所在区域公共配套设施齐备情况</v>
      </c>
      <c r="C87" s="3326"/>
      <c r="D87" s="3327">
        <f t="shared" si="22"/>
        <v>0</v>
      </c>
      <c r="E87" s="3333"/>
      <c r="F87" s="3329"/>
      <c r="G87" s="3330"/>
      <c r="H87" s="3331" t="str">
        <f t="shared" si="23"/>
        <v>——</v>
      </c>
      <c r="I87" s="3306">
        <v>0.06</v>
      </c>
      <c r="J87" s="3332">
        <f t="shared" si="24"/>
        <v>0</v>
      </c>
      <c r="K87" s="3332">
        <f t="shared" si="25"/>
        <v>0</v>
      </c>
      <c r="L87" s="3332">
        <v>0</v>
      </c>
      <c r="M87" s="3332">
        <f t="shared" si="26"/>
        <v>0</v>
      </c>
      <c r="N87" s="3332">
        <f t="shared" si="26"/>
        <v>0</v>
      </c>
      <c r="AE87" s="3313"/>
      <c r="AF87" s="3313"/>
      <c r="AG87" s="3313"/>
      <c r="AH87" s="3313"/>
      <c r="AI87" s="3313"/>
      <c r="AJ87" s="3313"/>
    </row>
    <row r="88" spans="1:36" s="1274" customFormat="1" ht="24">
      <c r="A88" s="3318" t="s">
        <v>949</v>
      </c>
      <c r="B88" s="3337" t="str">
        <f>估价对象房地状况!G20</f>
        <v>估价对象所在区域基础设施水平</v>
      </c>
      <c r="C88" s="3326"/>
      <c r="D88" s="3327">
        <f t="shared" si="22"/>
        <v>0</v>
      </c>
      <c r="E88" s="3333"/>
      <c r="F88" s="3329"/>
      <c r="G88" s="3330"/>
      <c r="H88" s="3331" t="str">
        <f t="shared" si="23"/>
        <v>——</v>
      </c>
      <c r="I88" s="3306">
        <v>0.12</v>
      </c>
      <c r="J88" s="3332">
        <f t="shared" si="24"/>
        <v>0</v>
      </c>
      <c r="K88" s="3332">
        <f t="shared" si="25"/>
        <v>0</v>
      </c>
      <c r="L88" s="3332">
        <v>0</v>
      </c>
      <c r="M88" s="3332">
        <f t="shared" si="26"/>
        <v>0</v>
      </c>
      <c r="N88" s="3332">
        <f t="shared" si="26"/>
        <v>0</v>
      </c>
      <c r="AE88" s="3313"/>
      <c r="AF88" s="3313"/>
      <c r="AG88" s="3313"/>
      <c r="AH88" s="3313"/>
      <c r="AI88" s="3313"/>
      <c r="AJ88" s="3313"/>
    </row>
    <row r="89" spans="1:36" s="1274" customFormat="1" ht="24">
      <c r="A89" s="3318" t="s">
        <v>947</v>
      </c>
      <c r="B89" s="3335" t="s">
        <v>2194</v>
      </c>
      <c r="C89" s="3326"/>
      <c r="D89" s="3327">
        <f t="shared" si="22"/>
        <v>0</v>
      </c>
      <c r="E89" s="3333"/>
      <c r="F89" s="3329"/>
      <c r="G89" s="3330"/>
      <c r="H89" s="3331" t="str">
        <f t="shared" si="23"/>
        <v>——</v>
      </c>
      <c r="I89" s="3306">
        <v>0.06</v>
      </c>
      <c r="J89" s="3332">
        <f t="shared" si="24"/>
        <v>0</v>
      </c>
      <c r="K89" s="3332">
        <f t="shared" si="25"/>
        <v>0</v>
      </c>
      <c r="L89" s="3332">
        <v>0</v>
      </c>
      <c r="M89" s="3332">
        <f t="shared" si="26"/>
        <v>0</v>
      </c>
      <c r="N89" s="3332">
        <f t="shared" si="26"/>
        <v>0</v>
      </c>
      <c r="AE89" s="3313"/>
      <c r="AF89" s="3313"/>
      <c r="AG89" s="3313"/>
      <c r="AH89" s="3313"/>
      <c r="AI89" s="3313"/>
      <c r="AJ89" s="3313"/>
    </row>
    <row r="90" spans="1:36" s="1274" customFormat="1" ht="36.75" thickBot="1">
      <c r="A90" s="3338" t="s">
        <v>960</v>
      </c>
      <c r="B90" s="3348" t="str">
        <f>估价对象房地状况!G18</f>
        <v>该园区内是否有污染型企业，绿化情况，卫生条件，整体环境状况判断</v>
      </c>
      <c r="C90" s="3326"/>
      <c r="D90" s="3327">
        <f t="shared" si="22"/>
        <v>0</v>
      </c>
      <c r="E90" s="3340"/>
      <c r="F90" s="3329"/>
      <c r="G90" s="3330"/>
      <c r="H90" s="3331" t="str">
        <f t="shared" si="23"/>
        <v>——</v>
      </c>
      <c r="I90" s="3308">
        <v>0.05</v>
      </c>
      <c r="J90" s="3332">
        <f t="shared" si="24"/>
        <v>0</v>
      </c>
      <c r="K90" s="3332">
        <f t="shared" si="25"/>
        <v>0</v>
      </c>
      <c r="L90" s="3332">
        <v>0</v>
      </c>
      <c r="M90" s="3332">
        <f t="shared" si="26"/>
        <v>0</v>
      </c>
      <c r="N90" s="3332">
        <f t="shared" si="26"/>
        <v>0</v>
      </c>
      <c r="AE90" s="3313"/>
      <c r="AF90" s="3313"/>
      <c r="AG90" s="3313"/>
      <c r="AH90" s="3313"/>
      <c r="AI90" s="3313"/>
      <c r="AJ90" s="3313"/>
    </row>
    <row r="91" spans="1:36" s="1274" customFormat="1" ht="15">
      <c r="A91" s="3302" t="s">
        <v>3229</v>
      </c>
      <c r="B91" s="3376">
        <f>1+E93</f>
        <v>1</v>
      </c>
      <c r="C91" s="3350"/>
      <c r="D91" s="3350"/>
      <c r="E91" s="3351"/>
      <c r="F91" s="3329"/>
      <c r="G91" s="3352"/>
      <c r="H91" s="3353"/>
      <c r="I91" s="3354"/>
      <c r="J91" s="3355"/>
      <c r="K91" s="3355"/>
      <c r="L91" s="3355"/>
      <c r="M91" s="3355"/>
      <c r="N91" s="3355"/>
      <c r="AE91" s="3313"/>
      <c r="AF91" s="3313"/>
      <c r="AG91" s="3313"/>
      <c r="AH91" s="3313"/>
      <c r="AI91" s="3313"/>
      <c r="AJ91" s="3313"/>
    </row>
    <row r="92" spans="1:36" s="1274" customFormat="1" ht="24">
      <c r="A92" s="3303" t="s">
        <v>3230</v>
      </c>
      <c r="B92" s="3303"/>
      <c r="C92" s="3303" t="s">
        <v>3235</v>
      </c>
      <c r="D92" s="3303" t="s">
        <v>3222</v>
      </c>
      <c r="E92" s="346" t="s">
        <v>3223</v>
      </c>
      <c r="F92" s="3358" t="s">
        <v>1609</v>
      </c>
      <c r="G92" s="3321" t="s">
        <v>936</v>
      </c>
      <c r="H92" s="3323" t="s">
        <v>1772</v>
      </c>
      <c r="I92" s="3321" t="s">
        <v>934</v>
      </c>
      <c r="J92" s="3324" t="s">
        <v>937</v>
      </c>
      <c r="K92" s="3324" t="s">
        <v>938</v>
      </c>
      <c r="L92" s="3324" t="s">
        <v>939</v>
      </c>
      <c r="M92" s="3324" t="s">
        <v>940</v>
      </c>
      <c r="N92" s="3324" t="s">
        <v>941</v>
      </c>
      <c r="AE92" s="3313"/>
      <c r="AF92" s="3313"/>
      <c r="AG92" s="3313"/>
      <c r="AH92" s="3313"/>
      <c r="AI92" s="3313"/>
      <c r="AJ92" s="3313"/>
    </row>
    <row r="93" spans="1:36" s="1274" customFormat="1" ht="24">
      <c r="A93" s="3357" t="s">
        <v>3231</v>
      </c>
      <c r="B93" s="3305"/>
      <c r="C93" s="3326"/>
      <c r="D93" s="3327">
        <f>SUMIF($J$92:$N$92,C93,J93:N93)</f>
        <v>0</v>
      </c>
      <c r="E93" s="3359">
        <f>ROUND(SUM(D93:D101),4)</f>
        <v>0</v>
      </c>
      <c r="F93" s="3329" t="str">
        <f>IF(E2="公共服务",SUMIF(L1:L12,G2,N1:N12),"——")</f>
        <v>——</v>
      </c>
      <c r="G93" s="3344"/>
      <c r="H93" s="3331" t="str">
        <f>IFERROR(ROUNDDOWN($F$93*I93/2,4),"——")</f>
        <v>——</v>
      </c>
      <c r="I93" s="3306">
        <v>0.25</v>
      </c>
      <c r="J93" s="3356">
        <f>K93+$G93</f>
        <v>0</v>
      </c>
      <c r="K93" s="3356">
        <f t="shared" ref="K93:K101" si="27">$L93+$G93</f>
        <v>0</v>
      </c>
      <c r="L93" s="3356">
        <v>0</v>
      </c>
      <c r="M93" s="3356">
        <f t="shared" ref="M93:N93" si="28">L93-$G93</f>
        <v>0</v>
      </c>
      <c r="N93" s="3356">
        <f t="shared" si="28"/>
        <v>0</v>
      </c>
      <c r="AE93" s="3313"/>
      <c r="AF93" s="3313"/>
      <c r="AG93" s="3313"/>
      <c r="AH93" s="3313"/>
      <c r="AI93" s="3313"/>
      <c r="AJ93" s="3313"/>
    </row>
    <row r="94" spans="1:36" s="1274" customFormat="1" ht="36">
      <c r="A94" s="3303" t="s">
        <v>3232</v>
      </c>
      <c r="B94" s="3319" t="str">
        <f>估价对象房地状况!G16</f>
        <v>估价对象周边道路状况、公共交通通达情况、停车便捷程度，综合评价交通便捷度较好</v>
      </c>
      <c r="C94" s="3326"/>
      <c r="D94" s="3327">
        <f t="shared" ref="D94:D101" si="29">SUMIF($J$92:$N$92,C94,J94:N94)</f>
        <v>0</v>
      </c>
      <c r="E94" s="3351"/>
      <c r="F94" s="3329"/>
      <c r="G94" s="3344"/>
      <c r="H94" s="3331" t="str">
        <f t="shared" ref="H94:H101" si="30">IFERROR(ROUNDDOWN($F$93*I94/2,4),"——")</f>
        <v>——</v>
      </c>
      <c r="I94" s="3306">
        <v>0.26</v>
      </c>
      <c r="J94" s="3356">
        <f>K94+$G94</f>
        <v>0</v>
      </c>
      <c r="K94" s="3356">
        <f t="shared" si="27"/>
        <v>0</v>
      </c>
      <c r="L94" s="3356">
        <v>0</v>
      </c>
      <c r="M94" s="3356">
        <f t="shared" ref="M94:M101" si="31">L94-$G94</f>
        <v>0</v>
      </c>
      <c r="N94" s="3356">
        <f t="shared" ref="N94:N101" si="32">M94-$G94</f>
        <v>0</v>
      </c>
      <c r="AE94" s="3313"/>
      <c r="AF94" s="3313"/>
      <c r="AG94" s="3313"/>
      <c r="AH94" s="3313"/>
      <c r="AI94" s="3313"/>
      <c r="AJ94" s="3313"/>
    </row>
    <row r="95" spans="1:36" s="1274" customFormat="1" ht="36">
      <c r="A95" s="3357" t="s">
        <v>3220</v>
      </c>
      <c r="B95" s="3319">
        <f>估价对象房地状况!G17</f>
        <v>0</v>
      </c>
      <c r="C95" s="3326"/>
      <c r="D95" s="3327">
        <f t="shared" si="29"/>
        <v>0</v>
      </c>
      <c r="E95" s="3351"/>
      <c r="F95" s="3329"/>
      <c r="G95" s="3344"/>
      <c r="H95" s="3331" t="str">
        <f t="shared" si="30"/>
        <v>——</v>
      </c>
      <c r="I95" s="3306">
        <v>0.11</v>
      </c>
      <c r="J95" s="3356">
        <f t="shared" ref="J95:J101" si="33">K95+$G95</f>
        <v>0</v>
      </c>
      <c r="K95" s="3356">
        <f t="shared" si="27"/>
        <v>0</v>
      </c>
      <c r="L95" s="3356">
        <v>0</v>
      </c>
      <c r="M95" s="3356">
        <f t="shared" si="31"/>
        <v>0</v>
      </c>
      <c r="N95" s="3356">
        <f t="shared" si="32"/>
        <v>0</v>
      </c>
      <c r="AE95" s="3313"/>
      <c r="AF95" s="3313"/>
      <c r="AG95" s="3313"/>
      <c r="AH95" s="3313"/>
      <c r="AI95" s="3313"/>
      <c r="AJ95" s="3313"/>
    </row>
    <row r="96" spans="1:36" s="1274" customFormat="1" ht="36.75">
      <c r="A96" s="3303" t="s">
        <v>3224</v>
      </c>
      <c r="B96" s="3307" t="s">
        <v>3225</v>
      </c>
      <c r="C96" s="3326"/>
      <c r="D96" s="3327">
        <f t="shared" si="29"/>
        <v>0</v>
      </c>
      <c r="E96" s="3351"/>
      <c r="F96" s="3329"/>
      <c r="G96" s="3344"/>
      <c r="H96" s="3331" t="str">
        <f t="shared" si="30"/>
        <v>——</v>
      </c>
      <c r="I96" s="3306">
        <v>0.05</v>
      </c>
      <c r="J96" s="3356">
        <f t="shared" si="33"/>
        <v>0</v>
      </c>
      <c r="K96" s="3356">
        <f t="shared" si="27"/>
        <v>0</v>
      </c>
      <c r="L96" s="3356">
        <v>0</v>
      </c>
      <c r="M96" s="3356">
        <f>L96-$G96</f>
        <v>0</v>
      </c>
      <c r="N96" s="3356">
        <f t="shared" si="32"/>
        <v>0</v>
      </c>
      <c r="AE96" s="3313"/>
      <c r="AF96" s="3313"/>
      <c r="AG96" s="3313"/>
      <c r="AH96" s="3313"/>
      <c r="AI96" s="3313"/>
      <c r="AJ96" s="3313"/>
    </row>
    <row r="97" spans="1:36" s="1274" customFormat="1" ht="24">
      <c r="A97" s="3303" t="s">
        <v>3226</v>
      </c>
      <c r="B97" s="3319">
        <f>估价对象房地状况!G22</f>
        <v>0</v>
      </c>
      <c r="C97" s="3326"/>
      <c r="D97" s="3327">
        <f t="shared" si="29"/>
        <v>0</v>
      </c>
      <c r="E97" s="3351"/>
      <c r="F97" s="3329"/>
      <c r="G97" s="3344"/>
      <c r="H97" s="3331" t="str">
        <f t="shared" si="30"/>
        <v>——</v>
      </c>
      <c r="I97" s="3306">
        <v>0.05</v>
      </c>
      <c r="J97" s="3356">
        <f t="shared" si="33"/>
        <v>0</v>
      </c>
      <c r="K97" s="3356">
        <f t="shared" si="27"/>
        <v>0</v>
      </c>
      <c r="L97" s="3356">
        <v>0</v>
      </c>
      <c r="M97" s="3356">
        <f t="shared" si="31"/>
        <v>0</v>
      </c>
      <c r="N97" s="3356">
        <f t="shared" si="32"/>
        <v>0</v>
      </c>
      <c r="AE97" s="3313"/>
      <c r="AF97" s="3313"/>
      <c r="AG97" s="3313"/>
      <c r="AH97" s="3313"/>
      <c r="AI97" s="3313"/>
      <c r="AJ97" s="3313"/>
    </row>
    <row r="98" spans="1:36" s="1274" customFormat="1" ht="24">
      <c r="A98" s="3303" t="s">
        <v>3233</v>
      </c>
      <c r="B98" s="3334" t="s">
        <v>2194</v>
      </c>
      <c r="C98" s="3326"/>
      <c r="D98" s="3327">
        <f t="shared" si="29"/>
        <v>0</v>
      </c>
      <c r="E98" s="3351"/>
      <c r="F98" s="3329"/>
      <c r="G98" s="3344"/>
      <c r="H98" s="3331" t="str">
        <f t="shared" si="30"/>
        <v>——</v>
      </c>
      <c r="I98" s="3306">
        <v>0.06</v>
      </c>
      <c r="J98" s="3356">
        <f t="shared" si="33"/>
        <v>0</v>
      </c>
      <c r="K98" s="3356">
        <f t="shared" si="27"/>
        <v>0</v>
      </c>
      <c r="L98" s="3356">
        <v>0</v>
      </c>
      <c r="M98" s="3356">
        <f t="shared" si="31"/>
        <v>0</v>
      </c>
      <c r="N98" s="3356">
        <f t="shared" si="32"/>
        <v>0</v>
      </c>
      <c r="AE98" s="3313"/>
      <c r="AF98" s="3313"/>
      <c r="AG98" s="3313"/>
      <c r="AH98" s="3313"/>
      <c r="AI98" s="3313"/>
      <c r="AJ98" s="3313"/>
    </row>
    <row r="99" spans="1:36" s="1274" customFormat="1" ht="24">
      <c r="A99" s="3303" t="s">
        <v>3234</v>
      </c>
      <c r="B99" s="3319" t="str">
        <f>估价对象房地状况!C21</f>
        <v>估价对象所在区域公共配套设施齐备情况较差</v>
      </c>
      <c r="C99" s="3326"/>
      <c r="D99" s="3327">
        <f t="shared" si="29"/>
        <v>0</v>
      </c>
      <c r="E99" s="3351"/>
      <c r="F99" s="3329"/>
      <c r="G99" s="3344"/>
      <c r="H99" s="3331" t="str">
        <f t="shared" si="30"/>
        <v>——</v>
      </c>
      <c r="I99" s="3306">
        <v>0.06</v>
      </c>
      <c r="J99" s="3356">
        <f t="shared" si="33"/>
        <v>0</v>
      </c>
      <c r="K99" s="3356">
        <f t="shared" si="27"/>
        <v>0</v>
      </c>
      <c r="L99" s="3356">
        <v>0</v>
      </c>
      <c r="M99" s="3356">
        <f t="shared" si="31"/>
        <v>0</v>
      </c>
      <c r="N99" s="3356">
        <f t="shared" si="32"/>
        <v>0</v>
      </c>
      <c r="AE99" s="3313"/>
      <c r="AF99" s="3313"/>
      <c r="AG99" s="3313"/>
      <c r="AH99" s="3313"/>
      <c r="AI99" s="3313"/>
      <c r="AJ99" s="3313"/>
    </row>
    <row r="100" spans="1:36" s="1274" customFormat="1" ht="24">
      <c r="A100" s="3303" t="s">
        <v>3227</v>
      </c>
      <c r="B100" s="3319" t="str">
        <f>估价对象房地状况!C22</f>
        <v>六通</v>
      </c>
      <c r="C100" s="3326"/>
      <c r="D100" s="3327">
        <f t="shared" si="29"/>
        <v>0</v>
      </c>
      <c r="E100" s="3351"/>
      <c r="F100" s="3329"/>
      <c r="G100" s="3344"/>
      <c r="H100" s="3331" t="str">
        <f t="shared" si="30"/>
        <v>——</v>
      </c>
      <c r="I100" s="3306">
        <v>0.09</v>
      </c>
      <c r="J100" s="3356">
        <f t="shared" si="33"/>
        <v>0</v>
      </c>
      <c r="K100" s="3356">
        <f t="shared" si="27"/>
        <v>0</v>
      </c>
      <c r="L100" s="3356">
        <v>0</v>
      </c>
      <c r="M100" s="3356">
        <f t="shared" si="31"/>
        <v>0</v>
      </c>
      <c r="N100" s="3356">
        <f t="shared" si="32"/>
        <v>0</v>
      </c>
      <c r="AE100" s="3313"/>
      <c r="AF100" s="3313"/>
      <c r="AG100" s="3313"/>
      <c r="AH100" s="3313"/>
      <c r="AI100" s="3313"/>
      <c r="AJ100" s="3313"/>
    </row>
    <row r="101" spans="1:36" s="1274" customFormat="1" ht="24.75" thickBot="1">
      <c r="A101" s="3303" t="s">
        <v>3228</v>
      </c>
      <c r="B101" s="3325" t="str">
        <f>估价对象房地状况!C20</f>
        <v>区域自然环境：；人文环境；综合评价环境状况较好</v>
      </c>
      <c r="C101" s="3326"/>
      <c r="D101" s="3327">
        <f t="shared" si="29"/>
        <v>0</v>
      </c>
      <c r="E101" s="3351"/>
      <c r="F101" s="3329"/>
      <c r="G101" s="3344"/>
      <c r="H101" s="3331" t="str">
        <f t="shared" si="30"/>
        <v>——</v>
      </c>
      <c r="I101" s="3308">
        <v>7.0000000000000007E-2</v>
      </c>
      <c r="J101" s="3356">
        <f t="shared" si="33"/>
        <v>0</v>
      </c>
      <c r="K101" s="3356">
        <f t="shared" si="27"/>
        <v>0</v>
      </c>
      <c r="L101" s="3356">
        <v>0</v>
      </c>
      <c r="M101" s="3356">
        <f t="shared" si="31"/>
        <v>0</v>
      </c>
      <c r="N101" s="3356">
        <f t="shared" si="32"/>
        <v>0</v>
      </c>
      <c r="AE101" s="3313"/>
      <c r="AF101" s="3313"/>
      <c r="AG101" s="3313"/>
      <c r="AH101" s="3313"/>
      <c r="AI101" s="3313"/>
      <c r="AJ101" s="3313"/>
    </row>
    <row r="102" spans="1:36" s="1274" customFormat="1" ht="14.25">
      <c r="A102" s="3377"/>
      <c r="B102" s="3378"/>
      <c r="C102" s="3349"/>
      <c r="D102" s="3350"/>
      <c r="E102" s="3351"/>
      <c r="F102" s="3329"/>
      <c r="G102" s="3379"/>
      <c r="H102" s="3353"/>
      <c r="I102" s="3380"/>
      <c r="J102" s="3381"/>
      <c r="K102" s="3381"/>
      <c r="L102" s="3381"/>
      <c r="M102" s="3381"/>
      <c r="N102" s="3381"/>
      <c r="AE102" s="3313"/>
      <c r="AF102" s="3313"/>
      <c r="AG102" s="3313"/>
      <c r="AH102" s="3313"/>
      <c r="AI102" s="3313"/>
      <c r="AJ102" s="3313"/>
    </row>
    <row r="103" spans="1:36" s="1274" customFormat="1">
      <c r="K103" s="3313"/>
      <c r="AD103" s="3313"/>
      <c r="AE103" s="3313"/>
      <c r="AF103" s="3313"/>
      <c r="AG103" s="3313"/>
      <c r="AH103" s="3313"/>
      <c r="AI103" s="3313"/>
    </row>
    <row r="104" spans="1:36">
      <c r="A104" s="3637" t="s">
        <v>1172</v>
      </c>
      <c r="B104" s="3637"/>
      <c r="C104" s="3637"/>
      <c r="D104" s="3637"/>
      <c r="E104" s="3637"/>
      <c r="F104" s="3637"/>
      <c r="G104" s="3637"/>
      <c r="H104" s="3637"/>
      <c r="I104" s="3637"/>
      <c r="J104" s="3637"/>
      <c r="K104" s="1000"/>
      <c r="L104" s="1000"/>
      <c r="M104" s="1000"/>
      <c r="N104" s="1000"/>
    </row>
    <row r="105" spans="1:36">
      <c r="A105" s="3638" t="s">
        <v>1161</v>
      </c>
      <c r="B105" s="3638" t="s">
        <v>1173</v>
      </c>
      <c r="C105" s="988" t="s">
        <v>1174</v>
      </c>
      <c r="D105" s="989"/>
      <c r="E105" s="989"/>
      <c r="F105" s="989"/>
      <c r="G105" s="989"/>
      <c r="H105" s="989"/>
      <c r="I105" s="989"/>
      <c r="J105" s="990"/>
      <c r="K105" s="983"/>
      <c r="L105" s="983"/>
      <c r="M105" s="983"/>
      <c r="N105" s="983"/>
    </row>
    <row r="106" spans="1:36">
      <c r="A106" s="3638"/>
      <c r="B106" s="3638"/>
      <c r="C106" s="999" t="s">
        <v>836</v>
      </c>
      <c r="D106" s="999" t="s">
        <v>820</v>
      </c>
      <c r="E106" s="999" t="s">
        <v>821</v>
      </c>
      <c r="F106" s="999" t="s">
        <v>839</v>
      </c>
      <c r="G106" s="999" t="s">
        <v>823</v>
      </c>
      <c r="H106" s="999" t="s">
        <v>824</v>
      </c>
      <c r="I106" s="999" t="s">
        <v>825</v>
      </c>
      <c r="J106" s="999" t="s">
        <v>826</v>
      </c>
      <c r="K106" s="999" t="s">
        <v>844</v>
      </c>
      <c r="L106" s="999" t="s">
        <v>828</v>
      </c>
      <c r="M106" s="999" t="s">
        <v>829</v>
      </c>
      <c r="N106" s="999" t="s">
        <v>847</v>
      </c>
    </row>
    <row r="107" spans="1:36">
      <c r="A107" s="3644" t="s">
        <v>2045</v>
      </c>
      <c r="B107" s="991">
        <v>1</v>
      </c>
      <c r="C107" s="992">
        <v>1.5206</v>
      </c>
      <c r="D107" s="992">
        <v>1.5206</v>
      </c>
      <c r="E107" s="992">
        <v>1.5019</v>
      </c>
      <c r="F107" s="992">
        <v>1.5019</v>
      </c>
      <c r="G107" s="992">
        <v>1.5019</v>
      </c>
      <c r="H107" s="992">
        <v>1.5019</v>
      </c>
      <c r="I107" s="992">
        <v>1.5019</v>
      </c>
      <c r="J107" s="992">
        <v>1.5418000000000001</v>
      </c>
      <c r="K107" s="992">
        <v>1.5418000000000001</v>
      </c>
      <c r="L107" s="992">
        <v>1.5418000000000001</v>
      </c>
      <c r="M107" s="992">
        <v>1.5418000000000001</v>
      </c>
      <c r="N107" s="992">
        <v>1.5418000000000001</v>
      </c>
    </row>
    <row r="108" spans="1:36">
      <c r="A108" s="3645"/>
      <c r="B108" s="991">
        <v>2</v>
      </c>
      <c r="C108" s="992">
        <v>1.2072000000000001</v>
      </c>
      <c r="D108" s="992">
        <v>1.2072000000000001</v>
      </c>
      <c r="E108" s="992">
        <v>1.1838</v>
      </c>
      <c r="F108" s="992">
        <v>1.1838</v>
      </c>
      <c r="G108" s="992">
        <v>1.1838</v>
      </c>
      <c r="H108" s="992">
        <v>1.1838</v>
      </c>
      <c r="I108" s="992">
        <v>1.1838</v>
      </c>
      <c r="J108" s="992">
        <v>1.1883999999999999</v>
      </c>
      <c r="K108" s="992">
        <v>1.1883999999999999</v>
      </c>
      <c r="L108" s="992">
        <v>1.1883999999999999</v>
      </c>
      <c r="M108" s="992">
        <v>1.1883999999999999</v>
      </c>
      <c r="N108" s="992">
        <v>1.1883999999999999</v>
      </c>
    </row>
    <row r="109" spans="1:36">
      <c r="A109" s="3645"/>
      <c r="B109" s="991">
        <v>3</v>
      </c>
      <c r="C109" s="992">
        <v>1.0430999999999999</v>
      </c>
      <c r="D109" s="992">
        <v>1.0430999999999999</v>
      </c>
      <c r="E109" s="992">
        <v>1.0004999999999999</v>
      </c>
      <c r="F109" s="992">
        <v>1.0004999999999999</v>
      </c>
      <c r="G109" s="992">
        <v>1.0004999999999999</v>
      </c>
      <c r="H109" s="992">
        <v>1.0004999999999999</v>
      </c>
      <c r="I109" s="992">
        <v>1.0004999999999999</v>
      </c>
      <c r="J109" s="992">
        <v>0.96940000000000004</v>
      </c>
      <c r="K109" s="992">
        <v>0.96940000000000004</v>
      </c>
      <c r="L109" s="992">
        <v>0.96940000000000004</v>
      </c>
      <c r="M109" s="992">
        <v>0.96940000000000004</v>
      </c>
      <c r="N109" s="992">
        <v>0.96940000000000004</v>
      </c>
    </row>
    <row r="110" spans="1:36">
      <c r="A110" s="3645"/>
      <c r="B110" s="991">
        <v>4</v>
      </c>
      <c r="C110" s="992">
        <v>0.94389999999999996</v>
      </c>
      <c r="D110" s="992">
        <v>0.94389999999999996</v>
      </c>
      <c r="E110" s="992">
        <v>0.88239999999999996</v>
      </c>
      <c r="F110" s="992">
        <v>0.88239999999999996</v>
      </c>
      <c r="G110" s="992">
        <v>0.88239999999999996</v>
      </c>
      <c r="H110" s="992">
        <v>0.88239999999999996</v>
      </c>
      <c r="I110" s="992">
        <v>0.88239999999999996</v>
      </c>
      <c r="J110" s="992">
        <v>0.82299999999999995</v>
      </c>
      <c r="K110" s="992">
        <v>0.82299999999999995</v>
      </c>
      <c r="L110" s="992">
        <v>0.82299999999999995</v>
      </c>
      <c r="M110" s="992">
        <v>0.82299999999999995</v>
      </c>
      <c r="N110" s="992">
        <v>0.82299999999999995</v>
      </c>
    </row>
    <row r="111" spans="1:36">
      <c r="A111" s="3645"/>
      <c r="B111" s="991">
        <v>5</v>
      </c>
      <c r="C111" s="992">
        <v>0.89959999999999996</v>
      </c>
      <c r="D111" s="992">
        <v>0.89959999999999996</v>
      </c>
      <c r="E111" s="992">
        <v>0.84799999999999998</v>
      </c>
      <c r="F111" s="992">
        <v>0.84799999999999998</v>
      </c>
      <c r="G111" s="992">
        <v>0.84799999999999998</v>
      </c>
      <c r="H111" s="992">
        <v>0.84799999999999998</v>
      </c>
      <c r="I111" s="992">
        <v>0.84799999999999998</v>
      </c>
      <c r="J111" s="992">
        <v>0.74980000000000002</v>
      </c>
      <c r="K111" s="992">
        <v>0.74980000000000002</v>
      </c>
      <c r="L111" s="992">
        <v>0.74980000000000002</v>
      </c>
      <c r="M111" s="992">
        <v>0.74980000000000002</v>
      </c>
      <c r="N111" s="992">
        <v>0.74980000000000002</v>
      </c>
    </row>
    <row r="112" spans="1:36">
      <c r="A112" s="3645"/>
      <c r="B112" s="991" t="s">
        <v>3236</v>
      </c>
      <c r="C112" s="993">
        <f>$I$3</f>
        <v>0</v>
      </c>
      <c r="D112" s="993">
        <f t="shared" ref="D112:N112" si="34">$I$3</f>
        <v>0</v>
      </c>
      <c r="E112" s="993">
        <f t="shared" si="34"/>
        <v>0</v>
      </c>
      <c r="F112" s="993">
        <f t="shared" si="34"/>
        <v>0</v>
      </c>
      <c r="G112" s="993">
        <f t="shared" si="34"/>
        <v>0</v>
      </c>
      <c r="H112" s="993">
        <f t="shared" si="34"/>
        <v>0</v>
      </c>
      <c r="I112" s="993">
        <f t="shared" si="34"/>
        <v>0</v>
      </c>
      <c r="J112" s="993">
        <f t="shared" si="34"/>
        <v>0</v>
      </c>
      <c r="K112" s="993">
        <f t="shared" si="34"/>
        <v>0</v>
      </c>
      <c r="L112" s="993">
        <f t="shared" si="34"/>
        <v>0</v>
      </c>
      <c r="M112" s="993">
        <f t="shared" si="34"/>
        <v>0</v>
      </c>
      <c r="N112" s="993">
        <f t="shared" si="34"/>
        <v>0</v>
      </c>
    </row>
    <row r="113" spans="1:14">
      <c r="A113" s="3646"/>
      <c r="B113" s="991">
        <v>6</v>
      </c>
      <c r="C113" s="994">
        <f>(-0.5556*(C112^2)-0.2719*C112+8944)*(10^(-4))</f>
        <v>0.89440000000000008</v>
      </c>
      <c r="D113" s="994">
        <f>(-0.5556*(D112^2)-0.2719*D112+8944)*(10^(-4))</f>
        <v>0.89440000000000008</v>
      </c>
      <c r="E113" s="994">
        <f>(-0.7912*(E112^2)-11.3794*E112+8482)*(10^(-4))</f>
        <v>0.84820000000000007</v>
      </c>
      <c r="F113" s="994">
        <f>(-0.7912*(F112^2)-11.3794*F112+8482)*(10^(-4))</f>
        <v>0.84820000000000007</v>
      </c>
      <c r="G113" s="994">
        <f>(-0.7912*(G112^2)-11.3794*G112+8482)*(10^(-4))</f>
        <v>0.84820000000000007</v>
      </c>
      <c r="H113" s="994">
        <f>(-0.7912*(H112^2)-11.3794*H112+8482)*(10^(-4))</f>
        <v>0.84820000000000007</v>
      </c>
      <c r="I113" s="994">
        <f>(-0.7912*(I112^2)-11.3794*I112+8482)*(10^(-4))</f>
        <v>0.84820000000000007</v>
      </c>
      <c r="J113" s="994">
        <f>(-0.989*(J112^2)-63.78*J112+7771)*(10^(-4))</f>
        <v>0.77710000000000001</v>
      </c>
      <c r="K113" s="994">
        <f>(-0.989*(K112^2)-63.78*K112+7771)*(10^(-4))</f>
        <v>0.77710000000000001</v>
      </c>
      <c r="L113" s="994">
        <f>(-0.989*(L112^2)-63.78*L112+7771)*(10^(-4))</f>
        <v>0.77710000000000001</v>
      </c>
      <c r="M113" s="994">
        <f>(-0.989*(M112^2)-63.78*M112+7771)*(10^(-4))</f>
        <v>0.77710000000000001</v>
      </c>
      <c r="N113" s="994">
        <f>(-0.989*(N112^2)-63.78*N112+7771)*(10^(-4))</f>
        <v>0.77710000000000001</v>
      </c>
    </row>
    <row r="114" spans="1:14">
      <c r="A114" s="3634" t="s">
        <v>1175</v>
      </c>
      <c r="B114" s="3634"/>
      <c r="C114" s="3634"/>
      <c r="D114" s="3634"/>
      <c r="E114" s="3634"/>
      <c r="F114" s="3634"/>
      <c r="G114" s="3634"/>
      <c r="H114" s="3634"/>
      <c r="I114" s="3634"/>
      <c r="J114" s="3634"/>
      <c r="K114" s="1968"/>
      <c r="L114" s="1968"/>
      <c r="M114" s="1968"/>
      <c r="N114" s="1968"/>
    </row>
    <row r="116" spans="1:14" ht="12.75" thickBot="1"/>
    <row r="117" spans="1:14" ht="25.5" thickBot="1">
      <c r="A117" s="926" t="s">
        <v>831</v>
      </c>
      <c r="B117" s="1969">
        <f>G3</f>
        <v>0</v>
      </c>
      <c r="C117" s="927" t="s">
        <v>832</v>
      </c>
      <c r="D117" s="928" t="e">
        <f>SUMPRODUCT((A118:A122=F116)*(B117:M117=H116)*B118:M122)</f>
        <v>#VALUE!</v>
      </c>
      <c r="E117" s="929" t="s">
        <v>833</v>
      </c>
      <c r="F117" s="930">
        <f>E2</f>
        <v>0</v>
      </c>
      <c r="G117" s="929" t="s">
        <v>834</v>
      </c>
      <c r="H117" s="930">
        <f>G2</f>
        <v>0</v>
      </c>
      <c r="I117" s="929"/>
      <c r="J117" s="921"/>
      <c r="K117" s="921"/>
      <c r="L117" s="921"/>
      <c r="M117" s="921"/>
    </row>
    <row r="118" spans="1:14" ht="12.75">
      <c r="A118" s="932"/>
      <c r="B118" s="933" t="s">
        <v>819</v>
      </c>
      <c r="C118" s="933" t="s">
        <v>820</v>
      </c>
      <c r="D118" s="933" t="s">
        <v>821</v>
      </c>
      <c r="E118" s="934" t="s">
        <v>822</v>
      </c>
      <c r="F118" s="934" t="s">
        <v>823</v>
      </c>
      <c r="G118" s="934" t="s">
        <v>824</v>
      </c>
      <c r="H118" s="935" t="s">
        <v>825</v>
      </c>
      <c r="I118" s="935" t="s">
        <v>826</v>
      </c>
      <c r="J118" s="936" t="s">
        <v>827</v>
      </c>
      <c r="K118" s="936" t="s">
        <v>828</v>
      </c>
      <c r="L118" s="936" t="s">
        <v>829</v>
      </c>
      <c r="M118" s="937" t="s">
        <v>830</v>
      </c>
    </row>
    <row r="119" spans="1:14" ht="12.75">
      <c r="A119" s="3360" t="s">
        <v>3237</v>
      </c>
      <c r="B119" s="3304">
        <f>ROUND(0.9968-0.011*B117,4)</f>
        <v>0.99680000000000002</v>
      </c>
      <c r="C119" s="3304">
        <f>B119</f>
        <v>0.99680000000000002</v>
      </c>
      <c r="D119" s="3304">
        <f>ROUND(0.949-0.014*B117,4)</f>
        <v>0.94899999999999995</v>
      </c>
      <c r="E119" s="3304">
        <f>D119</f>
        <v>0.94899999999999995</v>
      </c>
      <c r="F119" s="3304">
        <f>E119</f>
        <v>0.94899999999999995</v>
      </c>
      <c r="G119" s="3304">
        <f>F119</f>
        <v>0.94899999999999995</v>
      </c>
      <c r="H119" s="3304">
        <f>G119</f>
        <v>0.94899999999999995</v>
      </c>
      <c r="I119" s="3304">
        <f>ROUND(0.8486-0.018*B117,4)</f>
        <v>0.84860000000000002</v>
      </c>
      <c r="J119" s="3304">
        <f t="shared" ref="J119:M123" si="35">I119</f>
        <v>0.84860000000000002</v>
      </c>
      <c r="K119" s="3304">
        <f t="shared" si="35"/>
        <v>0.84860000000000002</v>
      </c>
      <c r="L119" s="3304">
        <f t="shared" si="35"/>
        <v>0.84860000000000002</v>
      </c>
      <c r="M119" s="3363">
        <f t="shared" si="35"/>
        <v>0.84860000000000002</v>
      </c>
    </row>
    <row r="120" spans="1:14" ht="12.75">
      <c r="A120" s="3360" t="s">
        <v>3238</v>
      </c>
      <c r="B120" s="3304">
        <f>ROUND(0.993-0.0112*B117,4)</f>
        <v>0.99299999999999999</v>
      </c>
      <c r="C120" s="3304">
        <f>B120</f>
        <v>0.99299999999999999</v>
      </c>
      <c r="D120" s="3304">
        <f>ROUND(0.9415-0.0142*B117,4)</f>
        <v>0.9415</v>
      </c>
      <c r="E120" s="3304">
        <f t="shared" ref="E120:H121" si="36">D120</f>
        <v>0.9415</v>
      </c>
      <c r="F120" s="3304">
        <f t="shared" si="36"/>
        <v>0.9415</v>
      </c>
      <c r="G120" s="3304">
        <f t="shared" si="36"/>
        <v>0.9415</v>
      </c>
      <c r="H120" s="3304">
        <f t="shared" si="36"/>
        <v>0.9415</v>
      </c>
      <c r="I120" s="3304">
        <f>ROUND(0.838-0.0182*B117,4)</f>
        <v>0.83799999999999997</v>
      </c>
      <c r="J120" s="3304">
        <f t="shared" si="35"/>
        <v>0.83799999999999997</v>
      </c>
      <c r="K120" s="3304">
        <f t="shared" si="35"/>
        <v>0.83799999999999997</v>
      </c>
      <c r="L120" s="3304">
        <f t="shared" si="35"/>
        <v>0.83799999999999997</v>
      </c>
      <c r="M120" s="3363">
        <f t="shared" si="35"/>
        <v>0.83799999999999997</v>
      </c>
    </row>
    <row r="121" spans="1:14" ht="12.75">
      <c r="A121" s="3360" t="s">
        <v>3239</v>
      </c>
      <c r="B121" s="3304">
        <f>ROUND(0.9448-0.0115*B117,4)</f>
        <v>0.94479999999999997</v>
      </c>
      <c r="C121" s="3304">
        <f>B121</f>
        <v>0.94479999999999997</v>
      </c>
      <c r="D121" s="3304">
        <f>ROUND(0.937-0.0145*B117,4)</f>
        <v>0.93700000000000006</v>
      </c>
      <c r="E121" s="3304">
        <f t="shared" si="36"/>
        <v>0.93700000000000006</v>
      </c>
      <c r="F121" s="3304">
        <f t="shared" si="36"/>
        <v>0.93700000000000006</v>
      </c>
      <c r="G121" s="3304">
        <f t="shared" si="36"/>
        <v>0.93700000000000006</v>
      </c>
      <c r="H121" s="3304">
        <f t="shared" si="36"/>
        <v>0.93700000000000006</v>
      </c>
      <c r="I121" s="3304">
        <f>ROUND(0.7965-0.0185*B117,4)</f>
        <v>0.79649999999999999</v>
      </c>
      <c r="J121" s="3304">
        <f t="shared" si="35"/>
        <v>0.79649999999999999</v>
      </c>
      <c r="K121" s="3304">
        <f t="shared" si="35"/>
        <v>0.79649999999999999</v>
      </c>
      <c r="L121" s="3304">
        <f t="shared" si="35"/>
        <v>0.79649999999999999</v>
      </c>
      <c r="M121" s="3363">
        <f t="shared" si="35"/>
        <v>0.79649999999999999</v>
      </c>
    </row>
    <row r="122" spans="1:14" ht="13.5" thickBot="1">
      <c r="A122" s="3361" t="s">
        <v>3240</v>
      </c>
      <c r="B122" s="3364">
        <f>ROUND(0.7836-0.012*B117,4)</f>
        <v>0.78359999999999996</v>
      </c>
      <c r="C122" s="3364">
        <f>B122</f>
        <v>0.78359999999999996</v>
      </c>
      <c r="D122" s="3364">
        <f>ROUND(0.753-0.015*B117,4)</f>
        <v>0.753</v>
      </c>
      <c r="E122" s="3364">
        <f>D122</f>
        <v>0.753</v>
      </c>
      <c r="F122" s="3364">
        <f>E122</f>
        <v>0.753</v>
      </c>
      <c r="G122" s="3364">
        <f>ROUND(0.6612-0.018*B117,4)</f>
        <v>0.66120000000000001</v>
      </c>
      <c r="H122" s="3364">
        <f>G122</f>
        <v>0.66120000000000001</v>
      </c>
      <c r="I122" s="3364">
        <f>ROUND(0.5905-0.019*B117,4)</f>
        <v>0.59050000000000002</v>
      </c>
      <c r="J122" s="3364">
        <f t="shared" si="35"/>
        <v>0.59050000000000002</v>
      </c>
      <c r="K122" s="3364">
        <f t="shared" si="35"/>
        <v>0.59050000000000002</v>
      </c>
      <c r="L122" s="3364">
        <f t="shared" si="35"/>
        <v>0.59050000000000002</v>
      </c>
      <c r="M122" s="3365">
        <f t="shared" si="35"/>
        <v>0.59050000000000002</v>
      </c>
    </row>
    <row r="123" spans="1:14" ht="12.75">
      <c r="A123" s="3362" t="s">
        <v>3221</v>
      </c>
      <c r="B123" s="3304">
        <f>ROUND(0.9404-0.0106*B117,4)</f>
        <v>0.94040000000000001</v>
      </c>
      <c r="C123" s="3304">
        <f>B123</f>
        <v>0.94040000000000001</v>
      </c>
      <c r="D123" s="3304">
        <f>ROUND(0.8955-0.0135*B117,4)</f>
        <v>0.89549999999999996</v>
      </c>
      <c r="E123" s="3304">
        <f t="shared" ref="E123:H123" si="37">D123</f>
        <v>0.89549999999999996</v>
      </c>
      <c r="F123" s="3304">
        <f t="shared" si="37"/>
        <v>0.89549999999999996</v>
      </c>
      <c r="G123" s="3304">
        <f t="shared" si="37"/>
        <v>0.89549999999999996</v>
      </c>
      <c r="H123" s="3304">
        <f t="shared" si="37"/>
        <v>0.89549999999999996</v>
      </c>
      <c r="I123" s="3304">
        <f>ROUND(0.7632-0.0166*B117,4)</f>
        <v>0.76319999999999999</v>
      </c>
      <c r="J123" s="3304">
        <f t="shared" si="35"/>
        <v>0.76319999999999999</v>
      </c>
      <c r="K123" s="3304">
        <f t="shared" si="35"/>
        <v>0.76319999999999999</v>
      </c>
      <c r="L123" s="3304">
        <f t="shared" si="35"/>
        <v>0.76319999999999999</v>
      </c>
      <c r="M123" s="3363">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600-000000000000}">
      <formula1>"商业,办公,住宅,工业,公共服务"</formula1>
    </dataValidation>
    <dataValidation type="list" allowBlank="1" showInputMessage="1" showErrorMessage="1" sqref="F21" xr:uid="{00000000-0002-0000-1600-000001000000}">
      <formula1>"与级别开发程度一致,与级别开发程度不一致"</formula1>
    </dataValidation>
    <dataValidation type="list" allowBlank="1" showInputMessage="1" showErrorMessage="1" sqref="B25" xr:uid="{00000000-0002-0000-1600-000002000000}">
      <formula1>"容积率修正,楼层修正"</formula1>
    </dataValidation>
    <dataValidation type="list" allowBlank="1" showInputMessage="1" showErrorMessage="1" sqref="C15:D15" xr:uid="{00000000-0002-0000-1600-000003000000}">
      <formula1>"有,无"</formula1>
    </dataValidation>
    <dataValidation type="list" allowBlank="1" showInputMessage="1" showErrorMessage="1" sqref="E15" xr:uid="{00000000-0002-0000-1600-000004000000}">
      <formula1>"500米范围内,500-1000米,1000米以外"</formula1>
    </dataValidation>
    <dataValidation type="list" allowBlank="1" showInputMessage="1" showErrorMessage="1" sqref="H23" xr:uid="{00000000-0002-0000-1600-000005000000}">
      <formula1>"地价指数,季度增幅（自定义）,按公示增长率计算"</formula1>
    </dataValidation>
    <dataValidation type="list" allowBlank="1" showInputMessage="1" showErrorMessage="1" sqref="F3" xr:uid="{00000000-0002-0000-1600-000006000000}">
      <formula1>"宗地容积率,估价对象容积率,自定义容积率"</formula1>
    </dataValidation>
    <dataValidation type="list" allowBlank="1" showInputMessage="1" showErrorMessage="1" sqref="C8" xr:uid="{00000000-0002-0000-1600-000007000000}">
      <formula1>商业街名称</formula1>
    </dataValidation>
    <dataValidation type="list" allowBlank="1" showInputMessage="1" showErrorMessage="1" sqref="E3" xr:uid="{00000000-0002-0000-1600-000008000000}">
      <formula1>二级分类</formula1>
    </dataValidation>
    <dataValidation type="list" allowBlank="1" showInputMessage="1" showErrorMessage="1" sqref="C50:C58 C61:C69 C93:C102 C72:C80 C83:C90" xr:uid="{00000000-0002-0000-1600-000009000000}">
      <formula1>五等判定</formula1>
    </dataValidation>
    <dataValidation type="list" allowBlank="1" showInputMessage="1" showErrorMessage="1" sqref="H20:O20" xr:uid="{00000000-0002-0000-1600-00000A000000}">
      <formula1>七通一平</formula1>
    </dataValidation>
    <dataValidation type="list" allowBlank="1" showInputMessage="1" showErrorMessage="1" sqref="J23" xr:uid="{00000000-0002-0000-16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141"/>
  <sheetViews>
    <sheetView zoomScale="60" zoomScaleNormal="60" workbookViewId="0">
      <selection sqref="A1:XFD1048576"/>
    </sheetView>
  </sheetViews>
  <sheetFormatPr defaultColWidth="13.875" defaultRowHeight="13.5"/>
  <cols>
    <col min="1" max="1" width="13.875" style="957"/>
    <col min="2" max="9" width="13.875" style="973"/>
    <col min="10" max="16384" width="13.875" style="957"/>
  </cols>
  <sheetData>
    <row r="1" spans="1:13" ht="14.25" thickBot="1">
      <c r="A1" s="974" t="s">
        <v>2759</v>
      </c>
      <c r="B1" s="962" t="s">
        <v>990</v>
      </c>
      <c r="C1" s="962" t="s">
        <v>1031</v>
      </c>
      <c r="D1" s="962" t="s">
        <v>1145</v>
      </c>
      <c r="E1" s="962" t="s">
        <v>853</v>
      </c>
      <c r="F1" s="962" t="s">
        <v>1152</v>
      </c>
      <c r="G1" s="962" t="s">
        <v>1153</v>
      </c>
      <c r="H1" s="962" t="s">
        <v>1154</v>
      </c>
      <c r="I1" s="962" t="s">
        <v>1155</v>
      </c>
      <c r="J1" s="962" t="s">
        <v>1156</v>
      </c>
      <c r="K1" s="962" t="s">
        <v>1157</v>
      </c>
      <c r="L1" s="962" t="s">
        <v>2760</v>
      </c>
      <c r="M1" s="963" t="s">
        <v>2761</v>
      </c>
    </row>
    <row r="2" spans="1:13">
      <c r="A2" s="2985" t="s">
        <v>2736</v>
      </c>
      <c r="B2" s="2986">
        <v>3.5</v>
      </c>
      <c r="C2" s="2986">
        <v>3.5</v>
      </c>
      <c r="D2" s="2987">
        <v>2.5</v>
      </c>
      <c r="E2" s="2987">
        <v>2.5</v>
      </c>
      <c r="F2" s="2987">
        <v>2.5</v>
      </c>
      <c r="G2" s="2987">
        <v>2.5</v>
      </c>
      <c r="H2" s="2987">
        <v>2.5</v>
      </c>
      <c r="I2" s="2986">
        <v>2</v>
      </c>
      <c r="J2" s="2986">
        <v>2</v>
      </c>
      <c r="K2" s="2986">
        <v>2</v>
      </c>
      <c r="L2" s="2986">
        <v>2</v>
      </c>
      <c r="M2" s="2988">
        <v>2</v>
      </c>
    </row>
    <row r="3" spans="1:13">
      <c r="A3" s="2989" t="s">
        <v>1212</v>
      </c>
      <c r="B3" s="2990">
        <v>3.5</v>
      </c>
      <c r="C3" s="2990">
        <v>3.5</v>
      </c>
      <c r="D3" s="2991">
        <v>2.5</v>
      </c>
      <c r="E3" s="2991">
        <v>2.5</v>
      </c>
      <c r="F3" s="2991">
        <v>2.5</v>
      </c>
      <c r="G3" s="2991">
        <v>2.5</v>
      </c>
      <c r="H3" s="2991">
        <v>2.5</v>
      </c>
      <c r="I3" s="2990">
        <v>2</v>
      </c>
      <c r="J3" s="2990">
        <v>2</v>
      </c>
      <c r="K3" s="2990">
        <v>2</v>
      </c>
      <c r="L3" s="2990">
        <v>2</v>
      </c>
      <c r="M3" s="2992">
        <v>2</v>
      </c>
    </row>
    <row r="4" spans="1:13">
      <c r="A4" s="2989" t="s">
        <v>851</v>
      </c>
      <c r="B4" s="2991">
        <v>2.5</v>
      </c>
      <c r="C4" s="2991">
        <v>2.5</v>
      </c>
      <c r="D4" s="2991">
        <v>2.5</v>
      </c>
      <c r="E4" s="2991">
        <v>2.5</v>
      </c>
      <c r="F4" s="2991">
        <v>2.5</v>
      </c>
      <c r="G4" s="2991">
        <v>2.5</v>
      </c>
      <c r="H4" s="2991">
        <v>2.5</v>
      </c>
      <c r="I4" s="2990">
        <v>1.5</v>
      </c>
      <c r="J4" s="2990">
        <v>1.5</v>
      </c>
      <c r="K4" s="2990">
        <v>1.5</v>
      </c>
      <c r="L4" s="2990">
        <v>1.5</v>
      </c>
      <c r="M4" s="2992">
        <v>1.5</v>
      </c>
    </row>
    <row r="5" spans="1:13">
      <c r="A5" s="2993" t="s">
        <v>905</v>
      </c>
      <c r="B5" s="2990">
        <v>1.5</v>
      </c>
      <c r="C5" s="2990">
        <v>1.5</v>
      </c>
      <c r="D5" s="2990">
        <v>1.5</v>
      </c>
      <c r="E5" s="2990">
        <v>1.5</v>
      </c>
      <c r="F5" s="2990">
        <v>1.5</v>
      </c>
      <c r="G5" s="2990">
        <v>1.2</v>
      </c>
      <c r="H5" s="2990">
        <v>1.2</v>
      </c>
      <c r="I5" s="2990">
        <v>1</v>
      </c>
      <c r="J5" s="2990">
        <v>1</v>
      </c>
      <c r="K5" s="2990">
        <v>1</v>
      </c>
      <c r="L5" s="2990">
        <v>1</v>
      </c>
      <c r="M5" s="2992">
        <v>1</v>
      </c>
    </row>
    <row r="6" spans="1:13">
      <c r="A6" s="2994" t="s">
        <v>2762</v>
      </c>
      <c r="B6" s="2995">
        <v>2.5</v>
      </c>
      <c r="C6" s="2995">
        <v>2.5</v>
      </c>
      <c r="D6" s="2995">
        <v>2</v>
      </c>
      <c r="E6" s="2995">
        <v>2</v>
      </c>
      <c r="F6" s="2995">
        <v>2</v>
      </c>
      <c r="G6" s="2995">
        <v>2</v>
      </c>
      <c r="H6" s="2995">
        <v>2</v>
      </c>
      <c r="I6" s="2996">
        <v>1.5</v>
      </c>
      <c r="J6" s="2996">
        <v>1.5</v>
      </c>
      <c r="K6" s="2996">
        <v>1.5</v>
      </c>
      <c r="L6" s="2996">
        <v>1.5</v>
      </c>
      <c r="M6" s="2997">
        <v>1.5</v>
      </c>
    </row>
    <row r="7" spans="1:13" ht="14.25" thickBot="1">
      <c r="A7" s="2998" t="s">
        <v>2734</v>
      </c>
      <c r="B7" s="2999">
        <v>2.5</v>
      </c>
      <c r="C7" s="2999">
        <v>2.5</v>
      </c>
      <c r="D7" s="2999">
        <v>2</v>
      </c>
      <c r="E7" s="2999">
        <v>2</v>
      </c>
      <c r="F7" s="2999">
        <v>2</v>
      </c>
      <c r="G7" s="2999">
        <v>2</v>
      </c>
      <c r="H7" s="2999">
        <v>2</v>
      </c>
      <c r="I7" s="3000">
        <v>1.5</v>
      </c>
      <c r="J7" s="3000">
        <v>1.5</v>
      </c>
      <c r="K7" s="3000">
        <v>1.5</v>
      </c>
      <c r="L7" s="3000">
        <v>1.5</v>
      </c>
      <c r="M7" s="3001">
        <v>1.5</v>
      </c>
    </row>
    <row r="8" spans="1:13">
      <c r="A8" s="975" t="s">
        <v>2763</v>
      </c>
      <c r="B8" s="3002">
        <v>80</v>
      </c>
      <c r="C8" s="3002">
        <v>80</v>
      </c>
      <c r="D8" s="3002">
        <v>70</v>
      </c>
      <c r="E8" s="3002">
        <v>70</v>
      </c>
      <c r="F8" s="3002">
        <v>70</v>
      </c>
      <c r="G8" s="3002">
        <v>70</v>
      </c>
      <c r="H8" s="3002">
        <v>70</v>
      </c>
      <c r="I8" s="3002">
        <v>60</v>
      </c>
      <c r="J8" s="3002">
        <v>60</v>
      </c>
      <c r="K8" s="3002">
        <v>60</v>
      </c>
      <c r="L8" s="3002">
        <v>60</v>
      </c>
      <c r="M8" s="3003">
        <v>60</v>
      </c>
    </row>
    <row r="9" spans="1:13">
      <c r="A9" s="958" t="s">
        <v>2764</v>
      </c>
      <c r="B9" s="3004">
        <v>70</v>
      </c>
      <c r="C9" s="3004">
        <v>70</v>
      </c>
      <c r="D9" s="3004">
        <v>60</v>
      </c>
      <c r="E9" s="3004">
        <v>60</v>
      </c>
      <c r="F9" s="3004">
        <v>60</v>
      </c>
      <c r="G9" s="3004">
        <v>60</v>
      </c>
      <c r="H9" s="3004">
        <v>60</v>
      </c>
      <c r="I9" s="3004">
        <v>50</v>
      </c>
      <c r="J9" s="3004">
        <v>50</v>
      </c>
      <c r="K9" s="3004">
        <v>50</v>
      </c>
      <c r="L9" s="3004">
        <v>50</v>
      </c>
      <c r="M9" s="3005">
        <v>50</v>
      </c>
    </row>
    <row r="10" spans="1:13">
      <c r="A10" s="958" t="s">
        <v>2765</v>
      </c>
      <c r="B10" s="3004">
        <v>20</v>
      </c>
      <c r="C10" s="3004">
        <v>20</v>
      </c>
      <c r="D10" s="3004">
        <v>15</v>
      </c>
      <c r="E10" s="3004">
        <v>15</v>
      </c>
      <c r="F10" s="3004">
        <v>15</v>
      </c>
      <c r="G10" s="3004">
        <v>15</v>
      </c>
      <c r="H10" s="3004">
        <v>15</v>
      </c>
      <c r="I10" s="3004">
        <v>10</v>
      </c>
      <c r="J10" s="3004">
        <v>10</v>
      </c>
      <c r="K10" s="3004">
        <v>10</v>
      </c>
      <c r="L10" s="3004">
        <v>10</v>
      </c>
      <c r="M10" s="3005">
        <v>10</v>
      </c>
    </row>
    <row r="11" spans="1:13">
      <c r="A11" s="958" t="s">
        <v>2766</v>
      </c>
      <c r="B11" s="3004">
        <v>30</v>
      </c>
      <c r="C11" s="3004">
        <v>30</v>
      </c>
      <c r="D11" s="3004">
        <v>25</v>
      </c>
      <c r="E11" s="3004">
        <v>25</v>
      </c>
      <c r="F11" s="3004">
        <v>25</v>
      </c>
      <c r="G11" s="3004">
        <v>25</v>
      </c>
      <c r="H11" s="3004">
        <v>25</v>
      </c>
      <c r="I11" s="3004">
        <v>20</v>
      </c>
      <c r="J11" s="3004">
        <v>20</v>
      </c>
      <c r="K11" s="3004">
        <v>20</v>
      </c>
      <c r="L11" s="3004">
        <v>20</v>
      </c>
      <c r="M11" s="3005">
        <v>20</v>
      </c>
    </row>
    <row r="12" spans="1:13">
      <c r="A12" s="958" t="s">
        <v>2767</v>
      </c>
      <c r="B12" s="3004">
        <v>45</v>
      </c>
      <c r="C12" s="3004">
        <v>45</v>
      </c>
      <c r="D12" s="3004">
        <v>40</v>
      </c>
      <c r="E12" s="3004">
        <v>40</v>
      </c>
      <c r="F12" s="3004">
        <v>40</v>
      </c>
      <c r="G12" s="3004">
        <v>40</v>
      </c>
      <c r="H12" s="3004">
        <v>40</v>
      </c>
      <c r="I12" s="3004">
        <v>35</v>
      </c>
      <c r="J12" s="3004">
        <v>35</v>
      </c>
      <c r="K12" s="3004">
        <v>35</v>
      </c>
      <c r="L12" s="3004">
        <v>35</v>
      </c>
      <c r="M12" s="3005">
        <v>35</v>
      </c>
    </row>
    <row r="13" spans="1:13">
      <c r="A13" s="958" t="s">
        <v>2768</v>
      </c>
      <c r="B13" s="3004">
        <v>60</v>
      </c>
      <c r="C13" s="3004">
        <v>60</v>
      </c>
      <c r="D13" s="3004">
        <v>50</v>
      </c>
      <c r="E13" s="3004">
        <v>50</v>
      </c>
      <c r="F13" s="3004">
        <v>50</v>
      </c>
      <c r="G13" s="3004">
        <v>50</v>
      </c>
      <c r="H13" s="3004">
        <v>50</v>
      </c>
      <c r="I13" s="3004">
        <v>40</v>
      </c>
      <c r="J13" s="3004">
        <v>40</v>
      </c>
      <c r="K13" s="3004">
        <v>40</v>
      </c>
      <c r="L13" s="3004">
        <v>40</v>
      </c>
      <c r="M13" s="3005">
        <v>40</v>
      </c>
    </row>
    <row r="14" spans="1:13">
      <c r="A14" s="958" t="s">
        <v>2769</v>
      </c>
      <c r="B14" s="3004">
        <v>50</v>
      </c>
      <c r="C14" s="3004">
        <v>50</v>
      </c>
      <c r="D14" s="3004">
        <v>40</v>
      </c>
      <c r="E14" s="3004">
        <v>40</v>
      </c>
      <c r="F14" s="3004">
        <v>40</v>
      </c>
      <c r="G14" s="3004">
        <v>40</v>
      </c>
      <c r="H14" s="3004">
        <v>40</v>
      </c>
      <c r="I14" s="3004">
        <v>30</v>
      </c>
      <c r="J14" s="3004">
        <v>30</v>
      </c>
      <c r="K14" s="3004">
        <v>30</v>
      </c>
      <c r="L14" s="3004">
        <v>30</v>
      </c>
      <c r="M14" s="3005">
        <v>30</v>
      </c>
    </row>
    <row r="15" spans="1:13">
      <c r="A15" s="976" t="s">
        <v>2770</v>
      </c>
      <c r="B15" s="3006">
        <v>20</v>
      </c>
      <c r="C15" s="3006">
        <v>20</v>
      </c>
      <c r="D15" s="3006">
        <v>15</v>
      </c>
      <c r="E15" s="3006">
        <v>15</v>
      </c>
      <c r="F15" s="3006">
        <v>15</v>
      </c>
      <c r="G15" s="3006">
        <v>15</v>
      </c>
      <c r="H15" s="3006">
        <v>15</v>
      </c>
      <c r="I15" s="3006">
        <v>10</v>
      </c>
      <c r="J15" s="3006">
        <v>10</v>
      </c>
      <c r="K15" s="3006">
        <v>10</v>
      </c>
      <c r="L15" s="3006">
        <v>10</v>
      </c>
      <c r="M15" s="3007">
        <v>10</v>
      </c>
    </row>
    <row r="16" spans="1:13">
      <c r="A16" s="959" t="s">
        <v>877</v>
      </c>
      <c r="B16" s="977">
        <v>0</v>
      </c>
      <c r="C16" s="977">
        <v>0</v>
      </c>
      <c r="D16" s="977">
        <v>0</v>
      </c>
      <c r="E16" s="977">
        <v>0</v>
      </c>
      <c r="F16" s="977">
        <v>0</v>
      </c>
      <c r="G16" s="977">
        <v>0</v>
      </c>
      <c r="H16" s="977">
        <v>0</v>
      </c>
      <c r="I16" s="977">
        <v>0</v>
      </c>
      <c r="J16" s="977">
        <v>0</v>
      </c>
      <c r="K16" s="977">
        <v>0</v>
      </c>
      <c r="L16" s="977">
        <v>0</v>
      </c>
      <c r="M16" s="977">
        <v>0</v>
      </c>
    </row>
    <row r="17" spans="1:13">
      <c r="A17" s="2403" t="s">
        <v>2771</v>
      </c>
      <c r="B17" s="2356">
        <f>SUM(B8:B15)</f>
        <v>375</v>
      </c>
      <c r="C17" s="2356">
        <f t="shared" ref="C17:H17" si="0">SUM(C8:C15)</f>
        <v>375</v>
      </c>
      <c r="D17" s="2356">
        <f t="shared" si="0"/>
        <v>315</v>
      </c>
      <c r="E17" s="2356">
        <f t="shared" si="0"/>
        <v>315</v>
      </c>
      <c r="F17" s="2356">
        <f t="shared" si="0"/>
        <v>315</v>
      </c>
      <c r="G17" s="2356">
        <f t="shared" si="0"/>
        <v>315</v>
      </c>
      <c r="H17" s="2356">
        <f t="shared" si="0"/>
        <v>315</v>
      </c>
      <c r="I17" s="2356">
        <f>SUM(I8:I15)-I13-I14</f>
        <v>185</v>
      </c>
      <c r="J17" s="2356">
        <f>SUM(J8:J15)-J13-J14</f>
        <v>185</v>
      </c>
      <c r="K17" s="2356">
        <f>SUM(K8:K15)-K13-K14</f>
        <v>185</v>
      </c>
      <c r="L17" s="2356">
        <f>SUM(L8:L15)-L13-L14</f>
        <v>185</v>
      </c>
      <c r="M17" s="2356">
        <f>SUM(M8:M15)-M13-M14</f>
        <v>185</v>
      </c>
    </row>
    <row r="18" spans="1:13">
      <c r="A18" s="978" t="s">
        <v>1160</v>
      </c>
      <c r="B18" s="978"/>
      <c r="C18" s="979"/>
      <c r="D18" s="979"/>
      <c r="E18" s="978"/>
      <c r="F18" s="979"/>
      <c r="G18" s="979"/>
    </row>
    <row r="19" spans="1:13" ht="14.25" thickBot="1">
      <c r="A19" s="3006" t="s">
        <v>2453</v>
      </c>
      <c r="B19" s="3008" t="s">
        <v>2454</v>
      </c>
      <c r="C19" s="3009" t="s">
        <v>2455</v>
      </c>
      <c r="D19" s="3010"/>
      <c r="E19" s="3004" t="s">
        <v>2456</v>
      </c>
      <c r="F19" s="981"/>
      <c r="G19" s="981"/>
    </row>
    <row r="20" spans="1:13">
      <c r="A20" s="3653" t="s">
        <v>2447</v>
      </c>
      <c r="B20" s="3656" t="s">
        <v>2457</v>
      </c>
      <c r="C20" s="3011" t="s">
        <v>2458</v>
      </c>
      <c r="D20" s="3012"/>
      <c r="E20" s="3013">
        <v>1</v>
      </c>
      <c r="F20" s="3014" t="s">
        <v>2459</v>
      </c>
      <c r="G20" s="983"/>
    </row>
    <row r="21" spans="1:13">
      <c r="A21" s="3654"/>
      <c r="B21" s="3652"/>
      <c r="C21" s="3015" t="s">
        <v>2460</v>
      </c>
      <c r="D21" s="3016"/>
      <c r="E21" s="3017">
        <v>1</v>
      </c>
      <c r="F21" s="3014" t="s">
        <v>2461</v>
      </c>
      <c r="G21" s="983"/>
    </row>
    <row r="22" spans="1:13">
      <c r="A22" s="3654"/>
      <c r="B22" s="3652"/>
      <c r="C22" s="3015" t="s">
        <v>2462</v>
      </c>
      <c r="D22" s="3016"/>
      <c r="E22" s="3017">
        <v>0.9</v>
      </c>
      <c r="F22" s="3014" t="s">
        <v>2463</v>
      </c>
      <c r="G22" s="983"/>
    </row>
    <row r="23" spans="1:13">
      <c r="A23" s="3654"/>
      <c r="B23" s="3652"/>
      <c r="C23" s="3015" t="s">
        <v>2464</v>
      </c>
      <c r="D23" s="3016"/>
      <c r="E23" s="3017">
        <v>0.9</v>
      </c>
      <c r="F23" s="3014" t="s">
        <v>2465</v>
      </c>
      <c r="G23" s="983"/>
    </row>
    <row r="24" spans="1:13">
      <c r="A24" s="3654"/>
      <c r="B24" s="3652"/>
      <c r="C24" s="3015" t="s">
        <v>2466</v>
      </c>
      <c r="D24" s="3016"/>
      <c r="E24" s="3017">
        <v>0.8</v>
      </c>
      <c r="F24" s="3014" t="s">
        <v>2467</v>
      </c>
      <c r="G24" s="983"/>
    </row>
    <row r="25" spans="1:13" ht="14.25" thickBot="1">
      <c r="A25" s="3655"/>
      <c r="B25" s="3657"/>
      <c r="C25" s="3018" t="s">
        <v>2468</v>
      </c>
      <c r="D25" s="3019"/>
      <c r="E25" s="3020">
        <v>0.8</v>
      </c>
      <c r="F25" s="3014" t="s">
        <v>2469</v>
      </c>
      <c r="G25" s="983"/>
    </row>
    <row r="26" spans="1:13" ht="14.25" thickBot="1">
      <c r="A26" s="3021" t="s">
        <v>2448</v>
      </c>
      <c r="B26" s="3022" t="s">
        <v>2457</v>
      </c>
      <c r="C26" s="3023" t="s">
        <v>2470</v>
      </c>
      <c r="D26" s="3024"/>
      <c r="E26" s="3025">
        <v>1</v>
      </c>
      <c r="F26" s="3014" t="s">
        <v>2471</v>
      </c>
      <c r="G26" s="983"/>
    </row>
    <row r="27" spans="1:13">
      <c r="A27" s="3658" t="s">
        <v>2452</v>
      </c>
      <c r="B27" s="3656" t="s">
        <v>2452</v>
      </c>
      <c r="C27" s="3011" t="s">
        <v>2472</v>
      </c>
      <c r="D27" s="3012"/>
      <c r="E27" s="3013">
        <v>1</v>
      </c>
      <c r="F27" s="3014" t="s">
        <v>2473</v>
      </c>
      <c r="G27" s="983"/>
    </row>
    <row r="28" spans="1:13">
      <c r="A28" s="3659"/>
      <c r="B28" s="3652"/>
      <c r="C28" s="3015" t="s">
        <v>2474</v>
      </c>
      <c r="D28" s="3016"/>
      <c r="E28" s="3017">
        <v>1</v>
      </c>
      <c r="F28" s="3014" t="s">
        <v>2475</v>
      </c>
      <c r="G28" s="983"/>
    </row>
    <row r="29" spans="1:13">
      <c r="A29" s="3659"/>
      <c r="B29" s="3652"/>
      <c r="C29" s="3015" t="s">
        <v>2476</v>
      </c>
      <c r="D29" s="3016"/>
      <c r="E29" s="3017">
        <v>0.8</v>
      </c>
      <c r="F29" s="3014" t="s">
        <v>2477</v>
      </c>
      <c r="G29" s="983"/>
    </row>
    <row r="30" spans="1:13">
      <c r="A30" s="3659"/>
      <c r="B30" s="3652"/>
      <c r="C30" s="3015" t="s">
        <v>2478</v>
      </c>
      <c r="D30" s="3016"/>
      <c r="E30" s="3017">
        <v>0.8</v>
      </c>
      <c r="F30" s="3014" t="s">
        <v>2479</v>
      </c>
      <c r="G30" s="983"/>
    </row>
    <row r="31" spans="1:13">
      <c r="A31" s="3659"/>
      <c r="B31" s="3652"/>
      <c r="C31" s="3015" t="s">
        <v>2480</v>
      </c>
      <c r="D31" s="3016"/>
      <c r="E31" s="3017">
        <v>0.8</v>
      </c>
      <c r="F31" s="3014" t="s">
        <v>2481</v>
      </c>
      <c r="G31" s="983"/>
    </row>
    <row r="32" spans="1:13">
      <c r="A32" s="3659"/>
      <c r="B32" s="3652"/>
      <c r="C32" s="3015" t="s">
        <v>2482</v>
      </c>
      <c r="D32" s="3016"/>
      <c r="E32" s="3017">
        <v>0.7</v>
      </c>
      <c r="F32" s="3014" t="s">
        <v>2483</v>
      </c>
      <c r="G32" s="983"/>
    </row>
    <row r="33" spans="1:7">
      <c r="A33" s="3659"/>
      <c r="B33" s="3652"/>
      <c r="C33" s="3015" t="s">
        <v>2484</v>
      </c>
      <c r="D33" s="3016"/>
      <c r="E33" s="3017">
        <v>0.8</v>
      </c>
      <c r="F33" s="3014" t="s">
        <v>2485</v>
      </c>
      <c r="G33" s="983"/>
    </row>
    <row r="34" spans="1:7">
      <c r="A34" s="3659"/>
      <c r="B34" s="3652"/>
      <c r="C34" s="3015" t="s">
        <v>2486</v>
      </c>
      <c r="D34" s="3016"/>
      <c r="E34" s="3017">
        <v>0.6</v>
      </c>
      <c r="F34" s="3014" t="s">
        <v>2487</v>
      </c>
      <c r="G34" s="983"/>
    </row>
    <row r="35" spans="1:7">
      <c r="A35" s="3659"/>
      <c r="B35" s="3652"/>
      <c r="C35" s="3015" t="s">
        <v>2488</v>
      </c>
      <c r="D35" s="3016"/>
      <c r="E35" s="3017">
        <v>0.2</v>
      </c>
      <c r="F35" s="3014" t="s">
        <v>2489</v>
      </c>
      <c r="G35" s="983"/>
    </row>
    <row r="36" spans="1:7">
      <c r="A36" s="3659"/>
      <c r="B36" s="3652"/>
      <c r="C36" s="3015" t="s">
        <v>2490</v>
      </c>
      <c r="D36" s="3016"/>
      <c r="E36" s="3017">
        <v>0.2</v>
      </c>
      <c r="F36" s="3014" t="s">
        <v>2491</v>
      </c>
      <c r="G36" s="983"/>
    </row>
    <row r="37" spans="1:7">
      <c r="A37" s="3659"/>
      <c r="B37" s="3650" t="s">
        <v>2492</v>
      </c>
      <c r="C37" s="3015" t="s">
        <v>2493</v>
      </c>
      <c r="D37" s="3016"/>
      <c r="E37" s="3017">
        <v>0.6</v>
      </c>
      <c r="F37" s="3014" t="s">
        <v>2494</v>
      </c>
      <c r="G37" s="983"/>
    </row>
    <row r="38" spans="1:7">
      <c r="A38" s="3659"/>
      <c r="B38" s="3652"/>
      <c r="C38" s="3015" t="s">
        <v>2495</v>
      </c>
      <c r="D38" s="3016"/>
      <c r="E38" s="3017">
        <v>0.6</v>
      </c>
      <c r="F38" s="3014" t="s">
        <v>2496</v>
      </c>
      <c r="G38" s="983"/>
    </row>
    <row r="39" spans="1:7" ht="14.25" thickBot="1">
      <c r="A39" s="3660"/>
      <c r="B39" s="3657"/>
      <c r="C39" s="3018" t="s">
        <v>2497</v>
      </c>
      <c r="D39" s="3019"/>
      <c r="E39" s="3020">
        <v>0.6</v>
      </c>
      <c r="F39" s="3014" t="s">
        <v>2498</v>
      </c>
      <c r="G39" s="983"/>
    </row>
    <row r="40" spans="1:7" ht="14.25" thickBot="1">
      <c r="A40" s="3021" t="s">
        <v>2449</v>
      </c>
      <c r="B40" s="3022" t="s">
        <v>2449</v>
      </c>
      <c r="C40" s="3023" t="s">
        <v>2499</v>
      </c>
      <c r="D40" s="3024"/>
      <c r="E40" s="3025">
        <v>1</v>
      </c>
      <c r="F40" s="3014" t="s">
        <v>2500</v>
      </c>
      <c r="G40" s="983"/>
    </row>
    <row r="41" spans="1:7">
      <c r="A41" s="3653" t="s">
        <v>2450</v>
      </c>
      <c r="B41" s="3656" t="s">
        <v>2501</v>
      </c>
      <c r="C41" s="3011" t="s">
        <v>2502</v>
      </c>
      <c r="D41" s="3012"/>
      <c r="E41" s="3013">
        <v>1</v>
      </c>
      <c r="F41" s="3014" t="s">
        <v>2503</v>
      </c>
      <c r="G41" s="983"/>
    </row>
    <row r="42" spans="1:7">
      <c r="A42" s="3654"/>
      <c r="B42" s="3652"/>
      <c r="C42" s="3015" t="s">
        <v>2504</v>
      </c>
      <c r="D42" s="3016"/>
      <c r="E42" s="3017">
        <v>1</v>
      </c>
      <c r="F42" s="3014" t="s">
        <v>2505</v>
      </c>
      <c r="G42" s="983"/>
    </row>
    <row r="43" spans="1:7">
      <c r="A43" s="3654"/>
      <c r="B43" s="3651"/>
      <c r="C43" s="3015" t="s">
        <v>2506</v>
      </c>
      <c r="D43" s="3016"/>
      <c r="E43" s="3017">
        <v>1.5</v>
      </c>
      <c r="F43" s="3014" t="s">
        <v>2507</v>
      </c>
      <c r="G43" s="983"/>
    </row>
    <row r="44" spans="1:7">
      <c r="A44" s="3654"/>
      <c r="B44" s="3026" t="s">
        <v>2452</v>
      </c>
      <c r="C44" s="3015" t="s">
        <v>2451</v>
      </c>
      <c r="D44" s="3016"/>
      <c r="E44" s="3017">
        <v>2</v>
      </c>
      <c r="F44" s="3014" t="s">
        <v>2508</v>
      </c>
      <c r="G44" s="983"/>
    </row>
    <row r="45" spans="1:7">
      <c r="A45" s="3654"/>
      <c r="B45" s="3650" t="s">
        <v>2509</v>
      </c>
      <c r="C45" s="3015" t="s">
        <v>2510</v>
      </c>
      <c r="D45" s="3016"/>
      <c r="E45" s="3017">
        <v>1</v>
      </c>
      <c r="F45" s="3014" t="s">
        <v>2511</v>
      </c>
      <c r="G45" s="983"/>
    </row>
    <row r="46" spans="1:7">
      <c r="A46" s="3654"/>
      <c r="B46" s="3652"/>
      <c r="C46" s="3015" t="s">
        <v>2512</v>
      </c>
      <c r="D46" s="3016"/>
      <c r="E46" s="3017">
        <v>1</v>
      </c>
      <c r="F46" s="3014" t="s">
        <v>2513</v>
      </c>
      <c r="G46" s="983"/>
    </row>
    <row r="47" spans="1:7">
      <c r="A47" s="3654"/>
      <c r="B47" s="3652"/>
      <c r="C47" s="3015" t="s">
        <v>2514</v>
      </c>
      <c r="D47" s="3016"/>
      <c r="E47" s="3017">
        <v>1</v>
      </c>
      <c r="F47" s="3014" t="s">
        <v>2515</v>
      </c>
      <c r="G47" s="983"/>
    </row>
    <row r="48" spans="1:7">
      <c r="A48" s="3654"/>
      <c r="B48" s="3652"/>
      <c r="C48" s="3015" t="s">
        <v>2516</v>
      </c>
      <c r="D48" s="3016"/>
      <c r="E48" s="3017">
        <v>1</v>
      </c>
      <c r="F48" s="3014" t="s">
        <v>2517</v>
      </c>
      <c r="G48" s="983"/>
    </row>
    <row r="49" spans="1:9">
      <c r="A49" s="3654"/>
      <c r="B49" s="3652"/>
      <c r="C49" s="3015" t="s">
        <v>2518</v>
      </c>
      <c r="D49" s="3016"/>
      <c r="E49" s="3017">
        <v>1</v>
      </c>
      <c r="F49" s="3014" t="s">
        <v>2519</v>
      </c>
      <c r="G49" s="983"/>
    </row>
    <row r="50" spans="1:9">
      <c r="A50" s="3654"/>
      <c r="B50" s="3652"/>
      <c r="C50" s="3015" t="s">
        <v>2520</v>
      </c>
      <c r="D50" s="3016"/>
      <c r="E50" s="3017">
        <v>1</v>
      </c>
      <c r="F50" s="3014" t="s">
        <v>2521</v>
      </c>
      <c r="G50" s="983"/>
    </row>
    <row r="51" spans="1:9" ht="14.25" thickBot="1">
      <c r="A51" s="3655"/>
      <c r="B51" s="3657"/>
      <c r="C51" s="3018" t="s">
        <v>2522</v>
      </c>
      <c r="D51" s="3019"/>
      <c r="E51" s="3020">
        <v>1</v>
      </c>
      <c r="F51" s="3014" t="s">
        <v>2523</v>
      </c>
      <c r="G51" s="983"/>
    </row>
    <row r="52" spans="1:9">
      <c r="A52" s="1327"/>
      <c r="B52" s="1327"/>
      <c r="C52" s="1327"/>
      <c r="D52" s="1327"/>
      <c r="E52" s="1327"/>
      <c r="F52" s="982"/>
      <c r="G52" s="982"/>
    </row>
    <row r="54" spans="1:9">
      <c r="A54" s="984"/>
      <c r="B54" s="959" t="s">
        <v>1162</v>
      </c>
      <c r="C54" s="959" t="s">
        <v>1162</v>
      </c>
      <c r="D54" s="959" t="s">
        <v>1162</v>
      </c>
      <c r="E54" s="998" t="s">
        <v>1162</v>
      </c>
      <c r="F54" s="998" t="s">
        <v>1163</v>
      </c>
      <c r="G54" s="998" t="s">
        <v>1162</v>
      </c>
      <c r="I54" s="957"/>
    </row>
    <row r="55" spans="1:9">
      <c r="A55" s="985"/>
      <c r="B55" s="998" t="s">
        <v>929</v>
      </c>
      <c r="C55" s="998" t="s">
        <v>929</v>
      </c>
      <c r="D55" s="998" t="s">
        <v>929</v>
      </c>
      <c r="E55" s="959" t="s">
        <v>951</v>
      </c>
      <c r="F55" s="959" t="s">
        <v>1158</v>
      </c>
      <c r="G55" s="959" t="s">
        <v>1164</v>
      </c>
      <c r="I55" s="957"/>
    </row>
    <row r="56" spans="1:9">
      <c r="A56" s="986"/>
      <c r="B56" s="959">
        <v>1</v>
      </c>
      <c r="C56" s="959">
        <v>2</v>
      </c>
      <c r="D56" s="959">
        <v>3</v>
      </c>
      <c r="E56" s="980" t="s">
        <v>2772</v>
      </c>
      <c r="F56" s="980" t="s">
        <v>2772</v>
      </c>
      <c r="G56" s="980" t="s">
        <v>2772</v>
      </c>
      <c r="I56" s="957"/>
    </row>
    <row r="57" spans="1:9">
      <c r="A57" s="997" t="s">
        <v>836</v>
      </c>
      <c r="B57" s="3004">
        <v>0.7</v>
      </c>
      <c r="C57" s="3004">
        <v>0.4</v>
      </c>
      <c r="D57" s="3004">
        <v>0.3</v>
      </c>
      <c r="E57" s="3010">
        <v>0.3</v>
      </c>
      <c r="F57" s="3004">
        <v>0.3</v>
      </c>
      <c r="G57" s="3004">
        <v>0.2</v>
      </c>
      <c r="I57" s="957"/>
    </row>
    <row r="58" spans="1:9">
      <c r="A58" s="997" t="s">
        <v>837</v>
      </c>
      <c r="B58" s="3004">
        <v>0.7</v>
      </c>
      <c r="C58" s="3004">
        <v>0.4</v>
      </c>
      <c r="D58" s="3004">
        <v>0.3</v>
      </c>
      <c r="E58" s="3004">
        <v>0.3</v>
      </c>
      <c r="F58" s="3004">
        <v>0.3</v>
      </c>
      <c r="G58" s="3004">
        <v>0.2</v>
      </c>
      <c r="I58" s="957"/>
    </row>
    <row r="59" spans="1:9">
      <c r="A59" s="997" t="s">
        <v>838</v>
      </c>
      <c r="B59" s="3004">
        <v>0.6</v>
      </c>
      <c r="C59" s="3004">
        <v>0.3</v>
      </c>
      <c r="D59" s="3004">
        <v>0.25</v>
      </c>
      <c r="E59" s="3004">
        <v>0.25</v>
      </c>
      <c r="F59" s="3004">
        <v>0.25</v>
      </c>
      <c r="G59" s="3004">
        <v>0.15</v>
      </c>
      <c r="I59" s="957"/>
    </row>
    <row r="60" spans="1:9">
      <c r="A60" s="997" t="s">
        <v>839</v>
      </c>
      <c r="B60" s="3004">
        <v>0.6</v>
      </c>
      <c r="C60" s="3004">
        <v>0.3</v>
      </c>
      <c r="D60" s="3004">
        <v>0.25</v>
      </c>
      <c r="E60" s="3004">
        <v>0.25</v>
      </c>
      <c r="F60" s="3004">
        <v>0.25</v>
      </c>
      <c r="G60" s="3004">
        <v>0.15</v>
      </c>
      <c r="I60" s="957"/>
    </row>
    <row r="61" spans="1:9" s="973" customFormat="1">
      <c r="A61" s="997" t="s">
        <v>840</v>
      </c>
      <c r="B61" s="3004">
        <v>0.6</v>
      </c>
      <c r="C61" s="3004">
        <v>0.3</v>
      </c>
      <c r="D61" s="3004">
        <v>0.25</v>
      </c>
      <c r="E61" s="3004">
        <v>0.25</v>
      </c>
      <c r="F61" s="3004">
        <v>0.25</v>
      </c>
      <c r="G61" s="3004">
        <v>0.15</v>
      </c>
    </row>
    <row r="62" spans="1:9" s="973" customFormat="1">
      <c r="A62" s="997" t="s">
        <v>841</v>
      </c>
      <c r="B62" s="3004">
        <v>0.6</v>
      </c>
      <c r="C62" s="3004">
        <v>0.3</v>
      </c>
      <c r="D62" s="3004">
        <v>0.25</v>
      </c>
      <c r="E62" s="3004">
        <v>0.25</v>
      </c>
      <c r="F62" s="3004">
        <v>0.25</v>
      </c>
      <c r="G62" s="3004">
        <v>0.15</v>
      </c>
    </row>
    <row r="63" spans="1:9" s="973" customFormat="1">
      <c r="A63" s="997" t="s">
        <v>842</v>
      </c>
      <c r="B63" s="3004">
        <v>0.6</v>
      </c>
      <c r="C63" s="3004">
        <v>0.3</v>
      </c>
      <c r="D63" s="3004">
        <v>0.25</v>
      </c>
      <c r="E63" s="3004">
        <v>0.25</v>
      </c>
      <c r="F63" s="3004">
        <v>0.25</v>
      </c>
      <c r="G63" s="3004">
        <v>0.15</v>
      </c>
    </row>
    <row r="64" spans="1:9" s="973" customFormat="1">
      <c r="A64" s="997" t="s">
        <v>843</v>
      </c>
      <c r="B64" s="3004">
        <v>0.5</v>
      </c>
      <c r="C64" s="3004">
        <v>0.2</v>
      </c>
      <c r="D64" s="3004">
        <v>0.2</v>
      </c>
      <c r="E64" s="3004">
        <v>0.2</v>
      </c>
      <c r="F64" s="3004">
        <v>0.2</v>
      </c>
      <c r="G64" s="3004">
        <v>0.1</v>
      </c>
    </row>
    <row r="65" spans="1:8" s="973" customFormat="1">
      <c r="A65" s="997" t="s">
        <v>844</v>
      </c>
      <c r="B65" s="3004">
        <v>0.5</v>
      </c>
      <c r="C65" s="3004">
        <v>0.2</v>
      </c>
      <c r="D65" s="3004">
        <v>0.2</v>
      </c>
      <c r="E65" s="3004">
        <v>0.2</v>
      </c>
      <c r="F65" s="3004">
        <v>0.2</v>
      </c>
      <c r="G65" s="3004">
        <v>0.1</v>
      </c>
    </row>
    <row r="66" spans="1:8" s="973" customFormat="1">
      <c r="A66" s="997" t="s">
        <v>845</v>
      </c>
      <c r="B66" s="3004">
        <v>0.5</v>
      </c>
      <c r="C66" s="3004">
        <v>0.2</v>
      </c>
      <c r="D66" s="3004">
        <v>0.2</v>
      </c>
      <c r="E66" s="3004">
        <v>0.2</v>
      </c>
      <c r="F66" s="3004">
        <v>0.2</v>
      </c>
      <c r="G66" s="3004">
        <v>0.1</v>
      </c>
    </row>
    <row r="67" spans="1:8" s="973" customFormat="1">
      <c r="A67" s="997" t="s">
        <v>846</v>
      </c>
      <c r="B67" s="3004">
        <v>0.5</v>
      </c>
      <c r="C67" s="3004">
        <v>0.2</v>
      </c>
      <c r="D67" s="3004">
        <v>0.2</v>
      </c>
      <c r="E67" s="3004">
        <v>0.2</v>
      </c>
      <c r="F67" s="3004">
        <v>0.2</v>
      </c>
      <c r="G67" s="3004">
        <v>0.1</v>
      </c>
    </row>
    <row r="68" spans="1:8" s="973" customFormat="1">
      <c r="A68" s="997" t="s">
        <v>847</v>
      </c>
      <c r="B68" s="3004">
        <v>0.5</v>
      </c>
      <c r="C68" s="3004">
        <v>0.2</v>
      </c>
      <c r="D68" s="3004">
        <v>0.2</v>
      </c>
      <c r="E68" s="3004">
        <v>0.2</v>
      </c>
      <c r="F68" s="3004">
        <v>0.2</v>
      </c>
      <c r="G68" s="3004">
        <v>0.1</v>
      </c>
    </row>
    <row r="70" spans="1:8" s="973" customFormat="1">
      <c r="A70" s="983"/>
      <c r="B70" s="978"/>
      <c r="C70" s="978"/>
      <c r="D70" s="978" t="s">
        <v>1165</v>
      </c>
      <c r="E70" s="978"/>
      <c r="F70" s="978"/>
    </row>
    <row r="71" spans="1:8" s="973" customFormat="1">
      <c r="A71" s="999" t="s">
        <v>1166</v>
      </c>
      <c r="B71" s="999" t="s">
        <v>1167</v>
      </c>
      <c r="C71" s="999" t="s">
        <v>1168</v>
      </c>
      <c r="D71" s="999" t="s">
        <v>1169</v>
      </c>
      <c r="E71" s="999" t="s">
        <v>1170</v>
      </c>
      <c r="F71" s="999" t="s">
        <v>1171</v>
      </c>
    </row>
    <row r="72" spans="1:8" s="973" customFormat="1">
      <c r="A72" s="999"/>
      <c r="B72" s="999"/>
      <c r="C72" s="999" t="s">
        <v>2524</v>
      </c>
      <c r="D72" s="999"/>
      <c r="E72" s="987" t="s">
        <v>1159</v>
      </c>
      <c r="F72" s="999" t="s">
        <v>1159</v>
      </c>
    </row>
    <row r="73" spans="1:8" s="973" customFormat="1">
      <c r="A73" s="3026">
        <v>1</v>
      </c>
      <c r="B73" s="3650" t="s">
        <v>2525</v>
      </c>
      <c r="C73" s="3004" t="s">
        <v>2526</v>
      </c>
      <c r="D73" s="3004" t="s">
        <v>2527</v>
      </c>
      <c r="E73" s="3027">
        <v>0.2</v>
      </c>
      <c r="F73" s="3026">
        <v>25</v>
      </c>
      <c r="H73" s="973">
        <f>SUMIF(C71:C139,基准地价!C8,E71:E139)</f>
        <v>0</v>
      </c>
    </row>
    <row r="74" spans="1:8" s="973" customFormat="1" ht="24">
      <c r="A74" s="3026">
        <v>2</v>
      </c>
      <c r="B74" s="3652"/>
      <c r="C74" s="3004" t="s">
        <v>2528</v>
      </c>
      <c r="D74" s="3004" t="s">
        <v>2529</v>
      </c>
      <c r="E74" s="3027">
        <v>0.2</v>
      </c>
      <c r="F74" s="3026">
        <v>25</v>
      </c>
    </row>
    <row r="75" spans="1:8" s="973" customFormat="1" ht="24">
      <c r="A75" s="3026">
        <v>3</v>
      </c>
      <c r="B75" s="3652"/>
      <c r="C75" s="3004" t="s">
        <v>2530</v>
      </c>
      <c r="D75" s="3004" t="s">
        <v>2531</v>
      </c>
      <c r="E75" s="3027">
        <v>0.2</v>
      </c>
      <c r="F75" s="3026">
        <v>25</v>
      </c>
    </row>
    <row r="76" spans="1:8" s="973" customFormat="1">
      <c r="A76" s="3026">
        <v>4</v>
      </c>
      <c r="B76" s="3652"/>
      <c r="C76" s="3004" t="s">
        <v>2532</v>
      </c>
      <c r="D76" s="3004" t="s">
        <v>2533</v>
      </c>
      <c r="E76" s="3027">
        <v>0.15</v>
      </c>
      <c r="F76" s="3026">
        <v>20</v>
      </c>
    </row>
    <row r="77" spans="1:8" s="973" customFormat="1" ht="24">
      <c r="A77" s="3026">
        <v>5</v>
      </c>
      <c r="B77" s="3652"/>
      <c r="C77" s="3004" t="s">
        <v>2534</v>
      </c>
      <c r="D77" s="3004" t="s">
        <v>2535</v>
      </c>
      <c r="E77" s="3027">
        <v>0.15</v>
      </c>
      <c r="F77" s="3026">
        <v>20</v>
      </c>
    </row>
    <row r="78" spans="1:8" s="973" customFormat="1" ht="24">
      <c r="A78" s="3026">
        <v>6</v>
      </c>
      <c r="B78" s="3652"/>
      <c r="C78" s="3004" t="s">
        <v>2536</v>
      </c>
      <c r="D78" s="3004" t="s">
        <v>2537</v>
      </c>
      <c r="E78" s="3027">
        <v>0.15</v>
      </c>
      <c r="F78" s="3026">
        <v>20</v>
      </c>
    </row>
    <row r="79" spans="1:8" s="973" customFormat="1" ht="24">
      <c r="A79" s="3026">
        <v>7</v>
      </c>
      <c r="B79" s="3652"/>
      <c r="C79" s="3004" t="s">
        <v>2538</v>
      </c>
      <c r="D79" s="3004" t="s">
        <v>2539</v>
      </c>
      <c r="E79" s="3027">
        <v>0.15</v>
      </c>
      <c r="F79" s="3026">
        <v>20</v>
      </c>
    </row>
    <row r="80" spans="1:8" s="973" customFormat="1" ht="24">
      <c r="A80" s="3026">
        <v>8</v>
      </c>
      <c r="B80" s="3652"/>
      <c r="C80" s="3004" t="s">
        <v>2540</v>
      </c>
      <c r="D80" s="3004" t="s">
        <v>2541</v>
      </c>
      <c r="E80" s="3027">
        <v>0.1</v>
      </c>
      <c r="F80" s="3026">
        <v>15</v>
      </c>
    </row>
    <row r="81" spans="1:6" s="973" customFormat="1" ht="24">
      <c r="A81" s="3026">
        <v>9</v>
      </c>
      <c r="B81" s="3652"/>
      <c r="C81" s="3004" t="s">
        <v>2542</v>
      </c>
      <c r="D81" s="3004" t="s">
        <v>2543</v>
      </c>
      <c r="E81" s="3027">
        <v>0.1</v>
      </c>
      <c r="F81" s="3026">
        <v>15</v>
      </c>
    </row>
    <row r="82" spans="1:6" s="973" customFormat="1" ht="24">
      <c r="A82" s="3026">
        <v>10</v>
      </c>
      <c r="B82" s="3652"/>
      <c r="C82" s="3004" t="s">
        <v>2544</v>
      </c>
      <c r="D82" s="3004" t="s">
        <v>2545</v>
      </c>
      <c r="E82" s="3027">
        <v>0.1</v>
      </c>
      <c r="F82" s="3026">
        <v>15</v>
      </c>
    </row>
    <row r="83" spans="1:6" s="973" customFormat="1" ht="24">
      <c r="A83" s="3026">
        <v>11</v>
      </c>
      <c r="B83" s="3652"/>
      <c r="C83" s="3004" t="s">
        <v>2546</v>
      </c>
      <c r="D83" s="3004" t="s">
        <v>2547</v>
      </c>
      <c r="E83" s="3027">
        <v>0.1</v>
      </c>
      <c r="F83" s="3026">
        <v>15</v>
      </c>
    </row>
    <row r="84" spans="1:6" s="973" customFormat="1" ht="24">
      <c r="A84" s="3026">
        <v>12</v>
      </c>
      <c r="B84" s="3652"/>
      <c r="C84" s="3004" t="s">
        <v>2548</v>
      </c>
      <c r="D84" s="3004" t="s">
        <v>2549</v>
      </c>
      <c r="E84" s="3027">
        <v>0.1</v>
      </c>
      <c r="F84" s="3026">
        <v>15</v>
      </c>
    </row>
    <row r="85" spans="1:6" s="973" customFormat="1">
      <c r="A85" s="3026">
        <v>13</v>
      </c>
      <c r="B85" s="3652"/>
      <c r="C85" s="3004" t="s">
        <v>2550</v>
      </c>
      <c r="D85" s="3004" t="s">
        <v>2551</v>
      </c>
      <c r="E85" s="3027">
        <v>0.1</v>
      </c>
      <c r="F85" s="3026">
        <v>15</v>
      </c>
    </row>
    <row r="86" spans="1:6" s="973" customFormat="1">
      <c r="A86" s="3026">
        <v>14</v>
      </c>
      <c r="B86" s="3652"/>
      <c r="C86" s="3004" t="s">
        <v>2552</v>
      </c>
      <c r="D86" s="3004" t="s">
        <v>2553</v>
      </c>
      <c r="E86" s="3027">
        <v>0.1</v>
      </c>
      <c r="F86" s="3026">
        <v>15</v>
      </c>
    </row>
    <row r="87" spans="1:6" s="973" customFormat="1">
      <c r="A87" s="3026">
        <v>15</v>
      </c>
      <c r="B87" s="3652"/>
      <c r="C87" s="3004" t="s">
        <v>2554</v>
      </c>
      <c r="D87" s="3004" t="s">
        <v>2555</v>
      </c>
      <c r="E87" s="3027">
        <v>0.1</v>
      </c>
      <c r="F87" s="3026">
        <v>15</v>
      </c>
    </row>
    <row r="88" spans="1:6" s="973" customFormat="1" ht="24">
      <c r="A88" s="3026">
        <v>16</v>
      </c>
      <c r="B88" s="3652"/>
      <c r="C88" s="3004" t="s">
        <v>2556</v>
      </c>
      <c r="D88" s="3004" t="s">
        <v>2557</v>
      </c>
      <c r="E88" s="3027">
        <v>0.1</v>
      </c>
      <c r="F88" s="3026">
        <v>15</v>
      </c>
    </row>
    <row r="89" spans="1:6" s="973" customFormat="1" ht="24">
      <c r="A89" s="3026">
        <v>17</v>
      </c>
      <c r="B89" s="3651"/>
      <c r="C89" s="3004" t="s">
        <v>2558</v>
      </c>
      <c r="D89" s="3004" t="s">
        <v>2559</v>
      </c>
      <c r="E89" s="3027">
        <v>0.1</v>
      </c>
      <c r="F89" s="3026">
        <v>15</v>
      </c>
    </row>
    <row r="90" spans="1:6" s="973" customFormat="1">
      <c r="A90" s="3026">
        <v>18</v>
      </c>
      <c r="B90" s="3650" t="s">
        <v>2560</v>
      </c>
      <c r="C90" s="3004" t="s">
        <v>2561</v>
      </c>
      <c r="D90" s="3004" t="s">
        <v>2562</v>
      </c>
      <c r="E90" s="3027">
        <v>0.2</v>
      </c>
      <c r="F90" s="3026">
        <v>25</v>
      </c>
    </row>
    <row r="91" spans="1:6" s="973" customFormat="1" ht="24">
      <c r="A91" s="3026">
        <v>19</v>
      </c>
      <c r="B91" s="3652"/>
      <c r="C91" s="3004" t="s">
        <v>2563</v>
      </c>
      <c r="D91" s="3004" t="s">
        <v>2564</v>
      </c>
      <c r="E91" s="3027">
        <v>0.2</v>
      </c>
      <c r="F91" s="3026">
        <v>25</v>
      </c>
    </row>
    <row r="92" spans="1:6" s="973" customFormat="1">
      <c r="A92" s="3026">
        <v>20</v>
      </c>
      <c r="B92" s="3652"/>
      <c r="C92" s="3004" t="s">
        <v>2565</v>
      </c>
      <c r="D92" s="3004" t="s">
        <v>2566</v>
      </c>
      <c r="E92" s="3027">
        <v>0.15</v>
      </c>
      <c r="F92" s="3026">
        <v>20</v>
      </c>
    </row>
    <row r="93" spans="1:6" s="973" customFormat="1" ht="24">
      <c r="A93" s="3026">
        <v>21</v>
      </c>
      <c r="B93" s="3652"/>
      <c r="C93" s="3004" t="s">
        <v>2567</v>
      </c>
      <c r="D93" s="3004" t="s">
        <v>2568</v>
      </c>
      <c r="E93" s="3027">
        <v>0.15</v>
      </c>
      <c r="F93" s="3026">
        <v>20</v>
      </c>
    </row>
    <row r="94" spans="1:6" s="973" customFormat="1" ht="24">
      <c r="A94" s="3026">
        <v>22</v>
      </c>
      <c r="B94" s="3652"/>
      <c r="C94" s="3004" t="s">
        <v>2569</v>
      </c>
      <c r="D94" s="3004" t="s">
        <v>2570</v>
      </c>
      <c r="E94" s="3027">
        <v>0.15</v>
      </c>
      <c r="F94" s="3026">
        <v>20</v>
      </c>
    </row>
    <row r="95" spans="1:6" s="973" customFormat="1" ht="36">
      <c r="A95" s="3026">
        <v>23</v>
      </c>
      <c r="B95" s="3652"/>
      <c r="C95" s="3004" t="s">
        <v>2571</v>
      </c>
      <c r="D95" s="3004" t="s">
        <v>2572</v>
      </c>
      <c r="E95" s="3027">
        <v>0.15</v>
      </c>
      <c r="F95" s="3026">
        <v>20</v>
      </c>
    </row>
    <row r="96" spans="1:6" s="973" customFormat="1">
      <c r="A96" s="3026">
        <v>24</v>
      </c>
      <c r="B96" s="3652"/>
      <c r="C96" s="3004" t="s">
        <v>2573</v>
      </c>
      <c r="D96" s="3004" t="s">
        <v>2574</v>
      </c>
      <c r="E96" s="3027">
        <v>0.1</v>
      </c>
      <c r="F96" s="3026">
        <v>15</v>
      </c>
    </row>
    <row r="97" spans="1:6" s="973" customFormat="1" ht="24">
      <c r="A97" s="3026">
        <v>25</v>
      </c>
      <c r="B97" s="3652"/>
      <c r="C97" s="3004" t="s">
        <v>2575</v>
      </c>
      <c r="D97" s="3004" t="s">
        <v>2576</v>
      </c>
      <c r="E97" s="3027">
        <v>0.1</v>
      </c>
      <c r="F97" s="3026">
        <v>15</v>
      </c>
    </row>
    <row r="98" spans="1:6" s="973" customFormat="1" ht="24">
      <c r="A98" s="3026">
        <v>26</v>
      </c>
      <c r="B98" s="3652"/>
      <c r="C98" s="3004" t="s">
        <v>2577</v>
      </c>
      <c r="D98" s="3004" t="s">
        <v>2578</v>
      </c>
      <c r="E98" s="3027">
        <v>0.1</v>
      </c>
      <c r="F98" s="3026">
        <v>15</v>
      </c>
    </row>
    <row r="99" spans="1:6" s="973" customFormat="1" ht="24">
      <c r="A99" s="3026">
        <v>27</v>
      </c>
      <c r="B99" s="3652"/>
      <c r="C99" s="3004" t="s">
        <v>2579</v>
      </c>
      <c r="D99" s="3004" t="s">
        <v>2580</v>
      </c>
      <c r="E99" s="3027">
        <v>0.1</v>
      </c>
      <c r="F99" s="3026">
        <v>15</v>
      </c>
    </row>
    <row r="100" spans="1:6" s="973" customFormat="1" ht="24">
      <c r="A100" s="3026">
        <v>28</v>
      </c>
      <c r="B100" s="3652"/>
      <c r="C100" s="3004" t="s">
        <v>2581</v>
      </c>
      <c r="D100" s="3004" t="s">
        <v>2582</v>
      </c>
      <c r="E100" s="3027">
        <v>0.1</v>
      </c>
      <c r="F100" s="3026">
        <v>15</v>
      </c>
    </row>
    <row r="101" spans="1:6" s="973" customFormat="1" ht="24">
      <c r="A101" s="3026">
        <v>29</v>
      </c>
      <c r="B101" s="3652"/>
      <c r="C101" s="3004" t="s">
        <v>2583</v>
      </c>
      <c r="D101" s="3004" t="s">
        <v>2584</v>
      </c>
      <c r="E101" s="3027">
        <v>0.1</v>
      </c>
      <c r="F101" s="3026">
        <v>15</v>
      </c>
    </row>
    <row r="102" spans="1:6" s="973" customFormat="1" ht="24">
      <c r="A102" s="3026">
        <v>30</v>
      </c>
      <c r="B102" s="3652"/>
      <c r="C102" s="3004" t="s">
        <v>2585</v>
      </c>
      <c r="D102" s="3004" t="s">
        <v>2586</v>
      </c>
      <c r="E102" s="3027">
        <v>0.1</v>
      </c>
      <c r="F102" s="3026">
        <v>15</v>
      </c>
    </row>
    <row r="103" spans="1:6" s="973" customFormat="1" ht="24">
      <c r="A103" s="3026">
        <v>31</v>
      </c>
      <c r="B103" s="3652"/>
      <c r="C103" s="3004" t="s">
        <v>2587</v>
      </c>
      <c r="D103" s="3004" t="s">
        <v>2588</v>
      </c>
      <c r="E103" s="3027">
        <v>0.1</v>
      </c>
      <c r="F103" s="3026">
        <v>15</v>
      </c>
    </row>
    <row r="104" spans="1:6" s="973" customFormat="1" ht="24">
      <c r="A104" s="3026">
        <v>32</v>
      </c>
      <c r="B104" s="3652"/>
      <c r="C104" s="3004" t="s">
        <v>2589</v>
      </c>
      <c r="D104" s="3004" t="s">
        <v>2590</v>
      </c>
      <c r="E104" s="3027">
        <v>0.1</v>
      </c>
      <c r="F104" s="3026">
        <v>15</v>
      </c>
    </row>
    <row r="105" spans="1:6" s="973" customFormat="1" ht="24">
      <c r="A105" s="3026">
        <v>33</v>
      </c>
      <c r="B105" s="3652"/>
      <c r="C105" s="3004" t="s">
        <v>2591</v>
      </c>
      <c r="D105" s="3004" t="s">
        <v>2592</v>
      </c>
      <c r="E105" s="3027">
        <v>0.1</v>
      </c>
      <c r="F105" s="3026">
        <v>15</v>
      </c>
    </row>
    <row r="106" spans="1:6" s="973" customFormat="1" ht="24">
      <c r="A106" s="3026">
        <v>34</v>
      </c>
      <c r="B106" s="3651"/>
      <c r="C106" s="3004" t="s">
        <v>2593</v>
      </c>
      <c r="D106" s="3004" t="s">
        <v>2594</v>
      </c>
      <c r="E106" s="3027">
        <v>0.1</v>
      </c>
      <c r="F106" s="3026">
        <v>15</v>
      </c>
    </row>
    <row r="107" spans="1:6" s="973" customFormat="1" ht="24">
      <c r="A107" s="3026">
        <v>35</v>
      </c>
      <c r="B107" s="3650" t="s">
        <v>2595</v>
      </c>
      <c r="C107" s="3026" t="s">
        <v>2596</v>
      </c>
      <c r="D107" s="3004" t="s">
        <v>2597</v>
      </c>
      <c r="E107" s="3027">
        <v>0.15</v>
      </c>
      <c r="F107" s="3026">
        <v>20</v>
      </c>
    </row>
    <row r="108" spans="1:6" s="973" customFormat="1" ht="24">
      <c r="A108" s="3026">
        <v>36</v>
      </c>
      <c r="B108" s="3652"/>
      <c r="C108" s="3026" t="s">
        <v>2598</v>
      </c>
      <c r="D108" s="3004" t="s">
        <v>2599</v>
      </c>
      <c r="E108" s="3027">
        <v>0.15</v>
      </c>
      <c r="F108" s="3026">
        <v>20</v>
      </c>
    </row>
    <row r="109" spans="1:6" s="973" customFormat="1" ht="24">
      <c r="A109" s="3026">
        <v>37</v>
      </c>
      <c r="B109" s="3652"/>
      <c r="C109" s="3026" t="s">
        <v>2600</v>
      </c>
      <c r="D109" s="3004" t="s">
        <v>2601</v>
      </c>
      <c r="E109" s="3027">
        <v>0.15</v>
      </c>
      <c r="F109" s="3026">
        <v>20</v>
      </c>
    </row>
    <row r="110" spans="1:6" s="973" customFormat="1">
      <c r="A110" s="3026">
        <v>38</v>
      </c>
      <c r="B110" s="3652"/>
      <c r="C110" s="3026" t="s">
        <v>2602</v>
      </c>
      <c r="D110" s="3004" t="s">
        <v>2603</v>
      </c>
      <c r="E110" s="3027">
        <v>0.1</v>
      </c>
      <c r="F110" s="3026">
        <v>15</v>
      </c>
    </row>
    <row r="111" spans="1:6" s="973" customFormat="1" ht="24">
      <c r="A111" s="3026">
        <v>39</v>
      </c>
      <c r="B111" s="3652"/>
      <c r="C111" s="3026" t="s">
        <v>2604</v>
      </c>
      <c r="D111" s="3004" t="s">
        <v>2605</v>
      </c>
      <c r="E111" s="3027">
        <v>0.1</v>
      </c>
      <c r="F111" s="3026">
        <v>15</v>
      </c>
    </row>
    <row r="112" spans="1:6" s="973" customFormat="1" ht="24">
      <c r="A112" s="3026">
        <v>40</v>
      </c>
      <c r="B112" s="3651"/>
      <c r="C112" s="3026" t="s">
        <v>2606</v>
      </c>
      <c r="D112" s="3004" t="s">
        <v>2607</v>
      </c>
      <c r="E112" s="3027">
        <v>0.1</v>
      </c>
      <c r="F112" s="3026">
        <v>15</v>
      </c>
    </row>
    <row r="113" spans="1:6" s="973" customFormat="1" ht="24">
      <c r="A113" s="3026">
        <v>41</v>
      </c>
      <c r="B113" s="3649" t="s">
        <v>2608</v>
      </c>
      <c r="C113" s="3026" t="s">
        <v>2609</v>
      </c>
      <c r="D113" s="3004" t="s">
        <v>2610</v>
      </c>
      <c r="E113" s="3027">
        <v>0.1</v>
      </c>
      <c r="F113" s="3026">
        <v>15</v>
      </c>
    </row>
    <row r="114" spans="1:6" s="973" customFormat="1">
      <c r="A114" s="3026">
        <v>42</v>
      </c>
      <c r="B114" s="3649"/>
      <c r="C114" s="3026" t="s">
        <v>2611</v>
      </c>
      <c r="D114" s="3004" t="s">
        <v>2612</v>
      </c>
      <c r="E114" s="3027">
        <v>0.1</v>
      </c>
      <c r="F114" s="3026">
        <v>15</v>
      </c>
    </row>
    <row r="115" spans="1:6" s="973" customFormat="1" ht="24">
      <c r="A115" s="3026">
        <v>43</v>
      </c>
      <c r="B115" s="3649"/>
      <c r="C115" s="3026" t="s">
        <v>2613</v>
      </c>
      <c r="D115" s="3004" t="s">
        <v>2614</v>
      </c>
      <c r="E115" s="3027">
        <v>0.1</v>
      </c>
      <c r="F115" s="3026">
        <v>15</v>
      </c>
    </row>
    <row r="116" spans="1:6" s="973" customFormat="1" ht="24">
      <c r="A116" s="3026">
        <v>44</v>
      </c>
      <c r="B116" s="3650" t="s">
        <v>2615</v>
      </c>
      <c r="C116" s="3026" t="s">
        <v>2616</v>
      </c>
      <c r="D116" s="3004" t="s">
        <v>2617</v>
      </c>
      <c r="E116" s="3027">
        <v>0.1</v>
      </c>
      <c r="F116" s="3026">
        <v>15</v>
      </c>
    </row>
    <row r="117" spans="1:6" s="973" customFormat="1" ht="24">
      <c r="A117" s="3026">
        <v>45</v>
      </c>
      <c r="B117" s="3651"/>
      <c r="C117" s="3004" t="s">
        <v>2618</v>
      </c>
      <c r="D117" s="3004" t="s">
        <v>2619</v>
      </c>
      <c r="E117" s="3027">
        <v>0.1</v>
      </c>
      <c r="F117" s="3026">
        <v>15</v>
      </c>
    </row>
    <row r="118" spans="1:6" s="973" customFormat="1" ht="24">
      <c r="A118" s="3026">
        <v>46</v>
      </c>
      <c r="B118" s="3650" t="s">
        <v>2620</v>
      </c>
      <c r="C118" s="3026" t="s">
        <v>2621</v>
      </c>
      <c r="D118" s="3004" t="s">
        <v>2622</v>
      </c>
      <c r="E118" s="3027">
        <v>0.1</v>
      </c>
      <c r="F118" s="3026">
        <v>15</v>
      </c>
    </row>
    <row r="119" spans="1:6" s="973" customFormat="1" ht="24">
      <c r="A119" s="3026">
        <v>47</v>
      </c>
      <c r="B119" s="3651"/>
      <c r="C119" s="3026" t="s">
        <v>2623</v>
      </c>
      <c r="D119" s="3004" t="s">
        <v>2624</v>
      </c>
      <c r="E119" s="3027">
        <v>0.1</v>
      </c>
      <c r="F119" s="3026">
        <v>15</v>
      </c>
    </row>
    <row r="120" spans="1:6" s="973" customFormat="1" ht="24">
      <c r="A120" s="3026">
        <v>48</v>
      </c>
      <c r="B120" s="3650" t="s">
        <v>2625</v>
      </c>
      <c r="C120" s="3026" t="s">
        <v>2626</v>
      </c>
      <c r="D120" s="3004" t="s">
        <v>2627</v>
      </c>
      <c r="E120" s="3027">
        <v>0.1</v>
      </c>
      <c r="F120" s="3026">
        <v>15</v>
      </c>
    </row>
    <row r="121" spans="1:6" s="973" customFormat="1">
      <c r="A121" s="3026">
        <v>49</v>
      </c>
      <c r="B121" s="3651"/>
      <c r="C121" s="3026" t="s">
        <v>2628</v>
      </c>
      <c r="D121" s="3004" t="s">
        <v>2629</v>
      </c>
      <c r="E121" s="3027">
        <v>0.1</v>
      </c>
      <c r="F121" s="3026">
        <v>15</v>
      </c>
    </row>
    <row r="122" spans="1:6" s="973" customFormat="1" ht="24">
      <c r="A122" s="3026">
        <v>50</v>
      </c>
      <c r="B122" s="3649" t="s">
        <v>2630</v>
      </c>
      <c r="C122" s="3026" t="s">
        <v>2631</v>
      </c>
      <c r="D122" s="3004" t="s">
        <v>2632</v>
      </c>
      <c r="E122" s="3027">
        <v>0.1</v>
      </c>
      <c r="F122" s="3026">
        <v>15</v>
      </c>
    </row>
    <row r="123" spans="1:6" s="973" customFormat="1" ht="24">
      <c r="A123" s="3026">
        <v>51</v>
      </c>
      <c r="B123" s="3649"/>
      <c r="C123" s="3026" t="s">
        <v>2633</v>
      </c>
      <c r="D123" s="3004" t="s">
        <v>2634</v>
      </c>
      <c r="E123" s="3027">
        <v>0.1</v>
      </c>
      <c r="F123" s="3026">
        <v>15</v>
      </c>
    </row>
    <row r="124" spans="1:6" s="973" customFormat="1" ht="24">
      <c r="A124" s="3026">
        <v>52</v>
      </c>
      <c r="B124" s="3649" t="s">
        <v>2635</v>
      </c>
      <c r="C124" s="3026" t="s">
        <v>2636</v>
      </c>
      <c r="D124" s="3004" t="s">
        <v>2637</v>
      </c>
      <c r="E124" s="3027">
        <v>0.1</v>
      </c>
      <c r="F124" s="3026">
        <v>15</v>
      </c>
    </row>
    <row r="125" spans="1:6" s="973" customFormat="1" ht="24">
      <c r="A125" s="3026">
        <v>53</v>
      </c>
      <c r="B125" s="3649"/>
      <c r="C125" s="3026" t="s">
        <v>2638</v>
      </c>
      <c r="D125" s="3004" t="s">
        <v>2639</v>
      </c>
      <c r="E125" s="3027">
        <v>0.1</v>
      </c>
      <c r="F125" s="3026">
        <v>15</v>
      </c>
    </row>
    <row r="126" spans="1:6" ht="24">
      <c r="A126" s="3026">
        <v>54</v>
      </c>
      <c r="B126" s="3026" t="s">
        <v>2640</v>
      </c>
      <c r="C126" s="3026" t="s">
        <v>2641</v>
      </c>
      <c r="D126" s="3004" t="s">
        <v>2642</v>
      </c>
      <c r="E126" s="3027">
        <v>0.1</v>
      </c>
      <c r="F126" s="3026">
        <v>15</v>
      </c>
    </row>
    <row r="127" spans="1:6">
      <c r="A127" s="3026">
        <v>55</v>
      </c>
      <c r="B127" s="3649" t="s">
        <v>2643</v>
      </c>
      <c r="C127" s="3026" t="s">
        <v>2644</v>
      </c>
      <c r="D127" s="3004" t="s">
        <v>2645</v>
      </c>
      <c r="E127" s="3027">
        <v>0.1</v>
      </c>
      <c r="F127" s="3026">
        <v>15</v>
      </c>
    </row>
    <row r="128" spans="1:6">
      <c r="A128" s="3026">
        <v>56</v>
      </c>
      <c r="B128" s="3649"/>
      <c r="C128" s="3026" t="s">
        <v>2646</v>
      </c>
      <c r="D128" s="3004" t="s">
        <v>2647</v>
      </c>
      <c r="E128" s="3027">
        <v>0.1</v>
      </c>
      <c r="F128" s="3026">
        <v>15</v>
      </c>
    </row>
    <row r="129" spans="1:14" ht="24">
      <c r="A129" s="3026">
        <v>57</v>
      </c>
      <c r="B129" s="3649"/>
      <c r="C129" s="3026" t="s">
        <v>2648</v>
      </c>
      <c r="D129" s="3004" t="s">
        <v>2649</v>
      </c>
      <c r="E129" s="3027">
        <v>0.1</v>
      </c>
      <c r="F129" s="3026">
        <v>15</v>
      </c>
    </row>
    <row r="130" spans="1:14" ht="24">
      <c r="A130" s="3026">
        <v>58</v>
      </c>
      <c r="B130" s="3649" t="s">
        <v>2650</v>
      </c>
      <c r="C130" s="3026" t="s">
        <v>2651</v>
      </c>
      <c r="D130" s="3004" t="s">
        <v>2652</v>
      </c>
      <c r="E130" s="3027">
        <v>0.1</v>
      </c>
      <c r="F130" s="3026">
        <v>15</v>
      </c>
    </row>
    <row r="131" spans="1:14" ht="24">
      <c r="A131" s="3026">
        <v>59</v>
      </c>
      <c r="B131" s="3649"/>
      <c r="C131" s="3026" t="s">
        <v>2653</v>
      </c>
      <c r="D131" s="3004" t="s">
        <v>2654</v>
      </c>
      <c r="E131" s="3027">
        <v>0.1</v>
      </c>
      <c r="F131" s="3026">
        <v>15</v>
      </c>
    </row>
    <row r="132" spans="1:14" ht="24">
      <c r="A132" s="3026">
        <v>60</v>
      </c>
      <c r="B132" s="3650" t="s">
        <v>2655</v>
      </c>
      <c r="C132" s="3026" t="s">
        <v>2656</v>
      </c>
      <c r="D132" s="3004" t="s">
        <v>2657</v>
      </c>
      <c r="E132" s="3027">
        <v>0.1</v>
      </c>
      <c r="F132" s="3026">
        <v>15</v>
      </c>
    </row>
    <row r="133" spans="1:14" ht="24">
      <c r="A133" s="3026">
        <v>61</v>
      </c>
      <c r="B133" s="3651"/>
      <c r="C133" s="3026" t="s">
        <v>2658</v>
      </c>
      <c r="D133" s="3004" t="s">
        <v>2659</v>
      </c>
      <c r="E133" s="3027">
        <v>0.1</v>
      </c>
      <c r="F133" s="3026">
        <v>15</v>
      </c>
    </row>
    <row r="134" spans="1:14" ht="24">
      <c r="A134" s="3026">
        <v>62</v>
      </c>
      <c r="B134" s="3026" t="s">
        <v>2660</v>
      </c>
      <c r="C134" s="3026" t="s">
        <v>2661</v>
      </c>
      <c r="D134" s="3004" t="s">
        <v>2662</v>
      </c>
      <c r="E134" s="3027">
        <v>0.1</v>
      </c>
      <c r="F134" s="3026">
        <v>15</v>
      </c>
    </row>
    <row r="135" spans="1:14" ht="24">
      <c r="A135" s="3026">
        <v>63</v>
      </c>
      <c r="B135" s="3649" t="s">
        <v>2663</v>
      </c>
      <c r="C135" s="3026" t="s">
        <v>2664</v>
      </c>
      <c r="D135" s="3004" t="s">
        <v>2665</v>
      </c>
      <c r="E135" s="3027">
        <v>0.1</v>
      </c>
      <c r="F135" s="3026">
        <v>15</v>
      </c>
    </row>
    <row r="136" spans="1:14">
      <c r="A136" s="3026">
        <v>64</v>
      </c>
      <c r="B136" s="3649"/>
      <c r="C136" s="3026" t="s">
        <v>2666</v>
      </c>
      <c r="D136" s="3004" t="s">
        <v>2667</v>
      </c>
      <c r="E136" s="3027">
        <v>0.1</v>
      </c>
      <c r="F136" s="3026">
        <v>15</v>
      </c>
    </row>
    <row r="137" spans="1:14" ht="24">
      <c r="A137" s="3026">
        <v>65</v>
      </c>
      <c r="B137" s="3026" t="s">
        <v>2668</v>
      </c>
      <c r="C137" s="3026" t="s">
        <v>2669</v>
      </c>
      <c r="D137" s="3004" t="s">
        <v>2670</v>
      </c>
      <c r="E137" s="3027">
        <v>0.1</v>
      </c>
      <c r="F137" s="3026">
        <v>15</v>
      </c>
    </row>
    <row r="138" spans="1:14">
      <c r="A138" s="999"/>
      <c r="B138" s="999"/>
      <c r="C138" s="999"/>
      <c r="D138" s="959"/>
      <c r="E138" s="987"/>
      <c r="F138" s="999"/>
    </row>
    <row r="139" spans="1:14">
      <c r="A139" s="999"/>
      <c r="B139" s="999"/>
      <c r="C139" s="999"/>
      <c r="D139" s="999"/>
      <c r="E139" s="987"/>
      <c r="F139" s="999"/>
    </row>
    <row r="141" spans="1:14">
      <c r="A141" s="979"/>
      <c r="B141" s="979"/>
      <c r="C141" s="979"/>
      <c r="D141" s="979"/>
      <c r="E141" s="979"/>
      <c r="F141" s="979"/>
      <c r="G141" s="979"/>
      <c r="H141" s="979"/>
      <c r="I141" s="979"/>
      <c r="J141" s="979"/>
      <c r="K141" s="1000"/>
      <c r="L141" s="1000"/>
      <c r="M141" s="1000"/>
      <c r="N141" s="1000"/>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U384"/>
  <sheetViews>
    <sheetView topLeftCell="I1" zoomScale="70" zoomScaleNormal="70" workbookViewId="0">
      <selection activeCell="I1" sqref="A1:XFD1048576"/>
    </sheetView>
  </sheetViews>
  <sheetFormatPr defaultColWidth="9" defaultRowHeight="13.5"/>
  <cols>
    <col min="1" max="1" width="12.625" style="3168" customWidth="1"/>
    <col min="2" max="2" width="15" style="3168" customWidth="1"/>
    <col min="3" max="6" width="10.25" style="3168" customWidth="1"/>
    <col min="7" max="7" width="9" style="3168"/>
    <col min="8" max="8" width="9" style="960"/>
    <col min="9" max="9" width="9" style="957"/>
    <col min="10" max="10" width="17.375" style="3193" customWidth="1"/>
    <col min="11" max="21" width="17.375" style="3168" customWidth="1"/>
    <col min="22" max="16384" width="9" style="957"/>
  </cols>
  <sheetData>
    <row r="1" spans="1:21">
      <c r="A1" s="3661" t="s">
        <v>2815</v>
      </c>
      <c r="B1" s="3661"/>
      <c r="C1" s="3661"/>
      <c r="D1" s="3661"/>
      <c r="E1" s="3661"/>
      <c r="F1" s="3661"/>
      <c r="G1" s="3662"/>
      <c r="I1" s="961"/>
      <c r="J1" s="3190" t="s">
        <v>961</v>
      </c>
      <c r="K1" s="3191" t="s">
        <v>962</v>
      </c>
      <c r="L1" s="3191" t="s">
        <v>963</v>
      </c>
      <c r="M1" s="3191" t="s">
        <v>964</v>
      </c>
      <c r="N1" s="3191" t="s">
        <v>965</v>
      </c>
      <c r="O1" s="3191" t="s">
        <v>966</v>
      </c>
      <c r="P1" s="3191" t="s">
        <v>967</v>
      </c>
      <c r="Q1" s="3191" t="s">
        <v>968</v>
      </c>
      <c r="R1" s="3191" t="s">
        <v>969</v>
      </c>
      <c r="S1" s="3191" t="s">
        <v>970</v>
      </c>
      <c r="T1" s="3191" t="s">
        <v>971</v>
      </c>
      <c r="U1" s="3192" t="s">
        <v>972</v>
      </c>
    </row>
    <row r="2" spans="1:21" ht="14.25" thickBot="1">
      <c r="A2" s="3154" t="s">
        <v>2816</v>
      </c>
      <c r="B2" s="3154"/>
      <c r="C2" s="3154"/>
      <c r="D2" s="3154"/>
      <c r="E2" s="3154"/>
      <c r="F2" s="3154"/>
      <c r="G2" s="3149" t="s">
        <v>2817</v>
      </c>
      <c r="J2" s="3178" t="s">
        <v>2823</v>
      </c>
      <c r="K2" s="3158" t="s">
        <v>2825</v>
      </c>
      <c r="L2" s="3158" t="s">
        <v>2827</v>
      </c>
      <c r="M2" s="3158" t="s">
        <v>2833</v>
      </c>
      <c r="N2" s="3158" t="s">
        <v>2843</v>
      </c>
      <c r="O2" s="3158" t="s">
        <v>2858</v>
      </c>
      <c r="P2" s="3158" t="s">
        <v>2895</v>
      </c>
      <c r="Q2" s="3158" t="s">
        <v>2926</v>
      </c>
      <c r="R2" s="3158" t="s">
        <v>2954</v>
      </c>
      <c r="S2" s="3158" t="s">
        <v>2989</v>
      </c>
      <c r="T2" s="3158" t="s">
        <v>3009</v>
      </c>
      <c r="U2" s="3158" t="s">
        <v>3021</v>
      </c>
    </row>
    <row r="3" spans="1:21" s="961" customFormat="1" ht="19.5" customHeight="1">
      <c r="A3" s="3663" t="s">
        <v>2818</v>
      </c>
      <c r="B3" s="3150"/>
      <c r="C3" s="3151" t="s">
        <v>2795</v>
      </c>
      <c r="D3" s="3151" t="s">
        <v>2819</v>
      </c>
      <c r="E3" s="3151" t="s">
        <v>2797</v>
      </c>
      <c r="F3" s="3151" t="s">
        <v>2820</v>
      </c>
      <c r="G3" s="3151" t="s">
        <v>2735</v>
      </c>
      <c r="H3" s="964"/>
      <c r="J3" s="3178" t="s">
        <v>2824</v>
      </c>
      <c r="K3" s="3158" t="s">
        <v>973</v>
      </c>
      <c r="L3" s="3158" t="s">
        <v>974</v>
      </c>
      <c r="M3" s="3158" t="s">
        <v>975</v>
      </c>
      <c r="N3" s="3158" t="s">
        <v>976</v>
      </c>
      <c r="O3" s="3158" t="s">
        <v>977</v>
      </c>
      <c r="P3" s="3158" t="s">
        <v>978</v>
      </c>
      <c r="Q3" s="3158" t="s">
        <v>979</v>
      </c>
      <c r="R3" s="3158" t="s">
        <v>980</v>
      </c>
      <c r="S3" s="3158" t="s">
        <v>981</v>
      </c>
      <c r="T3" s="3158" t="s">
        <v>3010</v>
      </c>
      <c r="U3" s="3158" t="s">
        <v>3022</v>
      </c>
    </row>
    <row r="4" spans="1:21" s="961" customFormat="1" ht="19.5" customHeight="1" thickBot="1">
      <c r="A4" s="3664"/>
      <c r="B4" s="3152" t="s">
        <v>2821</v>
      </c>
      <c r="C4" s="3152" t="s">
        <v>2822</v>
      </c>
      <c r="D4" s="3152" t="s">
        <v>2822</v>
      </c>
      <c r="E4" s="3152" t="s">
        <v>2822</v>
      </c>
      <c r="F4" s="3153" t="s">
        <v>2822</v>
      </c>
      <c r="G4" s="3153" t="s">
        <v>2822</v>
      </c>
      <c r="H4" s="964"/>
      <c r="J4" s="3178" t="s">
        <v>982</v>
      </c>
      <c r="K4" s="3158" t="s">
        <v>983</v>
      </c>
      <c r="L4" s="3158" t="s">
        <v>984</v>
      </c>
      <c r="M4" s="3158" t="s">
        <v>985</v>
      </c>
      <c r="N4" s="3158" t="s">
        <v>986</v>
      </c>
      <c r="O4" s="3158" t="s">
        <v>987</v>
      </c>
      <c r="P4" s="3158" t="s">
        <v>988</v>
      </c>
      <c r="Q4" s="3158" t="s">
        <v>989</v>
      </c>
      <c r="R4" s="3158" t="s">
        <v>2955</v>
      </c>
      <c r="S4" s="3158" t="s">
        <v>2990</v>
      </c>
      <c r="T4" s="3158" t="s">
        <v>3011</v>
      </c>
      <c r="U4" s="3158" t="s">
        <v>3023</v>
      </c>
    </row>
    <row r="5" spans="1:21" ht="14.25" customHeight="1">
      <c r="A5" s="3155" t="s">
        <v>990</v>
      </c>
      <c r="B5" s="3156" t="s">
        <v>2823</v>
      </c>
      <c r="C5" s="3156">
        <v>34550</v>
      </c>
      <c r="D5" s="3156">
        <v>34470</v>
      </c>
      <c r="E5" s="3156">
        <v>34330</v>
      </c>
      <c r="F5" s="3157">
        <v>13400</v>
      </c>
      <c r="G5" s="3157">
        <v>25450</v>
      </c>
      <c r="H5" s="965" t="s">
        <v>961</v>
      </c>
      <c r="I5" s="966">
        <f>SUMPRODUCT((B5:B9=基准地价!I2)*(C3:G3=基准地价!E2)*(C5:G9))</f>
        <v>0</v>
      </c>
      <c r="J5" s="3178" t="s">
        <v>991</v>
      </c>
      <c r="K5" s="3158" t="s">
        <v>992</v>
      </c>
      <c r="L5" s="3158" t="s">
        <v>993</v>
      </c>
      <c r="M5" s="3158" t="s">
        <v>994</v>
      </c>
      <c r="N5" s="3158" t="s">
        <v>995</v>
      </c>
      <c r="O5" s="3158" t="s">
        <v>996</v>
      </c>
      <c r="P5" s="3158" t="s">
        <v>997</v>
      </c>
      <c r="Q5" s="3158" t="s">
        <v>998</v>
      </c>
      <c r="R5" s="3158" t="s">
        <v>2956</v>
      </c>
      <c r="S5" s="3158" t="s">
        <v>2991</v>
      </c>
      <c r="T5" s="3158" t="s">
        <v>999</v>
      </c>
      <c r="U5" s="3158" t="s">
        <v>3024</v>
      </c>
    </row>
    <row r="6" spans="1:21" ht="14.25" customHeight="1">
      <c r="A6" s="3158" t="s">
        <v>990</v>
      </c>
      <c r="B6" s="3158" t="s">
        <v>2824</v>
      </c>
      <c r="C6" s="3158">
        <v>36990</v>
      </c>
      <c r="D6" s="3158">
        <v>36850</v>
      </c>
      <c r="E6" s="3158">
        <v>36700</v>
      </c>
      <c r="F6" s="3159">
        <v>14590</v>
      </c>
      <c r="G6" s="3159">
        <v>27450</v>
      </c>
      <c r="H6" s="967" t="s">
        <v>1000</v>
      </c>
      <c r="I6" s="968">
        <f>SUMPRODUCT((B10:B29=基准地价!I2)*(C3:G3=基准地价!E2)*(C10:G29))</f>
        <v>0</v>
      </c>
      <c r="J6" s="3178" t="s">
        <v>1001</v>
      </c>
      <c r="K6" s="3158" t="s">
        <v>1002</v>
      </c>
      <c r="L6" s="3158" t="s">
        <v>1003</v>
      </c>
      <c r="M6" s="3158" t="s">
        <v>1004</v>
      </c>
      <c r="N6" s="3158" t="s">
        <v>1005</v>
      </c>
      <c r="O6" s="3158" t="s">
        <v>1006</v>
      </c>
      <c r="P6" s="3158" t="s">
        <v>1007</v>
      </c>
      <c r="Q6" s="3158" t="s">
        <v>2927</v>
      </c>
      <c r="R6" s="3158" t="s">
        <v>2957</v>
      </c>
      <c r="S6" s="3158" t="s">
        <v>1008</v>
      </c>
      <c r="T6" s="3158" t="s">
        <v>3012</v>
      </c>
      <c r="U6" s="3158" t="s">
        <v>3025</v>
      </c>
    </row>
    <row r="7" spans="1:21" ht="14.25" customHeight="1">
      <c r="A7" s="3158" t="s">
        <v>990</v>
      </c>
      <c r="B7" s="1216" t="s">
        <v>982</v>
      </c>
      <c r="C7" s="3158">
        <v>34850</v>
      </c>
      <c r="D7" s="3158">
        <v>34690</v>
      </c>
      <c r="E7" s="3158">
        <v>34550</v>
      </c>
      <c r="F7" s="3159">
        <v>14360</v>
      </c>
      <c r="G7" s="3159">
        <v>25620</v>
      </c>
      <c r="H7" s="967" t="s">
        <v>838</v>
      </c>
      <c r="I7" s="968">
        <f>SUMPRODUCT((B30:B54=基准地价!I2)*(C3:G3=基准地价!E2)*(C30:G54))</f>
        <v>0</v>
      </c>
      <c r="K7" s="3158" t="s">
        <v>1009</v>
      </c>
      <c r="L7" s="3158" t="s">
        <v>1010</v>
      </c>
      <c r="M7" s="3158" t="s">
        <v>1011</v>
      </c>
      <c r="N7" s="3158" t="s">
        <v>1012</v>
      </c>
      <c r="O7" s="3158" t="s">
        <v>1013</v>
      </c>
      <c r="P7" s="3158" t="s">
        <v>1014</v>
      </c>
      <c r="Q7" s="3158" t="s">
        <v>2928</v>
      </c>
      <c r="R7" s="3158" t="s">
        <v>2958</v>
      </c>
      <c r="S7" s="3158" t="s">
        <v>2992</v>
      </c>
      <c r="T7" s="3158" t="s">
        <v>3013</v>
      </c>
      <c r="U7" s="1216" t="s">
        <v>3026</v>
      </c>
    </row>
    <row r="8" spans="1:21" ht="14.25" customHeight="1">
      <c r="A8" s="3158" t="s">
        <v>990</v>
      </c>
      <c r="B8" s="3158" t="s">
        <v>991</v>
      </c>
      <c r="C8" s="3158">
        <v>32630</v>
      </c>
      <c r="D8" s="3158">
        <v>32510</v>
      </c>
      <c r="E8" s="3158">
        <v>32420</v>
      </c>
      <c r="F8" s="3159">
        <v>13300</v>
      </c>
      <c r="G8" s="3159">
        <v>24010</v>
      </c>
      <c r="H8" s="967" t="s">
        <v>839</v>
      </c>
      <c r="I8" s="968">
        <f>SUMPRODUCT((B55:B86=基准地价!I2)*(C3:G3=基准地价!E2)*(C55:G86))</f>
        <v>0</v>
      </c>
      <c r="K8" s="3158" t="s">
        <v>1015</v>
      </c>
      <c r="L8" s="3158" t="s">
        <v>1016</v>
      </c>
      <c r="M8" s="3158" t="s">
        <v>1017</v>
      </c>
      <c r="N8" s="3158" t="s">
        <v>1018</v>
      </c>
      <c r="O8" s="3158" t="s">
        <v>1019</v>
      </c>
      <c r="P8" s="3158" t="s">
        <v>1020</v>
      </c>
      <c r="Q8" s="3158" t="s">
        <v>2929</v>
      </c>
      <c r="R8" s="3158" t="s">
        <v>1021</v>
      </c>
      <c r="S8" s="3158" t="s">
        <v>2993</v>
      </c>
      <c r="T8" s="3158" t="s">
        <v>3014</v>
      </c>
      <c r="U8" s="3158" t="s">
        <v>3027</v>
      </c>
    </row>
    <row r="9" spans="1:21" ht="14.25" customHeight="1" thickBot="1">
      <c r="A9" s="3172" t="s">
        <v>990</v>
      </c>
      <c r="B9" s="3160" t="s">
        <v>1001</v>
      </c>
      <c r="C9" s="3161">
        <v>36370</v>
      </c>
      <c r="D9" s="3161">
        <v>36210</v>
      </c>
      <c r="E9" s="3161">
        <v>36050</v>
      </c>
      <c r="F9" s="3162"/>
      <c r="G9" s="3163">
        <v>26740</v>
      </c>
      <c r="H9" s="967" t="s">
        <v>840</v>
      </c>
      <c r="I9" s="968">
        <f>SUMPRODUCT((B87:B126=基准地价!I2)*(C3:G3=基准地价!E2)*(C87:G126))</f>
        <v>0</v>
      </c>
      <c r="K9" s="3158" t="s">
        <v>1022</v>
      </c>
      <c r="L9" s="3158" t="s">
        <v>1023</v>
      </c>
      <c r="M9" s="3158" t="s">
        <v>1024</v>
      </c>
      <c r="N9" s="3158" t="s">
        <v>1025</v>
      </c>
      <c r="O9" s="3158" t="s">
        <v>1026</v>
      </c>
      <c r="P9" s="3158" t="s">
        <v>1027</v>
      </c>
      <c r="Q9" s="3158" t="s">
        <v>2930</v>
      </c>
      <c r="R9" s="3158" t="s">
        <v>1029</v>
      </c>
      <c r="S9" s="3158" t="s">
        <v>1030</v>
      </c>
      <c r="T9" s="3158" t="s">
        <v>1047</v>
      </c>
    </row>
    <row r="10" spans="1:21" ht="14.25" customHeight="1">
      <c r="A10" s="3155" t="s">
        <v>1031</v>
      </c>
      <c r="B10" s="3156" t="s">
        <v>2825</v>
      </c>
      <c r="C10" s="3156">
        <v>32350</v>
      </c>
      <c r="D10" s="3156">
        <v>31430</v>
      </c>
      <c r="E10" s="3156">
        <v>31320</v>
      </c>
      <c r="F10" s="3157">
        <v>10850</v>
      </c>
      <c r="G10" s="3157">
        <v>22860</v>
      </c>
      <c r="H10" s="967" t="s">
        <v>841</v>
      </c>
      <c r="I10" s="968">
        <f>SUMPRODUCT((B127:B189=基准地价!I2)*(C3:G3=基准地价!E2)*(C127:G189))</f>
        <v>0</v>
      </c>
      <c r="K10" s="3158" t="s">
        <v>1032</v>
      </c>
      <c r="L10" s="3158" t="s">
        <v>1033</v>
      </c>
      <c r="M10" s="3158" t="s">
        <v>1034</v>
      </c>
      <c r="N10" s="3158" t="s">
        <v>1035</v>
      </c>
      <c r="O10" s="3158" t="s">
        <v>1036</v>
      </c>
      <c r="P10" s="3158" t="s">
        <v>1037</v>
      </c>
      <c r="Q10" s="3158" t="s">
        <v>1028</v>
      </c>
      <c r="R10" s="3158" t="s">
        <v>1039</v>
      </c>
      <c r="S10" s="3158" t="s">
        <v>1040</v>
      </c>
      <c r="T10" s="3158" t="s">
        <v>3015</v>
      </c>
    </row>
    <row r="11" spans="1:21" ht="14.25" customHeight="1">
      <c r="A11" s="3158" t="s">
        <v>1031</v>
      </c>
      <c r="B11" s="1216" t="s">
        <v>973</v>
      </c>
      <c r="C11" s="3158">
        <v>31590</v>
      </c>
      <c r="D11" s="3158">
        <v>29490</v>
      </c>
      <c r="E11" s="3158">
        <v>28700</v>
      </c>
      <c r="F11" s="3164">
        <v>10410</v>
      </c>
      <c r="G11" s="3164">
        <v>21460</v>
      </c>
      <c r="H11" s="967" t="s">
        <v>842</v>
      </c>
      <c r="I11" s="968">
        <f>SUMPRODUCT((B190:B233=基准地价!I2)*(C3:G3=基准地价!E2)*(C190:G233))</f>
        <v>0</v>
      </c>
      <c r="K11" s="3158" t="s">
        <v>1041</v>
      </c>
      <c r="L11" s="3158" t="s">
        <v>1042</v>
      </c>
      <c r="M11" s="3158" t="s">
        <v>1043</v>
      </c>
      <c r="N11" s="3158" t="s">
        <v>1044</v>
      </c>
      <c r="O11" s="3158" t="s">
        <v>1045</v>
      </c>
      <c r="P11" s="3158" t="s">
        <v>2896</v>
      </c>
      <c r="Q11" s="3158" t="s">
        <v>1038</v>
      </c>
      <c r="R11" s="3158" t="s">
        <v>1046</v>
      </c>
      <c r="S11" s="3158" t="s">
        <v>2994</v>
      </c>
      <c r="T11" s="3158" t="s">
        <v>3016</v>
      </c>
    </row>
    <row r="12" spans="1:21" ht="14.25" customHeight="1">
      <c r="A12" s="3158" t="s">
        <v>1031</v>
      </c>
      <c r="B12" s="1216" t="s">
        <v>983</v>
      </c>
      <c r="C12" s="3158">
        <v>29640</v>
      </c>
      <c r="D12" s="3158">
        <v>27550</v>
      </c>
      <c r="E12" s="3158">
        <v>28010</v>
      </c>
      <c r="F12" s="3164">
        <v>8730</v>
      </c>
      <c r="G12" s="3164">
        <v>20050</v>
      </c>
      <c r="H12" s="967" t="s">
        <v>843</v>
      </c>
      <c r="I12" s="968">
        <f>SUMPRODUCT((B234:B276=基准地价!I2)*(C3:G3=基准地价!E2)*(C234:G276))</f>
        <v>0</v>
      </c>
      <c r="K12" s="3158" t="s">
        <v>1048</v>
      </c>
      <c r="L12" s="3158" t="s">
        <v>1049</v>
      </c>
      <c r="M12" s="3158" t="s">
        <v>1050</v>
      </c>
      <c r="N12" s="3158" t="s">
        <v>1051</v>
      </c>
      <c r="O12" s="3158" t="s">
        <v>1052</v>
      </c>
      <c r="P12" s="3158" t="s">
        <v>2897</v>
      </c>
      <c r="Q12" s="3158" t="s">
        <v>2931</v>
      </c>
      <c r="R12" s="3158" t="s">
        <v>2959</v>
      </c>
      <c r="S12" s="3158" t="s">
        <v>2995</v>
      </c>
      <c r="T12" s="3158" t="s">
        <v>3017</v>
      </c>
    </row>
    <row r="13" spans="1:21" ht="14.25" customHeight="1">
      <c r="A13" s="3158" t="s">
        <v>1031</v>
      </c>
      <c r="B13" s="1216" t="s">
        <v>992</v>
      </c>
      <c r="C13" s="3158">
        <v>29680</v>
      </c>
      <c r="D13" s="3158">
        <v>27660</v>
      </c>
      <c r="E13" s="3158">
        <v>28210</v>
      </c>
      <c r="F13" s="3164">
        <v>9590</v>
      </c>
      <c r="G13" s="3164">
        <v>20120</v>
      </c>
      <c r="H13" s="967" t="s">
        <v>844</v>
      </c>
      <c r="I13" s="968">
        <f>SUMPRODUCT((B277:B326=基准地价!I2)*(C3:G3=基准地价!E2)*(C277:G326))</f>
        <v>0</v>
      </c>
      <c r="K13" s="3158" t="s">
        <v>1055</v>
      </c>
      <c r="L13" s="3158" t="s">
        <v>1056</v>
      </c>
      <c r="M13" s="3158" t="s">
        <v>1057</v>
      </c>
      <c r="N13" s="3158" t="s">
        <v>1058</v>
      </c>
      <c r="O13" s="3158" t="s">
        <v>1059</v>
      </c>
      <c r="P13" s="3158" t="s">
        <v>2898</v>
      </c>
      <c r="Q13" s="3158" t="s">
        <v>1053</v>
      </c>
      <c r="R13" s="3158" t="s">
        <v>1067</v>
      </c>
      <c r="S13" s="3158" t="s">
        <v>1068</v>
      </c>
      <c r="T13" s="3158" t="s">
        <v>1061</v>
      </c>
    </row>
    <row r="14" spans="1:21" ht="14.25" customHeight="1">
      <c r="A14" s="3158" t="s">
        <v>1031</v>
      </c>
      <c r="B14" s="1216" t="s">
        <v>1002</v>
      </c>
      <c r="C14" s="3158">
        <v>30520</v>
      </c>
      <c r="D14" s="3158">
        <v>29510</v>
      </c>
      <c r="E14" s="3158">
        <v>29400</v>
      </c>
      <c r="F14" s="3164">
        <v>9630</v>
      </c>
      <c r="G14" s="3164">
        <v>21480</v>
      </c>
      <c r="H14" s="967" t="s">
        <v>845</v>
      </c>
      <c r="I14" s="968">
        <f>SUMPRODUCT((B327:B357=基准地价!I2)*(C3:G3=基准地价!E2)*(C327:G357))</f>
        <v>0</v>
      </c>
      <c r="K14" s="3158" t="s">
        <v>1062</v>
      </c>
      <c r="L14" s="3158" t="s">
        <v>1063</v>
      </c>
      <c r="M14" s="3158" t="s">
        <v>1064</v>
      </c>
      <c r="N14" s="3158" t="s">
        <v>1065</v>
      </c>
      <c r="O14" s="3158" t="s">
        <v>1066</v>
      </c>
      <c r="P14" s="3158" t="s">
        <v>1088</v>
      </c>
      <c r="Q14" s="3158" t="s">
        <v>1060</v>
      </c>
      <c r="R14" s="3158" t="s">
        <v>2960</v>
      </c>
      <c r="S14" s="3158" t="s">
        <v>1076</v>
      </c>
      <c r="T14" s="3158" t="s">
        <v>1069</v>
      </c>
    </row>
    <row r="15" spans="1:21" ht="14.25" customHeight="1">
      <c r="A15" s="3158" t="s">
        <v>1031</v>
      </c>
      <c r="B15" s="1216" t="s">
        <v>1009</v>
      </c>
      <c r="C15" s="3158">
        <v>29090</v>
      </c>
      <c r="D15" s="3158">
        <v>27590</v>
      </c>
      <c r="E15" s="3158">
        <v>28120</v>
      </c>
      <c r="F15" s="3164">
        <v>9110</v>
      </c>
      <c r="G15" s="3164">
        <v>20070</v>
      </c>
      <c r="H15" s="967" t="s">
        <v>846</v>
      </c>
      <c r="I15" s="968">
        <f>SUMPRODUCT((B358:B377=基准地价!I2)*(C3:G3=基准地价!E2)*(C358:G377))</f>
        <v>0</v>
      </c>
      <c r="K15" s="3158" t="s">
        <v>1070</v>
      </c>
      <c r="L15" s="3158" t="s">
        <v>1071</v>
      </c>
      <c r="M15" s="3158" t="s">
        <v>1072</v>
      </c>
      <c r="N15" s="3158" t="s">
        <v>1073</v>
      </c>
      <c r="O15" s="3158" t="s">
        <v>1074</v>
      </c>
      <c r="P15" s="3158" t="s">
        <v>2899</v>
      </c>
      <c r="Q15" s="3158" t="s">
        <v>2932</v>
      </c>
      <c r="R15" s="3158" t="s">
        <v>1090</v>
      </c>
      <c r="S15" s="3158" t="s">
        <v>2996</v>
      </c>
      <c r="T15" s="3158" t="s">
        <v>1077</v>
      </c>
    </row>
    <row r="16" spans="1:21" ht="14.25" customHeight="1" thickBot="1">
      <c r="A16" s="3158" t="s">
        <v>1031</v>
      </c>
      <c r="B16" s="1216" t="s">
        <v>1015</v>
      </c>
      <c r="C16" s="3158">
        <v>26790</v>
      </c>
      <c r="D16" s="3158">
        <v>30370</v>
      </c>
      <c r="E16" s="3158">
        <v>30240</v>
      </c>
      <c r="F16" s="3164">
        <v>11590</v>
      </c>
      <c r="G16" s="3164">
        <v>22090</v>
      </c>
      <c r="H16" s="969" t="s">
        <v>847</v>
      </c>
      <c r="I16" s="970">
        <f>SUMPRODUCT((B378:B384=基准地价!I2)*(C3:G3=基准地价!E2)*(C378:G384))</f>
        <v>0</v>
      </c>
      <c r="K16" s="3158" t="s">
        <v>1078</v>
      </c>
      <c r="L16" s="3158" t="s">
        <v>1079</v>
      </c>
      <c r="M16" s="3158" t="s">
        <v>1080</v>
      </c>
      <c r="N16" s="3158" t="s">
        <v>1081</v>
      </c>
      <c r="O16" s="3158" t="s">
        <v>1082</v>
      </c>
      <c r="P16" s="3158" t="s">
        <v>2900</v>
      </c>
      <c r="Q16" s="3158" t="s">
        <v>1075</v>
      </c>
      <c r="R16" s="3158" t="s">
        <v>1098</v>
      </c>
      <c r="S16" s="3158" t="s">
        <v>1054</v>
      </c>
      <c r="T16" s="3158" t="s">
        <v>3018</v>
      </c>
    </row>
    <row r="17" spans="1:20" ht="14.25" customHeight="1">
      <c r="A17" s="3158" t="s">
        <v>1031</v>
      </c>
      <c r="B17" s="1216" t="s">
        <v>1022</v>
      </c>
      <c r="C17" s="3158">
        <v>29180</v>
      </c>
      <c r="D17" s="3158">
        <v>27620</v>
      </c>
      <c r="E17" s="3158">
        <v>28180</v>
      </c>
      <c r="F17" s="3164">
        <v>10790</v>
      </c>
      <c r="G17" s="3165">
        <v>20090</v>
      </c>
      <c r="I17" s="971"/>
      <c r="K17" s="3158" t="s">
        <v>1083</v>
      </c>
      <c r="L17" s="3158" t="s">
        <v>1084</v>
      </c>
      <c r="M17" s="3158" t="s">
        <v>1085</v>
      </c>
      <c r="N17" s="3158" t="s">
        <v>1086</v>
      </c>
      <c r="O17" s="3158" t="s">
        <v>1087</v>
      </c>
      <c r="P17" s="3158" t="s">
        <v>2901</v>
      </c>
      <c r="Q17" s="3158" t="s">
        <v>2933</v>
      </c>
      <c r="R17" s="3158" t="s">
        <v>1104</v>
      </c>
      <c r="S17" s="3158" t="s">
        <v>2997</v>
      </c>
      <c r="T17" s="3158" t="s">
        <v>1106</v>
      </c>
    </row>
    <row r="18" spans="1:20" ht="14.25" customHeight="1">
      <c r="A18" s="3158" t="s">
        <v>1031</v>
      </c>
      <c r="B18" s="1216" t="s">
        <v>1032</v>
      </c>
      <c r="C18" s="3158">
        <v>26840</v>
      </c>
      <c r="D18" s="3158">
        <v>28930</v>
      </c>
      <c r="E18" s="3158">
        <v>28820</v>
      </c>
      <c r="F18" s="3164"/>
      <c r="G18" s="3165">
        <v>21050</v>
      </c>
      <c r="I18" s="971"/>
      <c r="K18" s="3158" t="s">
        <v>1092</v>
      </c>
      <c r="L18" s="3158" t="s">
        <v>1093</v>
      </c>
      <c r="M18" s="3158" t="s">
        <v>1094</v>
      </c>
      <c r="N18" s="3158" t="s">
        <v>1095</v>
      </c>
      <c r="O18" s="3158" t="s">
        <v>1096</v>
      </c>
      <c r="P18" s="3158" t="s">
        <v>2902</v>
      </c>
      <c r="Q18" s="3158" t="s">
        <v>1089</v>
      </c>
      <c r="R18" s="3158" t="s">
        <v>2961</v>
      </c>
      <c r="S18" s="3158" t="s">
        <v>1105</v>
      </c>
      <c r="T18" s="3158" t="s">
        <v>1114</v>
      </c>
    </row>
    <row r="19" spans="1:20" ht="14.25" customHeight="1">
      <c r="A19" s="3158" t="s">
        <v>1031</v>
      </c>
      <c r="B19" s="1216" t="s">
        <v>1041</v>
      </c>
      <c r="C19" s="3158">
        <v>27750</v>
      </c>
      <c r="D19" s="3158">
        <v>26680</v>
      </c>
      <c r="E19" s="3158">
        <v>26590</v>
      </c>
      <c r="F19" s="3164"/>
      <c r="G19" s="3165">
        <v>19420</v>
      </c>
      <c r="I19" s="971"/>
      <c r="K19" s="3158" t="s">
        <v>1099</v>
      </c>
      <c r="L19" s="3158" t="s">
        <v>1100</v>
      </c>
      <c r="M19" s="3158" t="s">
        <v>1101</v>
      </c>
      <c r="N19" s="3158" t="s">
        <v>1102</v>
      </c>
      <c r="O19" s="3158" t="s">
        <v>1103</v>
      </c>
      <c r="P19" s="3158" t="s">
        <v>2903</v>
      </c>
      <c r="Q19" s="3158" t="s">
        <v>1097</v>
      </c>
      <c r="R19" s="3158" t="s">
        <v>2962</v>
      </c>
      <c r="S19" s="3158" t="s">
        <v>1113</v>
      </c>
      <c r="T19" s="3158" t="s">
        <v>3019</v>
      </c>
    </row>
    <row r="20" spans="1:20" ht="14.25" customHeight="1">
      <c r="A20" s="3158" t="s">
        <v>1031</v>
      </c>
      <c r="B20" s="1216" t="s">
        <v>1048</v>
      </c>
      <c r="C20" s="3158">
        <v>27050</v>
      </c>
      <c r="D20" s="3158">
        <v>29010</v>
      </c>
      <c r="E20" s="3158">
        <v>28910</v>
      </c>
      <c r="F20" s="3164"/>
      <c r="G20" s="3165">
        <v>21110</v>
      </c>
      <c r="K20" s="3158" t="s">
        <v>1107</v>
      </c>
      <c r="L20" s="3158" t="s">
        <v>1108</v>
      </c>
      <c r="M20" s="3158" t="s">
        <v>1109</v>
      </c>
      <c r="N20" s="3158" t="s">
        <v>1110</v>
      </c>
      <c r="O20" s="3158" t="s">
        <v>1111</v>
      </c>
      <c r="P20" s="3158" t="s">
        <v>2904</v>
      </c>
      <c r="Q20" s="3158" t="s">
        <v>2934</v>
      </c>
      <c r="R20" s="3158" t="s">
        <v>1139</v>
      </c>
      <c r="S20" s="3158" t="s">
        <v>2998</v>
      </c>
      <c r="T20" s="3158" t="s">
        <v>1126</v>
      </c>
    </row>
    <row r="21" spans="1:20" ht="14.25" customHeight="1">
      <c r="A21" s="3158" t="s">
        <v>1031</v>
      </c>
      <c r="B21" s="1216" t="s">
        <v>1055</v>
      </c>
      <c r="C21" s="3158">
        <v>32370</v>
      </c>
      <c r="D21" s="3158">
        <v>26730</v>
      </c>
      <c r="E21" s="3158">
        <v>26640</v>
      </c>
      <c r="F21" s="3164"/>
      <c r="G21" s="3165">
        <v>19440</v>
      </c>
      <c r="K21" s="3167" t="s">
        <v>2826</v>
      </c>
      <c r="L21" s="3158" t="s">
        <v>1115</v>
      </c>
      <c r="M21" s="3158" t="s">
        <v>1116</v>
      </c>
      <c r="N21" s="3158" t="s">
        <v>1117</v>
      </c>
      <c r="O21" s="3158" t="s">
        <v>1118</v>
      </c>
      <c r="P21" s="3158" t="s">
        <v>1112</v>
      </c>
      <c r="Q21" s="3158" t="s">
        <v>1132</v>
      </c>
      <c r="R21" s="3158" t="s">
        <v>1142</v>
      </c>
      <c r="S21" s="3158" t="s">
        <v>2999</v>
      </c>
      <c r="T21" s="3158" t="s">
        <v>3020</v>
      </c>
    </row>
    <row r="22" spans="1:20" ht="14.25" customHeight="1">
      <c r="A22" s="3158" t="s">
        <v>1031</v>
      </c>
      <c r="B22" s="1216" t="s">
        <v>1062</v>
      </c>
      <c r="C22" s="3158">
        <v>29830</v>
      </c>
      <c r="D22" s="3158">
        <v>27600</v>
      </c>
      <c r="E22" s="3158">
        <v>28150</v>
      </c>
      <c r="F22" s="3164"/>
      <c r="G22" s="3165">
        <v>20080</v>
      </c>
      <c r="L22" s="3167" t="s">
        <v>2828</v>
      </c>
      <c r="M22" s="3158" t="s">
        <v>1120</v>
      </c>
      <c r="N22" s="3158" t="s">
        <v>1121</v>
      </c>
      <c r="O22" s="3158" t="s">
        <v>1122</v>
      </c>
      <c r="P22" s="3158" t="s">
        <v>2905</v>
      </c>
      <c r="Q22" s="3158" t="s">
        <v>1135</v>
      </c>
      <c r="R22" s="3158" t="s">
        <v>1144</v>
      </c>
      <c r="S22" s="3158" t="s">
        <v>1091</v>
      </c>
      <c r="T22" s="1216"/>
    </row>
    <row r="23" spans="1:20" ht="14.25" customHeight="1">
      <c r="A23" s="3158" t="s">
        <v>1031</v>
      </c>
      <c r="B23" s="1216" t="s">
        <v>1070</v>
      </c>
      <c r="C23" s="3158">
        <v>27800</v>
      </c>
      <c r="D23" s="3158">
        <v>26900</v>
      </c>
      <c r="E23" s="3158">
        <v>27170</v>
      </c>
      <c r="F23" s="3164"/>
      <c r="G23" s="3165">
        <v>19570</v>
      </c>
      <c r="L23" s="3167" t="s">
        <v>2829</v>
      </c>
      <c r="M23" s="3158" t="s">
        <v>1127</v>
      </c>
      <c r="N23" s="3158" t="s">
        <v>1128</v>
      </c>
      <c r="O23" s="3158" t="s">
        <v>2859</v>
      </c>
      <c r="P23" s="3158" t="s">
        <v>2906</v>
      </c>
      <c r="Q23" s="3158" t="s">
        <v>1138</v>
      </c>
      <c r="R23" s="3158" t="s">
        <v>1147</v>
      </c>
      <c r="S23" s="3158" t="s">
        <v>3000</v>
      </c>
    </row>
    <row r="24" spans="1:20" ht="14.25" customHeight="1">
      <c r="A24" s="3158" t="s">
        <v>1031</v>
      </c>
      <c r="B24" s="1216" t="s">
        <v>1078</v>
      </c>
      <c r="C24" s="3158">
        <v>27930</v>
      </c>
      <c r="D24" s="3158">
        <v>32260</v>
      </c>
      <c r="E24" s="3158">
        <v>32120</v>
      </c>
      <c r="F24" s="3164"/>
      <c r="G24" s="3165">
        <v>23470</v>
      </c>
      <c r="L24" s="3167" t="s">
        <v>2830</v>
      </c>
      <c r="M24" s="3158" t="s">
        <v>1130</v>
      </c>
      <c r="N24" s="3158" t="s">
        <v>1131</v>
      </c>
      <c r="O24" s="3158" t="s">
        <v>2860</v>
      </c>
      <c r="P24" s="3158" t="s">
        <v>1134</v>
      </c>
      <c r="Q24" s="3158" t="s">
        <v>2935</v>
      </c>
      <c r="R24" s="3158" t="s">
        <v>2963</v>
      </c>
      <c r="S24" s="3158" t="s">
        <v>3001</v>
      </c>
    </row>
    <row r="25" spans="1:20" ht="14.25" customHeight="1">
      <c r="A25" s="3158" t="s">
        <v>1031</v>
      </c>
      <c r="B25" s="1216" t="s">
        <v>1083</v>
      </c>
      <c r="C25" s="3158">
        <v>32230</v>
      </c>
      <c r="D25" s="3158">
        <v>29640</v>
      </c>
      <c r="E25" s="3158">
        <v>29510</v>
      </c>
      <c r="F25" s="3164"/>
      <c r="G25" s="3165">
        <v>21560</v>
      </c>
      <c r="L25" s="3167" t="s">
        <v>2831</v>
      </c>
      <c r="M25" s="3158" t="s">
        <v>2834</v>
      </c>
      <c r="N25" s="3158" t="s">
        <v>1133</v>
      </c>
      <c r="O25" s="3158" t="s">
        <v>1141</v>
      </c>
      <c r="P25" s="3158" t="s">
        <v>1137</v>
      </c>
      <c r="Q25" s="3158" t="s">
        <v>1124</v>
      </c>
      <c r="R25" s="3158" t="s">
        <v>1119</v>
      </c>
      <c r="S25" s="3158" t="s">
        <v>3002</v>
      </c>
    </row>
    <row r="26" spans="1:20" ht="14.25" customHeight="1">
      <c r="A26" s="3158" t="s">
        <v>1031</v>
      </c>
      <c r="B26" s="1216" t="s">
        <v>1092</v>
      </c>
      <c r="C26" s="3158">
        <v>31690</v>
      </c>
      <c r="D26" s="3158">
        <v>27650</v>
      </c>
      <c r="E26" s="3158">
        <v>28200</v>
      </c>
      <c r="F26" s="3164"/>
      <c r="G26" s="3165">
        <v>20110</v>
      </c>
      <c r="L26" s="3167" t="s">
        <v>2832</v>
      </c>
      <c r="M26" s="3158" t="s">
        <v>2835</v>
      </c>
      <c r="N26" s="3158" t="s">
        <v>1136</v>
      </c>
      <c r="O26" s="3158" t="s">
        <v>1143</v>
      </c>
      <c r="P26" s="3158" t="s">
        <v>2907</v>
      </c>
      <c r="Q26" s="3158" t="s">
        <v>2936</v>
      </c>
      <c r="R26" s="3158" t="s">
        <v>1125</v>
      </c>
      <c r="S26" s="3158" t="s">
        <v>3003</v>
      </c>
    </row>
    <row r="27" spans="1:20" ht="14.25" customHeight="1">
      <c r="A27" s="3158" t="s">
        <v>1031</v>
      </c>
      <c r="B27" s="1216" t="s">
        <v>1099</v>
      </c>
      <c r="C27" s="3158">
        <v>29610</v>
      </c>
      <c r="D27" s="3158">
        <v>27770</v>
      </c>
      <c r="E27" s="3158">
        <v>28300</v>
      </c>
      <c r="F27" s="3164"/>
      <c r="G27" s="3165">
        <v>20210</v>
      </c>
      <c r="M27" s="3158" t="s">
        <v>2836</v>
      </c>
      <c r="N27" s="3158" t="s">
        <v>1140</v>
      </c>
      <c r="O27" s="3158" t="s">
        <v>1146</v>
      </c>
      <c r="P27" s="3158" t="s">
        <v>1123</v>
      </c>
      <c r="Q27" s="3158" t="s">
        <v>2937</v>
      </c>
      <c r="R27" s="3158" t="s">
        <v>2964</v>
      </c>
      <c r="S27" s="3158" t="s">
        <v>3004</v>
      </c>
    </row>
    <row r="28" spans="1:20" ht="14.25" customHeight="1">
      <c r="A28" s="3172" t="s">
        <v>1031</v>
      </c>
      <c r="B28" s="2406" t="s">
        <v>1107</v>
      </c>
      <c r="C28" s="1214"/>
      <c r="D28" s="1214">
        <v>31520</v>
      </c>
      <c r="E28" s="1214">
        <v>31410</v>
      </c>
      <c r="F28" s="3169"/>
      <c r="G28" s="3170">
        <v>22940</v>
      </c>
      <c r="M28" s="3158" t="s">
        <v>2837</v>
      </c>
      <c r="N28" s="3158" t="s">
        <v>2844</v>
      </c>
      <c r="O28" s="3158" t="s">
        <v>2861</v>
      </c>
      <c r="P28" s="3158" t="s">
        <v>2908</v>
      </c>
      <c r="Q28" s="3158" t="s">
        <v>2938</v>
      </c>
      <c r="R28" s="3158" t="s">
        <v>2965</v>
      </c>
      <c r="S28" s="3167" t="s">
        <v>3005</v>
      </c>
    </row>
    <row r="29" spans="1:20" ht="14.25" customHeight="1" thickBot="1">
      <c r="A29" s="3173" t="s">
        <v>1031</v>
      </c>
      <c r="B29" s="3161" t="s">
        <v>2826</v>
      </c>
      <c r="C29" s="3161"/>
      <c r="D29" s="3161">
        <v>29460</v>
      </c>
      <c r="E29" s="3161">
        <v>28640</v>
      </c>
      <c r="F29" s="3162"/>
      <c r="G29" s="3174">
        <v>21430</v>
      </c>
      <c r="M29" s="3167" t="s">
        <v>2838</v>
      </c>
      <c r="N29" s="3158" t="s">
        <v>2845</v>
      </c>
      <c r="O29" s="3158" t="s">
        <v>2862</v>
      </c>
      <c r="P29" s="3158" t="s">
        <v>2909</v>
      </c>
      <c r="Q29" s="3158" t="s">
        <v>2939</v>
      </c>
      <c r="R29" s="3158" t="s">
        <v>2966</v>
      </c>
      <c r="S29" s="3167" t="s">
        <v>1129</v>
      </c>
    </row>
    <row r="30" spans="1:20" ht="14.25" customHeight="1">
      <c r="A30" s="3172" t="s">
        <v>1145</v>
      </c>
      <c r="B30" s="1216" t="s">
        <v>2827</v>
      </c>
      <c r="C30" s="1216">
        <v>26890</v>
      </c>
      <c r="D30" s="1216">
        <v>26770</v>
      </c>
      <c r="E30" s="1216">
        <v>25700</v>
      </c>
      <c r="F30" s="3159">
        <v>8180</v>
      </c>
      <c r="G30" s="3159">
        <v>18740</v>
      </c>
      <c r="I30" s="971"/>
      <c r="M30" s="3167" t="s">
        <v>2839</v>
      </c>
      <c r="N30" s="3158" t="s">
        <v>2846</v>
      </c>
      <c r="O30" s="3158" t="s">
        <v>2863</v>
      </c>
      <c r="P30" s="3158" t="s">
        <v>2910</v>
      </c>
      <c r="Q30" s="3158" t="s">
        <v>2940</v>
      </c>
      <c r="R30" s="3158" t="s">
        <v>2967</v>
      </c>
      <c r="S30" s="3167" t="s">
        <v>3006</v>
      </c>
    </row>
    <row r="31" spans="1:20" ht="14.25" customHeight="1">
      <c r="A31" s="3158" t="s">
        <v>1145</v>
      </c>
      <c r="B31" s="1216" t="s">
        <v>974</v>
      </c>
      <c r="C31" s="3158">
        <v>24550</v>
      </c>
      <c r="D31" s="3158">
        <v>23990</v>
      </c>
      <c r="E31" s="3158">
        <v>22930</v>
      </c>
      <c r="F31" s="3164">
        <v>7470</v>
      </c>
      <c r="G31" s="3164">
        <v>16790</v>
      </c>
      <c r="I31" s="971"/>
      <c r="M31" s="3167" t="s">
        <v>2840</v>
      </c>
      <c r="N31" s="3158" t="s">
        <v>2847</v>
      </c>
      <c r="O31" s="3158" t="s">
        <v>2864</v>
      </c>
      <c r="P31" s="3158" t="s">
        <v>2911</v>
      </c>
      <c r="Q31" s="3158" t="s">
        <v>2941</v>
      </c>
      <c r="R31" s="3158" t="s">
        <v>2968</v>
      </c>
      <c r="S31" s="3167" t="s">
        <v>3007</v>
      </c>
    </row>
    <row r="32" spans="1:20" ht="14.25" customHeight="1">
      <c r="A32" s="3158" t="s">
        <v>1145</v>
      </c>
      <c r="B32" s="1216" t="s">
        <v>984</v>
      </c>
      <c r="C32" s="3158">
        <v>27210</v>
      </c>
      <c r="D32" s="3158">
        <v>23240</v>
      </c>
      <c r="E32" s="3158">
        <v>23260</v>
      </c>
      <c r="F32" s="3164">
        <v>7130</v>
      </c>
      <c r="G32" s="3164">
        <v>16270</v>
      </c>
      <c r="I32" s="971"/>
      <c r="M32" s="3167" t="s">
        <v>2841</v>
      </c>
      <c r="N32" s="3158" t="s">
        <v>2848</v>
      </c>
      <c r="O32" s="3158" t="s">
        <v>1149</v>
      </c>
      <c r="P32" s="3158" t="s">
        <v>2912</v>
      </c>
      <c r="Q32" s="3158" t="s">
        <v>1148</v>
      </c>
      <c r="R32" s="3158" t="s">
        <v>2969</v>
      </c>
      <c r="S32" s="3167" t="s">
        <v>3008</v>
      </c>
    </row>
    <row r="33" spans="1:18" ht="14.25" customHeight="1">
      <c r="A33" s="3158" t="s">
        <v>1145</v>
      </c>
      <c r="B33" s="1216" t="s">
        <v>993</v>
      </c>
      <c r="C33" s="3158">
        <v>27300</v>
      </c>
      <c r="D33" s="3158">
        <v>22980</v>
      </c>
      <c r="E33" s="3158">
        <v>24260</v>
      </c>
      <c r="F33" s="3164">
        <v>5860</v>
      </c>
      <c r="G33" s="3164">
        <v>16090</v>
      </c>
      <c r="I33" s="971"/>
      <c r="M33" s="3167" t="s">
        <v>2842</v>
      </c>
      <c r="N33" s="3158" t="s">
        <v>2849</v>
      </c>
      <c r="O33" s="3158" t="s">
        <v>1150</v>
      </c>
      <c r="P33" s="3158" t="s">
        <v>2913</v>
      </c>
      <c r="Q33" s="3158" t="s">
        <v>2942</v>
      </c>
      <c r="R33" s="3158" t="s">
        <v>2970</v>
      </c>
    </row>
    <row r="34" spans="1:18" ht="14.25" customHeight="1">
      <c r="A34" s="3158" t="s">
        <v>1145</v>
      </c>
      <c r="B34" s="1216" t="s">
        <v>1003</v>
      </c>
      <c r="C34" s="3158">
        <v>23090</v>
      </c>
      <c r="D34" s="3158">
        <v>23390</v>
      </c>
      <c r="E34" s="3158">
        <v>23510</v>
      </c>
      <c r="F34" s="3164">
        <v>6700</v>
      </c>
      <c r="G34" s="3164">
        <v>16370</v>
      </c>
      <c r="I34" s="971"/>
      <c r="N34" s="3158" t="s">
        <v>2850</v>
      </c>
      <c r="O34" s="3158" t="s">
        <v>1151</v>
      </c>
      <c r="P34" s="3158" t="s">
        <v>2914</v>
      </c>
      <c r="Q34" s="3158" t="s">
        <v>2943</v>
      </c>
      <c r="R34" s="3158" t="s">
        <v>2971</v>
      </c>
    </row>
    <row r="35" spans="1:18" ht="14.25" customHeight="1">
      <c r="A35" s="3158" t="s">
        <v>1145</v>
      </c>
      <c r="B35" s="1216" t="s">
        <v>1010</v>
      </c>
      <c r="C35" s="3158">
        <v>27270</v>
      </c>
      <c r="D35" s="3158">
        <v>24270</v>
      </c>
      <c r="E35" s="3158">
        <v>24950</v>
      </c>
      <c r="F35" s="3164">
        <v>6600</v>
      </c>
      <c r="G35" s="3164">
        <v>16990</v>
      </c>
      <c r="I35" s="971"/>
      <c r="N35" s="3158" t="s">
        <v>2851</v>
      </c>
      <c r="O35" s="3158" t="s">
        <v>2865</v>
      </c>
      <c r="P35" s="3158" t="s">
        <v>2915</v>
      </c>
      <c r="Q35" s="3158" t="s">
        <v>2944</v>
      </c>
      <c r="R35" s="3158" t="s">
        <v>2972</v>
      </c>
    </row>
    <row r="36" spans="1:18" ht="14.25" customHeight="1">
      <c r="A36" s="3158" t="s">
        <v>1145</v>
      </c>
      <c r="B36" s="1216" t="s">
        <v>1016</v>
      </c>
      <c r="C36" s="3158">
        <v>23490</v>
      </c>
      <c r="D36" s="3158">
        <v>23020</v>
      </c>
      <c r="E36" s="3158">
        <v>25230</v>
      </c>
      <c r="F36" s="3164">
        <v>6780</v>
      </c>
      <c r="G36" s="3164">
        <v>16120</v>
      </c>
      <c r="I36" s="971"/>
      <c r="N36" s="3167" t="s">
        <v>2852</v>
      </c>
      <c r="O36" s="3194" t="s">
        <v>2866</v>
      </c>
      <c r="P36" s="3158" t="s">
        <v>2916</v>
      </c>
      <c r="Q36" s="3158" t="s">
        <v>2945</v>
      </c>
      <c r="R36" s="3158" t="s">
        <v>2973</v>
      </c>
    </row>
    <row r="37" spans="1:18" ht="14.25" customHeight="1">
      <c r="A37" s="3158" t="s">
        <v>1145</v>
      </c>
      <c r="B37" s="1216" t="s">
        <v>1023</v>
      </c>
      <c r="C37" s="3158">
        <v>24380</v>
      </c>
      <c r="D37" s="3158">
        <v>22240</v>
      </c>
      <c r="E37" s="3158">
        <v>25980</v>
      </c>
      <c r="F37" s="3164">
        <v>8160</v>
      </c>
      <c r="G37" s="3164">
        <v>15570</v>
      </c>
      <c r="I37" s="972"/>
      <c r="N37" s="3167" t="s">
        <v>2853</v>
      </c>
      <c r="O37" s="3194" t="s">
        <v>2867</v>
      </c>
      <c r="P37" s="3158" t="s">
        <v>2917</v>
      </c>
      <c r="Q37" s="3158" t="s">
        <v>2946</v>
      </c>
      <c r="R37" s="3158" t="s">
        <v>2974</v>
      </c>
    </row>
    <row r="38" spans="1:18" ht="14.25" customHeight="1">
      <c r="A38" s="3158" t="s">
        <v>1145</v>
      </c>
      <c r="B38" s="1216" t="s">
        <v>1033</v>
      </c>
      <c r="C38" s="3158">
        <v>23120</v>
      </c>
      <c r="D38" s="3158">
        <v>24630</v>
      </c>
      <c r="E38" s="3158">
        <v>25030</v>
      </c>
      <c r="F38" s="3164">
        <v>7710</v>
      </c>
      <c r="G38" s="3164">
        <v>17240</v>
      </c>
      <c r="I38" s="971"/>
      <c r="N38" s="3167" t="s">
        <v>2854</v>
      </c>
      <c r="O38" s="3194" t="s">
        <v>2868</v>
      </c>
      <c r="P38" s="3158" t="s">
        <v>2918</v>
      </c>
      <c r="Q38" s="3158" t="s">
        <v>2947</v>
      </c>
      <c r="R38" s="3158" t="s">
        <v>2975</v>
      </c>
    </row>
    <row r="39" spans="1:18" ht="14.25" customHeight="1">
      <c r="A39" s="3158" t="s">
        <v>1145</v>
      </c>
      <c r="B39" s="1216" t="s">
        <v>1042</v>
      </c>
      <c r="C39" s="3158">
        <v>22330</v>
      </c>
      <c r="D39" s="3158">
        <v>21140</v>
      </c>
      <c r="E39" s="3158">
        <v>23970</v>
      </c>
      <c r="F39" s="3164">
        <v>7940</v>
      </c>
      <c r="G39" s="3164">
        <v>14790</v>
      </c>
      <c r="I39" s="971"/>
      <c r="N39" s="3167" t="s">
        <v>2855</v>
      </c>
      <c r="O39" s="3194" t="s">
        <v>2869</v>
      </c>
      <c r="P39" s="3158" t="s">
        <v>2919</v>
      </c>
      <c r="Q39" s="3158" t="s">
        <v>2948</v>
      </c>
      <c r="R39" s="3158" t="s">
        <v>2976</v>
      </c>
    </row>
    <row r="40" spans="1:18" ht="14.25" customHeight="1">
      <c r="A40" s="3158" t="s">
        <v>1145</v>
      </c>
      <c r="B40" s="1216" t="s">
        <v>1049</v>
      </c>
      <c r="C40" s="3158">
        <v>24740</v>
      </c>
      <c r="D40" s="3158">
        <v>24690</v>
      </c>
      <c r="E40" s="3158">
        <v>22610</v>
      </c>
      <c r="F40" s="3164"/>
      <c r="G40" s="3164">
        <v>17280</v>
      </c>
      <c r="I40" s="971"/>
      <c r="N40" s="3167" t="s">
        <v>2856</v>
      </c>
      <c r="O40" s="3194" t="s">
        <v>2870</v>
      </c>
      <c r="P40" s="3158" t="s">
        <v>2920</v>
      </c>
      <c r="Q40" s="3158" t="s">
        <v>2949</v>
      </c>
      <c r="R40" s="3158" t="s">
        <v>2977</v>
      </c>
    </row>
    <row r="41" spans="1:18" ht="14.25" customHeight="1">
      <c r="A41" s="3158" t="s">
        <v>1145</v>
      </c>
      <c r="B41" s="1216" t="s">
        <v>1056</v>
      </c>
      <c r="C41" s="3158">
        <v>21220</v>
      </c>
      <c r="D41" s="3158">
        <v>21120</v>
      </c>
      <c r="E41" s="3158">
        <v>22590</v>
      </c>
      <c r="F41" s="3164"/>
      <c r="G41" s="3164">
        <v>14780</v>
      </c>
      <c r="I41" s="971"/>
      <c r="N41" s="3167" t="s">
        <v>2857</v>
      </c>
      <c r="O41" s="3195" t="s">
        <v>2871</v>
      </c>
      <c r="P41" s="1216" t="s">
        <v>2921</v>
      </c>
      <c r="Q41" s="3167" t="s">
        <v>2950</v>
      </c>
      <c r="R41" s="1216" t="s">
        <v>2978</v>
      </c>
    </row>
    <row r="42" spans="1:18" ht="14.25" customHeight="1">
      <c r="A42" s="3158" t="s">
        <v>1145</v>
      </c>
      <c r="B42" s="1216" t="s">
        <v>1063</v>
      </c>
      <c r="C42" s="3158">
        <v>24800</v>
      </c>
      <c r="D42" s="3158">
        <v>22280</v>
      </c>
      <c r="E42" s="3158">
        <v>24350</v>
      </c>
      <c r="F42" s="3164"/>
      <c r="G42" s="3164">
        <v>15590</v>
      </c>
      <c r="I42" s="971"/>
      <c r="O42" s="3158" t="s">
        <v>2872</v>
      </c>
      <c r="P42" s="3158" t="s">
        <v>2922</v>
      </c>
      <c r="Q42" s="3167" t="s">
        <v>2951</v>
      </c>
      <c r="R42" s="3158" t="s">
        <v>2979</v>
      </c>
    </row>
    <row r="43" spans="1:18" ht="14.25" customHeight="1">
      <c r="A43" s="3158" t="s">
        <v>1145</v>
      </c>
      <c r="B43" s="1216" t="s">
        <v>1071</v>
      </c>
      <c r="C43" s="3158">
        <v>21210</v>
      </c>
      <c r="D43" s="3158">
        <v>21160</v>
      </c>
      <c r="E43" s="3158">
        <v>22650</v>
      </c>
      <c r="F43" s="3164"/>
      <c r="G43" s="3164">
        <v>14800</v>
      </c>
      <c r="I43" s="971"/>
      <c r="O43" s="3158" t="s">
        <v>2873</v>
      </c>
      <c r="P43" s="3158" t="s">
        <v>2923</v>
      </c>
      <c r="Q43" s="3167" t="s">
        <v>2952</v>
      </c>
      <c r="R43" s="3158" t="s">
        <v>2980</v>
      </c>
    </row>
    <row r="44" spans="1:18" ht="14.25" customHeight="1">
      <c r="A44" s="3158" t="s">
        <v>1145</v>
      </c>
      <c r="B44" s="1216" t="s">
        <v>1079</v>
      </c>
      <c r="C44" s="3158">
        <v>22370</v>
      </c>
      <c r="D44" s="3158">
        <v>23140</v>
      </c>
      <c r="E44" s="3158">
        <v>25090</v>
      </c>
      <c r="F44" s="3164"/>
      <c r="G44" s="3164">
        <v>16190</v>
      </c>
      <c r="I44" s="971"/>
      <c r="O44" s="3158" t="s">
        <v>2874</v>
      </c>
      <c r="P44" s="3158" t="s">
        <v>2924</v>
      </c>
      <c r="Q44" s="3167" t="s">
        <v>2953</v>
      </c>
      <c r="R44" s="3158" t="s">
        <v>2981</v>
      </c>
    </row>
    <row r="45" spans="1:18" ht="14.25" customHeight="1">
      <c r="A45" s="3158" t="s">
        <v>1145</v>
      </c>
      <c r="B45" s="1216" t="s">
        <v>1084</v>
      </c>
      <c r="C45" s="3158">
        <v>21240</v>
      </c>
      <c r="D45" s="3158">
        <v>27050</v>
      </c>
      <c r="E45" s="3158">
        <v>28000</v>
      </c>
      <c r="F45" s="3164"/>
      <c r="G45" s="3164">
        <v>18940</v>
      </c>
      <c r="I45" s="971"/>
      <c r="O45" s="3158" t="s">
        <v>2875</v>
      </c>
      <c r="P45" s="3158" t="s">
        <v>2925</v>
      </c>
      <c r="R45" s="3158" t="s">
        <v>2982</v>
      </c>
    </row>
    <row r="46" spans="1:18" ht="14.25" customHeight="1">
      <c r="A46" s="3158" t="s">
        <v>1145</v>
      </c>
      <c r="B46" s="1216" t="s">
        <v>1093</v>
      </c>
      <c r="C46" s="3158">
        <v>23240</v>
      </c>
      <c r="D46" s="3158">
        <v>23000</v>
      </c>
      <c r="E46" s="3158">
        <v>24980</v>
      </c>
      <c r="F46" s="3164"/>
      <c r="G46" s="3164">
        <v>16100</v>
      </c>
      <c r="I46" s="971"/>
      <c r="O46" s="3158" t="s">
        <v>2876</v>
      </c>
      <c r="P46" s="3158"/>
      <c r="R46" s="3158" t="s">
        <v>2983</v>
      </c>
    </row>
    <row r="47" spans="1:18" ht="14.25" customHeight="1">
      <c r="A47" s="3158" t="s">
        <v>1145</v>
      </c>
      <c r="B47" s="2406" t="s">
        <v>1100</v>
      </c>
      <c r="C47" s="1214">
        <v>27150</v>
      </c>
      <c r="D47" s="1214">
        <v>23310</v>
      </c>
      <c r="E47" s="1214">
        <v>25150</v>
      </c>
      <c r="F47" s="3169"/>
      <c r="G47" s="3169">
        <v>16310</v>
      </c>
      <c r="I47" s="971"/>
      <c r="O47" s="3158" t="s">
        <v>2877</v>
      </c>
      <c r="P47" s="3158"/>
      <c r="R47" s="3167" t="s">
        <v>2984</v>
      </c>
    </row>
    <row r="48" spans="1:18" ht="14.25" customHeight="1">
      <c r="A48" s="3158" t="s">
        <v>1145</v>
      </c>
      <c r="B48" s="3158" t="s">
        <v>1108</v>
      </c>
      <c r="C48" s="3158">
        <v>23100</v>
      </c>
      <c r="D48" s="3158">
        <v>21110</v>
      </c>
      <c r="E48" s="3158">
        <v>23080</v>
      </c>
      <c r="F48" s="3164"/>
      <c r="G48" s="3171">
        <v>14780</v>
      </c>
      <c r="I48" s="971"/>
      <c r="O48" s="3158" t="s">
        <v>2878</v>
      </c>
      <c r="P48" s="3158"/>
      <c r="R48" s="3167" t="s">
        <v>2985</v>
      </c>
    </row>
    <row r="49" spans="1:18" ht="14.25" customHeight="1">
      <c r="A49" s="3158" t="s">
        <v>1145</v>
      </c>
      <c r="B49" s="1216" t="s">
        <v>1115</v>
      </c>
      <c r="C49" s="1216">
        <v>23400</v>
      </c>
      <c r="D49" s="1216">
        <v>22920</v>
      </c>
      <c r="E49" s="1216">
        <v>24900</v>
      </c>
      <c r="F49" s="3159"/>
      <c r="G49" s="3159">
        <v>16040</v>
      </c>
      <c r="I49" s="971"/>
      <c r="O49" s="3158" t="s">
        <v>2879</v>
      </c>
      <c r="P49" s="3158"/>
      <c r="R49" s="3167" t="s">
        <v>2986</v>
      </c>
    </row>
    <row r="50" spans="1:18" ht="14.25" customHeight="1">
      <c r="A50" s="3158" t="s">
        <v>1145</v>
      </c>
      <c r="B50" s="3158" t="s">
        <v>2828</v>
      </c>
      <c r="C50" s="3158">
        <v>21200</v>
      </c>
      <c r="D50" s="3158">
        <v>26540</v>
      </c>
      <c r="E50" s="3158">
        <v>23200</v>
      </c>
      <c r="F50" s="3164"/>
      <c r="G50" s="3164">
        <v>18580</v>
      </c>
      <c r="I50" s="971"/>
      <c r="O50" s="3167" t="s">
        <v>2880</v>
      </c>
      <c r="R50" s="3167" t="s">
        <v>2987</v>
      </c>
    </row>
    <row r="51" spans="1:18" ht="14.25" customHeight="1">
      <c r="A51" s="3158" t="s">
        <v>1145</v>
      </c>
      <c r="B51" s="3158" t="s">
        <v>2829</v>
      </c>
      <c r="C51" s="3158">
        <v>23000</v>
      </c>
      <c r="D51" s="3158">
        <v>23460</v>
      </c>
      <c r="E51" s="3158">
        <v>25290</v>
      </c>
      <c r="F51" s="3164"/>
      <c r="G51" s="3164">
        <v>16420</v>
      </c>
      <c r="I51" s="971"/>
      <c r="O51" s="3167" t="s">
        <v>2881</v>
      </c>
      <c r="R51" s="3167" t="s">
        <v>2988</v>
      </c>
    </row>
    <row r="52" spans="1:18" ht="14.25" customHeight="1">
      <c r="A52" s="3158" t="s">
        <v>1145</v>
      </c>
      <c r="B52" s="3158" t="s">
        <v>2830</v>
      </c>
      <c r="C52" s="3158">
        <v>26660</v>
      </c>
      <c r="D52" s="3158">
        <v>22350</v>
      </c>
      <c r="E52" s="3158">
        <v>22920</v>
      </c>
      <c r="F52" s="3164"/>
      <c r="G52" s="3164">
        <v>15640</v>
      </c>
      <c r="I52" s="971"/>
      <c r="O52" s="3167" t="s">
        <v>2882</v>
      </c>
    </row>
    <row r="53" spans="1:18" ht="14.25" customHeight="1">
      <c r="A53" s="3158" t="s">
        <v>1145</v>
      </c>
      <c r="B53" s="3158" t="s">
        <v>2831</v>
      </c>
      <c r="C53" s="3158">
        <v>23580</v>
      </c>
      <c r="D53" s="3158"/>
      <c r="E53" s="3158">
        <v>24280</v>
      </c>
      <c r="F53" s="3164"/>
      <c r="G53" s="3164"/>
      <c r="I53" s="971"/>
      <c r="O53" s="3167" t="s">
        <v>2883</v>
      </c>
    </row>
    <row r="54" spans="1:18" ht="14.25" customHeight="1" thickBot="1">
      <c r="A54" s="3173" t="s">
        <v>1145</v>
      </c>
      <c r="B54" s="3161" t="s">
        <v>2832</v>
      </c>
      <c r="C54" s="3161">
        <v>22460</v>
      </c>
      <c r="D54" s="3161"/>
      <c r="E54" s="3161"/>
      <c r="F54" s="3162"/>
      <c r="G54" s="3174"/>
      <c r="I54" s="971"/>
      <c r="O54" s="3167" t="s">
        <v>2884</v>
      </c>
    </row>
    <row r="55" spans="1:18" ht="14.25" customHeight="1">
      <c r="A55" s="3172" t="s">
        <v>853</v>
      </c>
      <c r="B55" s="1216" t="s">
        <v>2833</v>
      </c>
      <c r="C55" s="1216">
        <v>21970</v>
      </c>
      <c r="D55" s="1216">
        <v>20370</v>
      </c>
      <c r="E55" s="1216">
        <v>20180</v>
      </c>
      <c r="F55" s="3159">
        <v>5730</v>
      </c>
      <c r="G55" s="3159">
        <v>13820</v>
      </c>
      <c r="I55" s="971"/>
      <c r="O55" s="3167" t="s">
        <v>2885</v>
      </c>
    </row>
    <row r="56" spans="1:18" ht="14.25" customHeight="1">
      <c r="A56" s="3158" t="s">
        <v>853</v>
      </c>
      <c r="B56" s="3158" t="s">
        <v>975</v>
      </c>
      <c r="C56" s="3158">
        <v>20470</v>
      </c>
      <c r="D56" s="3158">
        <v>20700</v>
      </c>
      <c r="E56" s="3158">
        <v>20380</v>
      </c>
      <c r="F56" s="3164">
        <v>4760</v>
      </c>
      <c r="G56" s="3164">
        <v>14050</v>
      </c>
      <c r="I56" s="971"/>
      <c r="O56" s="3167" t="s">
        <v>2886</v>
      </c>
    </row>
    <row r="57" spans="1:18" ht="14.25" customHeight="1">
      <c r="A57" s="3158" t="s">
        <v>853</v>
      </c>
      <c r="B57" s="3158" t="s">
        <v>985</v>
      </c>
      <c r="C57" s="3158">
        <v>20790</v>
      </c>
      <c r="D57" s="3158">
        <v>21370</v>
      </c>
      <c r="E57" s="3158">
        <v>20890</v>
      </c>
      <c r="F57" s="3164">
        <v>4910</v>
      </c>
      <c r="G57" s="3164">
        <v>14510</v>
      </c>
      <c r="I57" s="971"/>
      <c r="O57" s="3167" t="s">
        <v>2887</v>
      </c>
    </row>
    <row r="58" spans="1:18" ht="14.25" customHeight="1">
      <c r="A58" s="3158" t="s">
        <v>853</v>
      </c>
      <c r="B58" s="3158" t="s">
        <v>994</v>
      </c>
      <c r="C58" s="3158">
        <v>21460</v>
      </c>
      <c r="D58" s="3158">
        <v>20920</v>
      </c>
      <c r="E58" s="3158">
        <v>23410</v>
      </c>
      <c r="F58" s="3164">
        <v>5100</v>
      </c>
      <c r="G58" s="3164">
        <v>14200</v>
      </c>
      <c r="I58" s="971"/>
      <c r="O58" s="3167" t="s">
        <v>2888</v>
      </c>
    </row>
    <row r="59" spans="1:18" ht="14.25" customHeight="1">
      <c r="A59" s="3158" t="s">
        <v>853</v>
      </c>
      <c r="B59" s="3158" t="s">
        <v>1004</v>
      </c>
      <c r="C59" s="3158">
        <v>21000</v>
      </c>
      <c r="D59" s="3158">
        <v>21550</v>
      </c>
      <c r="E59" s="3158">
        <v>21150</v>
      </c>
      <c r="F59" s="3164">
        <v>5250</v>
      </c>
      <c r="G59" s="3164">
        <v>14630</v>
      </c>
      <c r="I59" s="971"/>
      <c r="O59" s="3167" t="s">
        <v>2889</v>
      </c>
    </row>
    <row r="60" spans="1:18" ht="14.25" customHeight="1">
      <c r="A60" s="3158" t="s">
        <v>853</v>
      </c>
      <c r="B60" s="3158" t="s">
        <v>1011</v>
      </c>
      <c r="C60" s="3158">
        <v>21640</v>
      </c>
      <c r="D60" s="3158">
        <v>21260</v>
      </c>
      <c r="E60" s="3158">
        <v>24040</v>
      </c>
      <c r="F60" s="3164">
        <v>4470</v>
      </c>
      <c r="G60" s="3164">
        <v>14430</v>
      </c>
      <c r="I60" s="971"/>
      <c r="O60" s="3167" t="s">
        <v>2890</v>
      </c>
    </row>
    <row r="61" spans="1:18" ht="14.25" customHeight="1">
      <c r="A61" s="3158" t="s">
        <v>853</v>
      </c>
      <c r="B61" s="3158" t="s">
        <v>1017</v>
      </c>
      <c r="C61" s="3158">
        <v>21330</v>
      </c>
      <c r="D61" s="3158">
        <v>18640</v>
      </c>
      <c r="E61" s="3158">
        <v>21190</v>
      </c>
      <c r="F61" s="3164">
        <v>4180</v>
      </c>
      <c r="G61" s="3166">
        <v>12650</v>
      </c>
      <c r="I61" s="971"/>
      <c r="O61" s="3167" t="s">
        <v>2891</v>
      </c>
    </row>
    <row r="62" spans="1:18" ht="14.25" customHeight="1">
      <c r="A62" s="3158" t="s">
        <v>853</v>
      </c>
      <c r="B62" s="3158" t="s">
        <v>1024</v>
      </c>
      <c r="C62" s="3158">
        <v>18710</v>
      </c>
      <c r="D62" s="3158">
        <v>19400</v>
      </c>
      <c r="E62" s="3158">
        <v>23750</v>
      </c>
      <c r="F62" s="3164">
        <v>4860</v>
      </c>
      <c r="G62" s="3166">
        <v>13170</v>
      </c>
      <c r="I62" s="971"/>
      <c r="O62" s="3167" t="s">
        <v>2892</v>
      </c>
    </row>
    <row r="63" spans="1:18" ht="14.25" customHeight="1">
      <c r="A63" s="3158" t="s">
        <v>853</v>
      </c>
      <c r="B63" s="3158" t="s">
        <v>1034</v>
      </c>
      <c r="C63" s="3158">
        <v>19480</v>
      </c>
      <c r="D63" s="3158">
        <v>16830</v>
      </c>
      <c r="E63" s="3158">
        <v>21590</v>
      </c>
      <c r="F63" s="3164">
        <v>4560</v>
      </c>
      <c r="G63" s="3166">
        <v>11420</v>
      </c>
      <c r="I63" s="971"/>
      <c r="O63" s="3167" t="s">
        <v>2893</v>
      </c>
    </row>
    <row r="64" spans="1:18" ht="14.25" customHeight="1">
      <c r="A64" s="3158" t="s">
        <v>853</v>
      </c>
      <c r="B64" s="3158" t="s">
        <v>1043</v>
      </c>
      <c r="C64" s="3158">
        <v>16920</v>
      </c>
      <c r="D64" s="3158">
        <v>19190</v>
      </c>
      <c r="E64" s="3158">
        <v>22200</v>
      </c>
      <c r="F64" s="3164">
        <v>4390</v>
      </c>
      <c r="G64" s="3166">
        <v>13030</v>
      </c>
      <c r="I64" s="971"/>
      <c r="O64" s="3167" t="s">
        <v>2894</v>
      </c>
    </row>
    <row r="65" spans="1:21" s="960" customFormat="1" ht="14.25" customHeight="1">
      <c r="A65" s="3158" t="s">
        <v>853</v>
      </c>
      <c r="B65" s="3158" t="s">
        <v>1050</v>
      </c>
      <c r="C65" s="3158">
        <v>19290</v>
      </c>
      <c r="D65" s="3158">
        <v>17020</v>
      </c>
      <c r="E65" s="3158">
        <v>19880</v>
      </c>
      <c r="F65" s="3164">
        <v>4070</v>
      </c>
      <c r="G65" s="3164">
        <v>11550</v>
      </c>
      <c r="I65" s="971"/>
      <c r="J65" s="3193"/>
      <c r="K65" s="3193"/>
      <c r="L65" s="3193"/>
      <c r="M65" s="3193"/>
      <c r="N65" s="3193"/>
      <c r="O65" s="3193"/>
      <c r="P65" s="3193"/>
      <c r="Q65" s="3193"/>
      <c r="R65" s="3193"/>
      <c r="S65" s="3193"/>
      <c r="T65" s="3193"/>
      <c r="U65" s="3193"/>
    </row>
    <row r="66" spans="1:21" s="960" customFormat="1" ht="14.25" customHeight="1">
      <c r="A66" s="3158" t="s">
        <v>853</v>
      </c>
      <c r="B66" s="3158" t="s">
        <v>1057</v>
      </c>
      <c r="C66" s="3158">
        <v>17090</v>
      </c>
      <c r="D66" s="3158">
        <v>18340</v>
      </c>
      <c r="E66" s="3158">
        <v>21830</v>
      </c>
      <c r="F66" s="3164">
        <v>4690</v>
      </c>
      <c r="G66" s="3164">
        <v>12450</v>
      </c>
      <c r="I66" s="971"/>
      <c r="J66" s="3193"/>
      <c r="K66" s="3193"/>
      <c r="L66" s="3193"/>
      <c r="M66" s="3193"/>
      <c r="N66" s="3193"/>
      <c r="O66" s="3193"/>
      <c r="P66" s="3193"/>
      <c r="Q66" s="3193"/>
      <c r="R66" s="3193"/>
      <c r="S66" s="3193"/>
      <c r="T66" s="3193"/>
      <c r="U66" s="3193"/>
    </row>
    <row r="67" spans="1:21" s="960" customFormat="1" ht="14.25" customHeight="1">
      <c r="A67" s="3158" t="s">
        <v>853</v>
      </c>
      <c r="B67" s="3158" t="s">
        <v>1064</v>
      </c>
      <c r="C67" s="3158">
        <v>18420</v>
      </c>
      <c r="D67" s="3158">
        <v>16360</v>
      </c>
      <c r="E67" s="3158">
        <v>20020</v>
      </c>
      <c r="F67" s="3164">
        <v>5150</v>
      </c>
      <c r="G67" s="3164">
        <v>11110</v>
      </c>
      <c r="I67" s="971"/>
      <c r="J67" s="3193"/>
      <c r="K67" s="3193"/>
      <c r="L67" s="3193"/>
      <c r="M67" s="3193"/>
      <c r="N67" s="3193"/>
      <c r="O67" s="3193"/>
      <c r="P67" s="3193"/>
      <c r="Q67" s="3193"/>
      <c r="R67" s="3193"/>
      <c r="S67" s="3193"/>
      <c r="T67" s="3193"/>
      <c r="U67" s="3193"/>
    </row>
    <row r="68" spans="1:21" s="960" customFormat="1" ht="14.25" customHeight="1">
      <c r="A68" s="3158" t="s">
        <v>853</v>
      </c>
      <c r="B68" s="3158" t="s">
        <v>1072</v>
      </c>
      <c r="C68" s="3158">
        <v>16450</v>
      </c>
      <c r="D68" s="3158">
        <v>18430</v>
      </c>
      <c r="E68" s="3158">
        <v>21010</v>
      </c>
      <c r="F68" s="3164">
        <v>4720</v>
      </c>
      <c r="G68" s="3164">
        <v>12510</v>
      </c>
      <c r="I68" s="971"/>
      <c r="J68" s="3193"/>
      <c r="K68" s="3193"/>
      <c r="L68" s="3193"/>
      <c r="M68" s="3193"/>
      <c r="N68" s="3193"/>
      <c r="O68" s="3193"/>
      <c r="P68" s="3193"/>
      <c r="Q68" s="3193"/>
      <c r="R68" s="3193"/>
      <c r="S68" s="3193"/>
      <c r="T68" s="3193"/>
      <c r="U68" s="3193"/>
    </row>
    <row r="69" spans="1:21" s="960" customFormat="1" ht="14.25" customHeight="1">
      <c r="A69" s="3158" t="s">
        <v>853</v>
      </c>
      <c r="B69" s="3158" t="s">
        <v>1080</v>
      </c>
      <c r="C69" s="3158">
        <v>18510</v>
      </c>
      <c r="D69" s="3158">
        <v>16300</v>
      </c>
      <c r="E69" s="3158">
        <v>18830</v>
      </c>
      <c r="F69" s="3164">
        <v>5400</v>
      </c>
      <c r="G69" s="3164">
        <v>11070</v>
      </c>
      <c r="I69" s="971"/>
      <c r="J69" s="3193"/>
      <c r="K69" s="3193"/>
      <c r="L69" s="3193"/>
      <c r="M69" s="3193"/>
      <c r="N69" s="3193"/>
      <c r="O69" s="3193"/>
      <c r="P69" s="3193"/>
      <c r="Q69" s="3193"/>
      <c r="R69" s="3193"/>
      <c r="S69" s="3193"/>
      <c r="T69" s="3193"/>
      <c r="U69" s="3193"/>
    </row>
    <row r="70" spans="1:21" s="960" customFormat="1" ht="14.25" customHeight="1">
      <c r="A70" s="3158" t="s">
        <v>853</v>
      </c>
      <c r="B70" s="3158" t="s">
        <v>1085</v>
      </c>
      <c r="C70" s="3158">
        <v>16370</v>
      </c>
      <c r="D70" s="3158">
        <v>18620</v>
      </c>
      <c r="E70" s="3158">
        <v>21100</v>
      </c>
      <c r="F70" s="3164">
        <v>5700</v>
      </c>
      <c r="G70" s="3164">
        <v>12640</v>
      </c>
      <c r="I70" s="971"/>
      <c r="J70" s="3193"/>
      <c r="K70" s="3193"/>
      <c r="L70" s="3193"/>
      <c r="M70" s="3193"/>
      <c r="N70" s="3193"/>
      <c r="O70" s="3193"/>
      <c r="P70" s="3193"/>
      <c r="Q70" s="3193"/>
      <c r="R70" s="3193"/>
      <c r="S70" s="3193"/>
      <c r="T70" s="3193"/>
      <c r="U70" s="3193"/>
    </row>
    <row r="71" spans="1:21" s="960" customFormat="1" ht="14.25" customHeight="1">
      <c r="A71" s="3158" t="s">
        <v>853</v>
      </c>
      <c r="B71" s="3158" t="s">
        <v>1094</v>
      </c>
      <c r="C71" s="3158">
        <v>18700</v>
      </c>
      <c r="D71" s="3158">
        <v>16290</v>
      </c>
      <c r="E71" s="3158">
        <v>18760</v>
      </c>
      <c r="F71" s="3164">
        <v>4780</v>
      </c>
      <c r="G71" s="3164">
        <v>11050</v>
      </c>
      <c r="I71" s="971"/>
      <c r="J71" s="3193"/>
      <c r="K71" s="3193"/>
      <c r="L71" s="3193"/>
      <c r="M71" s="3193"/>
      <c r="N71" s="3193"/>
      <c r="O71" s="3193"/>
      <c r="P71" s="3193"/>
      <c r="Q71" s="3193"/>
      <c r="R71" s="3193"/>
      <c r="S71" s="3193"/>
      <c r="T71" s="3193"/>
      <c r="U71" s="3193"/>
    </row>
    <row r="72" spans="1:21" s="960" customFormat="1" ht="14.25" customHeight="1">
      <c r="A72" s="3158" t="s">
        <v>853</v>
      </c>
      <c r="B72" s="3158" t="s">
        <v>1101</v>
      </c>
      <c r="C72" s="3158">
        <v>16340</v>
      </c>
      <c r="D72" s="3158">
        <v>17520</v>
      </c>
      <c r="E72" s="3158">
        <v>21170</v>
      </c>
      <c r="F72" s="3164"/>
      <c r="G72" s="3164">
        <v>11900</v>
      </c>
      <c r="I72" s="971"/>
      <c r="J72" s="3193"/>
      <c r="K72" s="3193"/>
      <c r="L72" s="3193"/>
      <c r="M72" s="3193"/>
      <c r="N72" s="3193"/>
      <c r="O72" s="3193"/>
      <c r="P72" s="3193"/>
      <c r="Q72" s="3193"/>
      <c r="R72" s="3193"/>
      <c r="S72" s="3193"/>
      <c r="T72" s="3193"/>
      <c r="U72" s="3193"/>
    </row>
    <row r="73" spans="1:21" s="960" customFormat="1" ht="14.25" customHeight="1">
      <c r="A73" s="3158" t="s">
        <v>853</v>
      </c>
      <c r="B73" s="3158" t="s">
        <v>1109</v>
      </c>
      <c r="C73" s="3158">
        <v>17610</v>
      </c>
      <c r="D73" s="3158">
        <v>18520</v>
      </c>
      <c r="E73" s="3158">
        <v>18720</v>
      </c>
      <c r="F73" s="3164"/>
      <c r="G73" s="3164">
        <v>12570</v>
      </c>
      <c r="I73" s="971"/>
      <c r="J73" s="3193"/>
      <c r="K73" s="3193"/>
      <c r="L73" s="3193"/>
      <c r="M73" s="3193"/>
      <c r="N73" s="3193"/>
      <c r="O73" s="3193"/>
      <c r="P73" s="3193"/>
      <c r="Q73" s="3193"/>
      <c r="R73" s="3193"/>
      <c r="S73" s="3193"/>
      <c r="T73" s="3193"/>
      <c r="U73" s="3193"/>
    </row>
    <row r="74" spans="1:21" s="960" customFormat="1" ht="14.25" customHeight="1">
      <c r="A74" s="3158" t="s">
        <v>853</v>
      </c>
      <c r="B74" s="3158" t="s">
        <v>1116</v>
      </c>
      <c r="C74" s="3158">
        <v>18600</v>
      </c>
      <c r="D74" s="3158">
        <v>16480</v>
      </c>
      <c r="E74" s="3158">
        <v>20100</v>
      </c>
      <c r="F74" s="3164"/>
      <c r="G74" s="3164">
        <v>11190</v>
      </c>
      <c r="I74" s="971"/>
      <c r="J74" s="3193"/>
      <c r="K74" s="3193"/>
      <c r="L74" s="3193"/>
      <c r="M74" s="3193"/>
      <c r="N74" s="3193"/>
      <c r="O74" s="3193"/>
      <c r="P74" s="3193"/>
      <c r="Q74" s="3193"/>
      <c r="R74" s="3193"/>
      <c r="S74" s="3193"/>
      <c r="T74" s="3193"/>
      <c r="U74" s="3193"/>
    </row>
    <row r="75" spans="1:21" s="960" customFormat="1" ht="14.25" customHeight="1">
      <c r="A75" s="3158" t="s">
        <v>853</v>
      </c>
      <c r="B75" s="3158" t="s">
        <v>1120</v>
      </c>
      <c r="C75" s="3158">
        <v>16570</v>
      </c>
      <c r="D75" s="3158">
        <v>17530</v>
      </c>
      <c r="E75" s="3158">
        <v>21030</v>
      </c>
      <c r="F75" s="3164"/>
      <c r="G75" s="3171">
        <v>11900</v>
      </c>
      <c r="I75" s="971"/>
      <c r="J75" s="3193"/>
      <c r="K75" s="3193"/>
      <c r="L75" s="3193"/>
      <c r="M75" s="3193"/>
      <c r="N75" s="3193"/>
      <c r="O75" s="3193"/>
      <c r="P75" s="3193"/>
      <c r="Q75" s="3193"/>
      <c r="R75" s="3193"/>
      <c r="S75" s="3193"/>
      <c r="T75" s="3193"/>
      <c r="U75" s="3193"/>
    </row>
    <row r="76" spans="1:21" s="960" customFormat="1" ht="14.25" customHeight="1">
      <c r="A76" s="3158" t="s">
        <v>853</v>
      </c>
      <c r="B76" s="1216" t="s">
        <v>1127</v>
      </c>
      <c r="C76" s="1216">
        <v>17610</v>
      </c>
      <c r="D76" s="1216">
        <v>20800</v>
      </c>
      <c r="E76" s="1216">
        <v>18920</v>
      </c>
      <c r="F76" s="3159"/>
      <c r="G76" s="3159">
        <v>14120</v>
      </c>
      <c r="I76" s="971"/>
      <c r="J76" s="3193"/>
      <c r="K76" s="3193"/>
      <c r="L76" s="3193"/>
      <c r="M76" s="3193"/>
      <c r="N76" s="3193"/>
      <c r="O76" s="3193"/>
      <c r="P76" s="3193"/>
      <c r="Q76" s="3193"/>
      <c r="R76" s="3193"/>
      <c r="S76" s="3193"/>
      <c r="T76" s="3193"/>
      <c r="U76" s="3193"/>
    </row>
    <row r="77" spans="1:21" s="960" customFormat="1" ht="14.25" customHeight="1">
      <c r="A77" s="3158" t="s">
        <v>853</v>
      </c>
      <c r="B77" s="3158" t="s">
        <v>1130</v>
      </c>
      <c r="C77" s="3158">
        <v>20890</v>
      </c>
      <c r="D77" s="3158">
        <v>19740</v>
      </c>
      <c r="E77" s="3158">
        <v>20110</v>
      </c>
      <c r="F77" s="3164"/>
      <c r="G77" s="3164">
        <v>13400</v>
      </c>
      <c r="I77" s="971"/>
      <c r="J77" s="3193"/>
      <c r="K77" s="3193"/>
      <c r="L77" s="3193"/>
      <c r="M77" s="3193"/>
      <c r="N77" s="3193"/>
      <c r="O77" s="3193"/>
      <c r="P77" s="3193"/>
      <c r="Q77" s="3193"/>
      <c r="R77" s="3193"/>
      <c r="S77" s="3193"/>
      <c r="T77" s="3193"/>
      <c r="U77" s="3193"/>
    </row>
    <row r="78" spans="1:21" s="960" customFormat="1" ht="14.25" customHeight="1">
      <c r="A78" s="3158" t="s">
        <v>853</v>
      </c>
      <c r="B78" s="3158" t="s">
        <v>2834</v>
      </c>
      <c r="C78" s="3158">
        <v>19820</v>
      </c>
      <c r="D78" s="3158">
        <v>19780</v>
      </c>
      <c r="E78" s="3158">
        <v>18560</v>
      </c>
      <c r="F78" s="3164"/>
      <c r="G78" s="3164">
        <v>13430</v>
      </c>
      <c r="I78" s="971"/>
      <c r="J78" s="3193"/>
      <c r="K78" s="3193"/>
      <c r="L78" s="3193"/>
      <c r="M78" s="3193"/>
      <c r="N78" s="3193"/>
      <c r="O78" s="3193"/>
      <c r="P78" s="3193"/>
      <c r="Q78" s="3193"/>
      <c r="R78" s="3193"/>
      <c r="S78" s="3193"/>
      <c r="T78" s="3193"/>
      <c r="U78" s="3193"/>
    </row>
    <row r="79" spans="1:21" s="960" customFormat="1" ht="14.25" customHeight="1">
      <c r="A79" s="3158" t="s">
        <v>853</v>
      </c>
      <c r="B79" s="3158" t="s">
        <v>2835</v>
      </c>
      <c r="C79" s="3158">
        <v>21660</v>
      </c>
      <c r="D79" s="3158">
        <v>18000</v>
      </c>
      <c r="E79" s="3158">
        <v>22570</v>
      </c>
      <c r="F79" s="3164"/>
      <c r="G79" s="3164">
        <v>12220</v>
      </c>
      <c r="I79" s="971"/>
      <c r="J79" s="3193"/>
      <c r="K79" s="3193"/>
      <c r="L79" s="3193"/>
      <c r="M79" s="3193"/>
      <c r="N79" s="3193"/>
      <c r="O79" s="3193"/>
      <c r="P79" s="3193"/>
      <c r="Q79" s="3193"/>
      <c r="R79" s="3193"/>
      <c r="S79" s="3193"/>
      <c r="T79" s="3193"/>
      <c r="U79" s="3193"/>
    </row>
    <row r="80" spans="1:21" s="960" customFormat="1" ht="14.25" customHeight="1">
      <c r="A80" s="3158" t="s">
        <v>853</v>
      </c>
      <c r="B80" s="3158" t="s">
        <v>2836</v>
      </c>
      <c r="C80" s="3158">
        <v>19850</v>
      </c>
      <c r="D80" s="3158"/>
      <c r="E80" s="3158">
        <v>21700</v>
      </c>
      <c r="F80" s="3164"/>
      <c r="G80" s="3164"/>
      <c r="I80" s="971"/>
      <c r="J80" s="3193"/>
      <c r="K80" s="3193"/>
      <c r="L80" s="3193"/>
      <c r="M80" s="3193"/>
      <c r="N80" s="3193"/>
      <c r="O80" s="3193"/>
      <c r="P80" s="3193"/>
      <c r="Q80" s="3193"/>
      <c r="R80" s="3193"/>
      <c r="S80" s="3193"/>
      <c r="T80" s="3193"/>
      <c r="U80" s="3193"/>
    </row>
    <row r="81" spans="1:21" s="960" customFormat="1" ht="14.25" customHeight="1">
      <c r="A81" s="3158" t="s">
        <v>853</v>
      </c>
      <c r="B81" s="3158" t="s">
        <v>2837</v>
      </c>
      <c r="C81" s="3158">
        <v>18080</v>
      </c>
      <c r="D81" s="3158"/>
      <c r="E81" s="3158">
        <v>20900</v>
      </c>
      <c r="F81" s="3164"/>
      <c r="G81" s="3164"/>
      <c r="I81" s="971"/>
      <c r="J81" s="3193"/>
      <c r="K81" s="3193"/>
      <c r="L81" s="3193"/>
      <c r="M81" s="3193"/>
      <c r="N81" s="3193"/>
      <c r="O81" s="3193"/>
      <c r="P81" s="3193"/>
      <c r="Q81" s="3193"/>
      <c r="R81" s="3193"/>
      <c r="S81" s="3193"/>
      <c r="T81" s="3193"/>
      <c r="U81" s="3193"/>
    </row>
    <row r="82" spans="1:21" s="960" customFormat="1" ht="14.25" customHeight="1">
      <c r="A82" s="3158" t="s">
        <v>853</v>
      </c>
      <c r="B82" s="3158" t="s">
        <v>2838</v>
      </c>
      <c r="C82" s="3158"/>
      <c r="D82" s="3158"/>
      <c r="E82" s="3158">
        <v>20840</v>
      </c>
      <c r="F82" s="3164"/>
      <c r="G82" s="3164"/>
      <c r="I82" s="971"/>
      <c r="J82" s="3193"/>
      <c r="K82" s="3193"/>
      <c r="L82" s="3193"/>
      <c r="M82" s="3193"/>
      <c r="N82" s="3193"/>
      <c r="O82" s="3193"/>
      <c r="P82" s="3193"/>
      <c r="Q82" s="3193"/>
      <c r="R82" s="3193"/>
      <c r="S82" s="3193"/>
      <c r="T82" s="3193"/>
      <c r="U82" s="3193"/>
    </row>
    <row r="83" spans="1:21" s="960" customFormat="1" ht="14.25" customHeight="1">
      <c r="A83" s="3158" t="s">
        <v>853</v>
      </c>
      <c r="B83" s="3158" t="s">
        <v>2839</v>
      </c>
      <c r="C83" s="3158"/>
      <c r="D83" s="3158"/>
      <c r="E83" s="3158"/>
      <c r="F83" s="3164">
        <v>4770</v>
      </c>
      <c r="G83" s="3164"/>
      <c r="I83" s="971"/>
      <c r="J83" s="3193"/>
      <c r="K83" s="3193"/>
      <c r="L83" s="3193"/>
      <c r="M83" s="3193"/>
      <c r="N83" s="3193"/>
      <c r="O83" s="3193"/>
      <c r="P83" s="3193"/>
      <c r="Q83" s="3193"/>
      <c r="R83" s="3193"/>
      <c r="S83" s="3193"/>
      <c r="T83" s="3193"/>
      <c r="U83" s="3193"/>
    </row>
    <row r="84" spans="1:21" s="960" customFormat="1" ht="14.25" customHeight="1">
      <c r="A84" s="3158" t="s">
        <v>853</v>
      </c>
      <c r="B84" s="3158" t="s">
        <v>2840</v>
      </c>
      <c r="C84" s="3158"/>
      <c r="D84" s="3158"/>
      <c r="E84" s="3158"/>
      <c r="F84" s="3164">
        <v>4600</v>
      </c>
      <c r="G84" s="3164"/>
      <c r="I84" s="971"/>
      <c r="J84" s="3193"/>
      <c r="K84" s="3193"/>
      <c r="L84" s="3193"/>
      <c r="M84" s="3193"/>
      <c r="N84" s="3193"/>
      <c r="O84" s="3193"/>
      <c r="P84" s="3193"/>
      <c r="Q84" s="3193"/>
      <c r="R84" s="3193"/>
      <c r="S84" s="3193"/>
      <c r="T84" s="3193"/>
      <c r="U84" s="3193"/>
    </row>
    <row r="85" spans="1:21" s="960" customFormat="1" ht="14.25" customHeight="1">
      <c r="A85" s="3158" t="s">
        <v>853</v>
      </c>
      <c r="B85" s="1214" t="s">
        <v>2841</v>
      </c>
      <c r="C85" s="1214"/>
      <c r="D85" s="1214"/>
      <c r="E85" s="1214"/>
      <c r="F85" s="3169">
        <v>4680</v>
      </c>
      <c r="G85" s="3169"/>
      <c r="I85" s="971"/>
      <c r="J85" s="3193"/>
      <c r="K85" s="3193"/>
      <c r="L85" s="3193"/>
      <c r="M85" s="3193"/>
      <c r="N85" s="3193"/>
      <c r="O85" s="3193"/>
      <c r="P85" s="3193"/>
      <c r="Q85" s="3193"/>
      <c r="R85" s="3193"/>
      <c r="S85" s="3193"/>
      <c r="T85" s="3193"/>
      <c r="U85" s="3193"/>
    </row>
    <row r="86" spans="1:21" s="960" customFormat="1" ht="14.25" customHeight="1" thickBot="1">
      <c r="A86" s="3173" t="s">
        <v>853</v>
      </c>
      <c r="B86" s="3161" t="s">
        <v>2842</v>
      </c>
      <c r="C86" s="3161">
        <v>16610</v>
      </c>
      <c r="D86" s="3161">
        <v>16540</v>
      </c>
      <c r="E86" s="3161">
        <v>18850</v>
      </c>
      <c r="F86" s="3162"/>
      <c r="G86" s="3174">
        <v>11220</v>
      </c>
      <c r="I86" s="971"/>
      <c r="J86" s="3193"/>
      <c r="K86" s="3193"/>
      <c r="L86" s="3193"/>
      <c r="M86" s="3193"/>
      <c r="N86" s="3193"/>
      <c r="O86" s="3193"/>
      <c r="P86" s="3193"/>
      <c r="Q86" s="3193"/>
      <c r="R86" s="3193"/>
      <c r="S86" s="3193"/>
      <c r="T86" s="3193"/>
      <c r="U86" s="3193"/>
    </row>
    <row r="87" spans="1:21" s="960" customFormat="1" ht="14.25" customHeight="1">
      <c r="A87" s="3172" t="s">
        <v>1152</v>
      </c>
      <c r="B87" s="1216" t="s">
        <v>2843</v>
      </c>
      <c r="C87" s="1216">
        <v>15240</v>
      </c>
      <c r="D87" s="1216">
        <v>15170</v>
      </c>
      <c r="E87" s="1216">
        <v>18260</v>
      </c>
      <c r="F87" s="3159">
        <v>3830</v>
      </c>
      <c r="G87" s="3175">
        <v>10020</v>
      </c>
      <c r="I87" s="971"/>
      <c r="J87" s="3193"/>
      <c r="K87" s="3193"/>
      <c r="L87" s="3193"/>
      <c r="M87" s="3193"/>
      <c r="N87" s="3193"/>
      <c r="O87" s="3193"/>
      <c r="P87" s="3193"/>
      <c r="Q87" s="3193"/>
      <c r="R87" s="3193"/>
      <c r="S87" s="3193"/>
      <c r="T87" s="3193"/>
      <c r="U87" s="3193"/>
    </row>
    <row r="88" spans="1:21" s="960" customFormat="1" ht="14.25" customHeight="1">
      <c r="A88" s="3158" t="s">
        <v>1152</v>
      </c>
      <c r="B88" s="3158" t="s">
        <v>976</v>
      </c>
      <c r="C88" s="3158">
        <v>17310</v>
      </c>
      <c r="D88" s="3158">
        <v>17220</v>
      </c>
      <c r="E88" s="3158">
        <v>18610</v>
      </c>
      <c r="F88" s="3164">
        <v>3990</v>
      </c>
      <c r="G88" s="3166">
        <v>11380</v>
      </c>
      <c r="I88" s="971"/>
      <c r="J88" s="3193"/>
      <c r="K88" s="3193"/>
      <c r="L88" s="3193"/>
      <c r="M88" s="3193"/>
      <c r="N88" s="3193"/>
      <c r="O88" s="3193"/>
      <c r="P88" s="3193"/>
      <c r="Q88" s="3193"/>
      <c r="R88" s="3193"/>
      <c r="S88" s="3193"/>
      <c r="T88" s="3193"/>
      <c r="U88" s="3193"/>
    </row>
    <row r="89" spans="1:21" s="960" customFormat="1" ht="14.25" customHeight="1">
      <c r="A89" s="3158" t="s">
        <v>1152</v>
      </c>
      <c r="B89" s="3158" t="s">
        <v>986</v>
      </c>
      <c r="C89" s="3158">
        <v>15600</v>
      </c>
      <c r="D89" s="3158">
        <v>15550</v>
      </c>
      <c r="E89" s="3158">
        <v>19200</v>
      </c>
      <c r="F89" s="3164">
        <v>4110</v>
      </c>
      <c r="G89" s="3166">
        <v>10270</v>
      </c>
      <c r="I89" s="971"/>
      <c r="J89" s="3193"/>
      <c r="K89" s="3193"/>
      <c r="L89" s="3193"/>
      <c r="M89" s="3193"/>
      <c r="N89" s="3193"/>
      <c r="O89" s="3193"/>
      <c r="P89" s="3193"/>
      <c r="Q89" s="3193"/>
      <c r="R89" s="3193"/>
      <c r="S89" s="3193"/>
      <c r="T89" s="3193"/>
      <c r="U89" s="3193"/>
    </row>
    <row r="90" spans="1:21" s="960" customFormat="1" ht="14.25" customHeight="1">
      <c r="A90" s="3158" t="s">
        <v>1152</v>
      </c>
      <c r="B90" s="3158" t="s">
        <v>995</v>
      </c>
      <c r="C90" s="3158">
        <v>17330</v>
      </c>
      <c r="D90" s="3158">
        <v>17240</v>
      </c>
      <c r="E90" s="3158">
        <v>18570</v>
      </c>
      <c r="F90" s="3164">
        <v>4070</v>
      </c>
      <c r="G90" s="3166">
        <v>11390</v>
      </c>
      <c r="I90" s="971"/>
      <c r="J90" s="3193"/>
      <c r="K90" s="3193"/>
      <c r="L90" s="3193"/>
      <c r="M90" s="3193"/>
      <c r="N90" s="3193"/>
      <c r="O90" s="3193"/>
      <c r="P90" s="3193"/>
      <c r="Q90" s="3193"/>
      <c r="R90" s="3193"/>
      <c r="S90" s="3193"/>
      <c r="T90" s="3193"/>
      <c r="U90" s="3193"/>
    </row>
    <row r="91" spans="1:21" s="960" customFormat="1" ht="14.25" customHeight="1">
      <c r="A91" s="3158" t="s">
        <v>1152</v>
      </c>
      <c r="B91" s="3158" t="s">
        <v>1005</v>
      </c>
      <c r="C91" s="3158">
        <v>16330</v>
      </c>
      <c r="D91" s="3158">
        <v>16260</v>
      </c>
      <c r="E91" s="3158">
        <v>16800</v>
      </c>
      <c r="F91" s="3164">
        <v>3410</v>
      </c>
      <c r="G91" s="3166">
        <v>10740</v>
      </c>
      <c r="I91" s="971"/>
      <c r="J91" s="3193"/>
      <c r="K91" s="3193"/>
      <c r="L91" s="3193"/>
      <c r="M91" s="3193"/>
      <c r="N91" s="3193"/>
      <c r="O91" s="3193"/>
      <c r="P91" s="3193"/>
      <c r="Q91" s="3193"/>
      <c r="R91" s="3193"/>
      <c r="S91" s="3193"/>
      <c r="T91" s="3193"/>
      <c r="U91" s="3193"/>
    </row>
    <row r="92" spans="1:21" s="960" customFormat="1" ht="14.25" customHeight="1">
      <c r="A92" s="3158" t="s">
        <v>1152</v>
      </c>
      <c r="B92" s="3158" t="s">
        <v>1012</v>
      </c>
      <c r="C92" s="3158">
        <v>15570</v>
      </c>
      <c r="D92" s="3158">
        <v>15500</v>
      </c>
      <c r="E92" s="3158">
        <v>17360</v>
      </c>
      <c r="F92" s="3164">
        <v>3510</v>
      </c>
      <c r="G92" s="3166">
        <v>10240</v>
      </c>
      <c r="I92" s="971"/>
      <c r="J92" s="3193"/>
      <c r="K92" s="3193"/>
      <c r="L92" s="3193"/>
      <c r="M92" s="3193"/>
      <c r="N92" s="3193"/>
      <c r="O92" s="3193"/>
      <c r="P92" s="3193"/>
      <c r="Q92" s="3193"/>
      <c r="R92" s="3193"/>
      <c r="S92" s="3193"/>
      <c r="T92" s="3193"/>
      <c r="U92" s="3193"/>
    </row>
    <row r="93" spans="1:21" s="960" customFormat="1" ht="14.25" customHeight="1">
      <c r="A93" s="3158" t="s">
        <v>1152</v>
      </c>
      <c r="B93" s="3158" t="s">
        <v>1018</v>
      </c>
      <c r="C93" s="3158">
        <v>14000</v>
      </c>
      <c r="D93" s="3158">
        <v>13930</v>
      </c>
      <c r="E93" s="3158">
        <v>18200</v>
      </c>
      <c r="F93" s="3164">
        <v>3640</v>
      </c>
      <c r="G93" s="3166">
        <v>9210</v>
      </c>
      <c r="I93" s="971"/>
      <c r="J93" s="3193"/>
      <c r="K93" s="3193"/>
      <c r="L93" s="3193"/>
      <c r="M93" s="3193"/>
      <c r="N93" s="3193"/>
      <c r="O93" s="3193"/>
      <c r="P93" s="3193"/>
      <c r="Q93" s="3193"/>
      <c r="R93" s="3193"/>
      <c r="S93" s="3193"/>
      <c r="T93" s="3193"/>
      <c r="U93" s="3193"/>
    </row>
    <row r="94" spans="1:21" s="960" customFormat="1" ht="14.25" customHeight="1">
      <c r="A94" s="3158" t="s">
        <v>1152</v>
      </c>
      <c r="B94" s="3158" t="s">
        <v>1025</v>
      </c>
      <c r="C94" s="3158">
        <v>14530</v>
      </c>
      <c r="D94" s="3158">
        <v>14470</v>
      </c>
      <c r="E94" s="3158">
        <v>18240</v>
      </c>
      <c r="F94" s="3164">
        <v>3180</v>
      </c>
      <c r="G94" s="3166">
        <v>9560</v>
      </c>
      <c r="I94" s="971"/>
      <c r="J94" s="3193"/>
      <c r="K94" s="3193"/>
      <c r="L94" s="3193"/>
      <c r="M94" s="3193"/>
      <c r="N94" s="3193"/>
      <c r="O94" s="3193"/>
      <c r="P94" s="3193"/>
      <c r="Q94" s="3193"/>
      <c r="R94" s="3193"/>
      <c r="S94" s="3193"/>
      <c r="T94" s="3193"/>
      <c r="U94" s="3193"/>
    </row>
    <row r="95" spans="1:21" s="960" customFormat="1" ht="14.25" customHeight="1">
      <c r="A95" s="3158" t="s">
        <v>1152</v>
      </c>
      <c r="B95" s="3158" t="s">
        <v>1035</v>
      </c>
      <c r="C95" s="3158">
        <v>17330</v>
      </c>
      <c r="D95" s="3158">
        <v>17260</v>
      </c>
      <c r="E95" s="3158">
        <v>18420</v>
      </c>
      <c r="F95" s="3164">
        <v>3060</v>
      </c>
      <c r="G95" s="3164">
        <v>11410</v>
      </c>
      <c r="I95" s="971"/>
      <c r="J95" s="3193"/>
      <c r="K95" s="3193"/>
      <c r="L95" s="3193"/>
      <c r="M95" s="3193"/>
      <c r="N95" s="3193"/>
      <c r="O95" s="3193"/>
      <c r="P95" s="3193"/>
      <c r="Q95" s="3193"/>
      <c r="R95" s="3193"/>
      <c r="S95" s="3193"/>
      <c r="T95" s="3193"/>
      <c r="U95" s="3193"/>
    </row>
    <row r="96" spans="1:21" s="960" customFormat="1" ht="14.25" customHeight="1">
      <c r="A96" s="3158" t="s">
        <v>1152</v>
      </c>
      <c r="B96" s="3158" t="s">
        <v>1044</v>
      </c>
      <c r="C96" s="3158">
        <v>15030</v>
      </c>
      <c r="D96" s="3158">
        <v>14970</v>
      </c>
      <c r="E96" s="3158">
        <v>17580</v>
      </c>
      <c r="F96" s="3164">
        <v>2970</v>
      </c>
      <c r="G96" s="3164">
        <v>9890</v>
      </c>
      <c r="I96" s="971"/>
      <c r="J96" s="3193"/>
      <c r="K96" s="3193"/>
      <c r="L96" s="3193"/>
      <c r="M96" s="3193"/>
      <c r="N96" s="3193"/>
      <c r="O96" s="3193"/>
      <c r="P96" s="3193"/>
      <c r="Q96" s="3193"/>
      <c r="R96" s="3193"/>
      <c r="S96" s="3193"/>
      <c r="T96" s="3193"/>
      <c r="U96" s="3193"/>
    </row>
    <row r="97" spans="1:21" s="960" customFormat="1" ht="14.25" customHeight="1">
      <c r="A97" s="3158" t="s">
        <v>1152</v>
      </c>
      <c r="B97" s="3158" t="s">
        <v>1051</v>
      </c>
      <c r="C97" s="3158">
        <v>17400</v>
      </c>
      <c r="D97" s="3158">
        <v>17330</v>
      </c>
      <c r="E97" s="3158">
        <v>16430</v>
      </c>
      <c r="F97" s="3164">
        <v>2950</v>
      </c>
      <c r="G97" s="3164">
        <v>11450</v>
      </c>
      <c r="I97" s="971"/>
      <c r="J97" s="3193"/>
      <c r="K97" s="3193"/>
      <c r="L97" s="3193"/>
      <c r="M97" s="3193"/>
      <c r="N97" s="3193"/>
      <c r="O97" s="3193"/>
      <c r="P97" s="3193"/>
      <c r="Q97" s="3193"/>
      <c r="R97" s="3193"/>
      <c r="S97" s="3193"/>
      <c r="T97" s="3193"/>
      <c r="U97" s="3193"/>
    </row>
    <row r="98" spans="1:21" s="960" customFormat="1" ht="14.25" customHeight="1">
      <c r="A98" s="3158" t="s">
        <v>1152</v>
      </c>
      <c r="B98" s="3158" t="s">
        <v>1058</v>
      </c>
      <c r="C98" s="3158">
        <v>15200</v>
      </c>
      <c r="D98" s="3158">
        <v>15120</v>
      </c>
      <c r="E98" s="3158">
        <v>17550</v>
      </c>
      <c r="F98" s="3164">
        <v>3080</v>
      </c>
      <c r="G98" s="3164">
        <v>9990</v>
      </c>
      <c r="I98" s="971"/>
      <c r="J98" s="3193"/>
      <c r="K98" s="3193"/>
      <c r="L98" s="3193"/>
      <c r="M98" s="3193"/>
      <c r="N98" s="3193"/>
      <c r="O98" s="3193"/>
      <c r="P98" s="3193"/>
      <c r="Q98" s="3193"/>
      <c r="R98" s="3193"/>
      <c r="S98" s="3193"/>
      <c r="T98" s="3193"/>
      <c r="U98" s="3193"/>
    </row>
    <row r="99" spans="1:21" s="960" customFormat="1" ht="14.25" customHeight="1">
      <c r="A99" s="3158" t="s">
        <v>1152</v>
      </c>
      <c r="B99" s="3158" t="s">
        <v>1065</v>
      </c>
      <c r="C99" s="3158">
        <v>17520</v>
      </c>
      <c r="D99" s="3158">
        <v>17430</v>
      </c>
      <c r="E99" s="3158">
        <v>16350</v>
      </c>
      <c r="F99" s="3164">
        <v>3260</v>
      </c>
      <c r="G99" s="3164">
        <v>11510</v>
      </c>
      <c r="I99" s="971"/>
      <c r="J99" s="3193"/>
      <c r="K99" s="3193"/>
      <c r="L99" s="3193"/>
      <c r="M99" s="3193"/>
      <c r="N99" s="3193"/>
      <c r="O99" s="3193"/>
      <c r="P99" s="3193"/>
      <c r="Q99" s="3193"/>
      <c r="R99" s="3193"/>
      <c r="S99" s="3193"/>
      <c r="T99" s="3193"/>
      <c r="U99" s="3193"/>
    </row>
    <row r="100" spans="1:21" s="960" customFormat="1" ht="14.25" customHeight="1">
      <c r="A100" s="3158" t="s">
        <v>1152</v>
      </c>
      <c r="B100" s="3158" t="s">
        <v>1073</v>
      </c>
      <c r="C100" s="3158">
        <v>15340</v>
      </c>
      <c r="D100" s="3158">
        <v>15260</v>
      </c>
      <c r="E100" s="3158">
        <v>15930</v>
      </c>
      <c r="F100" s="3164">
        <v>2740</v>
      </c>
      <c r="G100" s="3164">
        <v>10080</v>
      </c>
      <c r="I100" s="971"/>
      <c r="J100" s="3193"/>
      <c r="K100" s="3193"/>
      <c r="L100" s="3193"/>
      <c r="M100" s="3193"/>
      <c r="N100" s="3193"/>
      <c r="O100" s="3193"/>
      <c r="P100" s="3193"/>
      <c r="Q100" s="3193"/>
      <c r="R100" s="3193"/>
      <c r="S100" s="3193"/>
      <c r="T100" s="3193"/>
      <c r="U100" s="3193"/>
    </row>
    <row r="101" spans="1:21" s="960" customFormat="1" ht="14.25" customHeight="1">
      <c r="A101" s="3158" t="s">
        <v>1152</v>
      </c>
      <c r="B101" s="3158" t="s">
        <v>1081</v>
      </c>
      <c r="C101" s="3158">
        <v>14620</v>
      </c>
      <c r="D101" s="3158">
        <v>14560</v>
      </c>
      <c r="E101" s="3158">
        <v>15570</v>
      </c>
      <c r="F101" s="3164">
        <v>3500</v>
      </c>
      <c r="G101" s="3164">
        <v>9630</v>
      </c>
      <c r="I101" s="971"/>
      <c r="J101" s="3193"/>
      <c r="K101" s="3193"/>
      <c r="L101" s="3193"/>
      <c r="M101" s="3193"/>
      <c r="N101" s="3193"/>
      <c r="O101" s="3193"/>
      <c r="P101" s="3193"/>
      <c r="Q101" s="3193"/>
      <c r="R101" s="3193"/>
      <c r="S101" s="3193"/>
      <c r="T101" s="3193"/>
      <c r="U101" s="3193"/>
    </row>
    <row r="102" spans="1:21" s="960" customFormat="1" ht="14.25" customHeight="1">
      <c r="A102" s="3158" t="s">
        <v>1152</v>
      </c>
      <c r="B102" s="3158" t="s">
        <v>1086</v>
      </c>
      <c r="C102" s="3158">
        <v>13680</v>
      </c>
      <c r="D102" s="3158">
        <v>13610</v>
      </c>
      <c r="E102" s="3158">
        <v>15690</v>
      </c>
      <c r="F102" s="3164">
        <v>2870</v>
      </c>
      <c r="G102" s="3164">
        <v>8990</v>
      </c>
      <c r="I102" s="971"/>
      <c r="J102" s="3193"/>
      <c r="K102" s="3193"/>
      <c r="L102" s="3193"/>
      <c r="M102" s="3193"/>
      <c r="N102" s="3193"/>
      <c r="O102" s="3193"/>
      <c r="P102" s="3193"/>
      <c r="Q102" s="3193"/>
      <c r="R102" s="3193"/>
      <c r="S102" s="3193"/>
      <c r="T102" s="3193"/>
      <c r="U102" s="3193"/>
    </row>
    <row r="103" spans="1:21" s="960" customFormat="1" ht="14.25" customHeight="1">
      <c r="A103" s="3158" t="s">
        <v>1152</v>
      </c>
      <c r="B103" s="3158" t="s">
        <v>1095</v>
      </c>
      <c r="C103" s="3158">
        <v>14620</v>
      </c>
      <c r="D103" s="3158">
        <v>14540</v>
      </c>
      <c r="E103" s="3158">
        <v>15240</v>
      </c>
      <c r="F103" s="3164">
        <v>2840</v>
      </c>
      <c r="G103" s="3164">
        <v>9610</v>
      </c>
      <c r="I103" s="971"/>
      <c r="J103" s="3193"/>
      <c r="K103" s="3193"/>
      <c r="L103" s="3193"/>
      <c r="M103" s="3193"/>
      <c r="N103" s="3193"/>
      <c r="O103" s="3193"/>
      <c r="P103" s="3193"/>
      <c r="Q103" s="3193"/>
      <c r="R103" s="3193"/>
      <c r="S103" s="3193"/>
      <c r="T103" s="3193"/>
      <c r="U103" s="3193"/>
    </row>
    <row r="104" spans="1:21" s="960" customFormat="1" ht="14.25" customHeight="1">
      <c r="A104" s="3158" t="s">
        <v>1152</v>
      </c>
      <c r="B104" s="3158" t="s">
        <v>1102</v>
      </c>
      <c r="C104" s="3158">
        <v>13610</v>
      </c>
      <c r="D104" s="3158">
        <v>13540</v>
      </c>
      <c r="E104" s="3158">
        <v>15750</v>
      </c>
      <c r="F104" s="3164">
        <v>2770</v>
      </c>
      <c r="G104" s="3164">
        <v>8940</v>
      </c>
      <c r="I104" s="971"/>
      <c r="J104" s="3193"/>
      <c r="K104" s="3193"/>
      <c r="L104" s="3193"/>
      <c r="M104" s="3193"/>
      <c r="N104" s="3193"/>
      <c r="O104" s="3193"/>
      <c r="P104" s="3193"/>
      <c r="Q104" s="3193"/>
      <c r="R104" s="3193"/>
      <c r="S104" s="3193"/>
      <c r="T104" s="3193"/>
      <c r="U104" s="3193"/>
    </row>
    <row r="105" spans="1:21" s="960" customFormat="1" ht="14.25" customHeight="1">
      <c r="A105" s="3158" t="s">
        <v>1152</v>
      </c>
      <c r="B105" s="3158" t="s">
        <v>1110</v>
      </c>
      <c r="C105" s="3158">
        <v>13310</v>
      </c>
      <c r="D105" s="3158">
        <v>13240</v>
      </c>
      <c r="E105" s="3158">
        <v>16280</v>
      </c>
      <c r="F105" s="3164">
        <v>3210</v>
      </c>
      <c r="G105" s="3164">
        <v>8750</v>
      </c>
      <c r="I105" s="971"/>
      <c r="J105" s="3193"/>
      <c r="K105" s="3193"/>
      <c r="L105" s="3193"/>
      <c r="M105" s="3193"/>
      <c r="N105" s="3193"/>
      <c r="O105" s="3193"/>
      <c r="P105" s="3193"/>
      <c r="Q105" s="3193"/>
      <c r="R105" s="3193"/>
      <c r="S105" s="3193"/>
      <c r="T105" s="3193"/>
      <c r="U105" s="3193"/>
    </row>
    <row r="106" spans="1:21" s="960" customFormat="1" ht="14.25" customHeight="1">
      <c r="A106" s="3158" t="s">
        <v>1152</v>
      </c>
      <c r="B106" s="3158" t="s">
        <v>1117</v>
      </c>
      <c r="C106" s="3158">
        <v>13010</v>
      </c>
      <c r="D106" s="3158">
        <v>12930</v>
      </c>
      <c r="E106" s="3158">
        <v>14960</v>
      </c>
      <c r="F106" s="3164">
        <v>3530</v>
      </c>
      <c r="G106" s="3164">
        <v>8550</v>
      </c>
      <c r="I106" s="971"/>
      <c r="J106" s="3193"/>
      <c r="K106" s="3193"/>
      <c r="L106" s="3193"/>
      <c r="M106" s="3193"/>
      <c r="N106" s="3193"/>
      <c r="O106" s="3193"/>
      <c r="P106" s="3193"/>
      <c r="Q106" s="3193"/>
      <c r="R106" s="3193"/>
      <c r="S106" s="3193"/>
      <c r="T106" s="3193"/>
      <c r="U106" s="3193"/>
    </row>
    <row r="107" spans="1:21" s="960" customFormat="1" ht="14.25" customHeight="1">
      <c r="A107" s="3158" t="s">
        <v>1152</v>
      </c>
      <c r="B107" s="3158" t="s">
        <v>1121</v>
      </c>
      <c r="C107" s="3158">
        <v>13070</v>
      </c>
      <c r="D107" s="3158">
        <v>13000</v>
      </c>
      <c r="E107" s="3158">
        <v>15910</v>
      </c>
      <c r="F107" s="3164">
        <v>3990</v>
      </c>
      <c r="G107" s="3164">
        <v>8580</v>
      </c>
      <c r="I107" s="971"/>
      <c r="J107" s="3193"/>
      <c r="K107" s="3193"/>
      <c r="L107" s="3193"/>
      <c r="M107" s="3193"/>
      <c r="N107" s="3193"/>
      <c r="O107" s="3193"/>
      <c r="P107" s="3193"/>
      <c r="Q107" s="3193"/>
      <c r="R107" s="3193"/>
      <c r="S107" s="3193"/>
      <c r="T107" s="3193"/>
      <c r="U107" s="3193"/>
    </row>
    <row r="108" spans="1:21" s="960" customFormat="1" ht="14.25" customHeight="1">
      <c r="A108" s="3158" t="s">
        <v>1152</v>
      </c>
      <c r="B108" s="3158" t="s">
        <v>1128</v>
      </c>
      <c r="C108" s="3158">
        <v>12640</v>
      </c>
      <c r="D108" s="3158">
        <v>12580</v>
      </c>
      <c r="E108" s="3158">
        <v>15730</v>
      </c>
      <c r="F108" s="3164"/>
      <c r="G108" s="3164">
        <v>8310</v>
      </c>
      <c r="I108" s="971"/>
      <c r="J108" s="3193"/>
      <c r="K108" s="3193"/>
      <c r="L108" s="3193"/>
      <c r="M108" s="3193"/>
      <c r="N108" s="3193"/>
      <c r="O108" s="3193"/>
      <c r="P108" s="3193"/>
      <c r="Q108" s="3193"/>
      <c r="R108" s="3193"/>
      <c r="S108" s="3193"/>
      <c r="T108" s="3193"/>
      <c r="U108" s="3193"/>
    </row>
    <row r="109" spans="1:21" s="960" customFormat="1" ht="14.25" customHeight="1">
      <c r="A109" s="3158" t="s">
        <v>1152</v>
      </c>
      <c r="B109" s="3158" t="s">
        <v>1131</v>
      </c>
      <c r="C109" s="3158">
        <v>13130</v>
      </c>
      <c r="D109" s="3158">
        <v>13070</v>
      </c>
      <c r="E109" s="3158">
        <v>15000</v>
      </c>
      <c r="F109" s="3164"/>
      <c r="G109" s="3171">
        <v>8630</v>
      </c>
      <c r="I109" s="971"/>
      <c r="J109" s="3193"/>
      <c r="K109" s="3193"/>
      <c r="L109" s="3193"/>
      <c r="M109" s="3193"/>
      <c r="N109" s="3193"/>
      <c r="O109" s="3193"/>
      <c r="P109" s="3193"/>
      <c r="Q109" s="3193"/>
      <c r="R109" s="3193"/>
      <c r="S109" s="3193"/>
      <c r="T109" s="3193"/>
      <c r="U109" s="3193"/>
    </row>
    <row r="110" spans="1:21" s="960" customFormat="1" ht="14.25" customHeight="1">
      <c r="A110" s="3158" t="s">
        <v>1152</v>
      </c>
      <c r="B110" s="1216" t="s">
        <v>1133</v>
      </c>
      <c r="C110" s="1216">
        <v>13560</v>
      </c>
      <c r="D110" s="1216">
        <v>13490</v>
      </c>
      <c r="E110" s="1216">
        <v>16300</v>
      </c>
      <c r="F110" s="3159"/>
      <c r="G110" s="3159">
        <v>8920</v>
      </c>
      <c r="I110" s="971"/>
      <c r="J110" s="3193"/>
      <c r="K110" s="3193"/>
      <c r="L110" s="3193"/>
      <c r="M110" s="3193"/>
      <c r="N110" s="3193"/>
      <c r="O110" s="3193"/>
      <c r="P110" s="3193"/>
      <c r="Q110" s="3193"/>
      <c r="R110" s="3193"/>
      <c r="S110" s="3193"/>
      <c r="T110" s="3193"/>
      <c r="U110" s="3193"/>
    </row>
    <row r="111" spans="1:21" s="960" customFormat="1" ht="14.25" customHeight="1">
      <c r="A111" s="3158" t="s">
        <v>1152</v>
      </c>
      <c r="B111" s="3158" t="s">
        <v>1136</v>
      </c>
      <c r="C111" s="3158">
        <v>12440</v>
      </c>
      <c r="D111" s="3158">
        <v>12380</v>
      </c>
      <c r="E111" s="3158">
        <v>17850</v>
      </c>
      <c r="F111" s="3164"/>
      <c r="G111" s="3164">
        <v>8180</v>
      </c>
      <c r="I111" s="971"/>
      <c r="J111" s="3193"/>
      <c r="K111" s="3193"/>
      <c r="L111" s="3193"/>
      <c r="M111" s="3193"/>
      <c r="N111" s="3193"/>
      <c r="O111" s="3193"/>
      <c r="P111" s="3193"/>
      <c r="Q111" s="3193"/>
      <c r="R111" s="3193"/>
      <c r="S111" s="3193"/>
      <c r="T111" s="3193"/>
      <c r="U111" s="3193"/>
    </row>
    <row r="112" spans="1:21" s="960" customFormat="1" ht="14.25" customHeight="1">
      <c r="A112" s="3158" t="s">
        <v>1152</v>
      </c>
      <c r="B112" s="3158" t="s">
        <v>1140</v>
      </c>
      <c r="C112" s="3158">
        <v>13260</v>
      </c>
      <c r="D112" s="3158">
        <v>13180</v>
      </c>
      <c r="E112" s="3158">
        <v>19740</v>
      </c>
      <c r="F112" s="3164"/>
      <c r="G112" s="3164">
        <v>8710</v>
      </c>
      <c r="I112" s="971"/>
      <c r="J112" s="3193"/>
      <c r="K112" s="3193"/>
      <c r="L112" s="3193"/>
      <c r="M112" s="3193"/>
      <c r="N112" s="3193"/>
      <c r="O112" s="3193"/>
      <c r="P112" s="3193"/>
      <c r="Q112" s="3193"/>
      <c r="R112" s="3193"/>
      <c r="S112" s="3193"/>
      <c r="T112" s="3193"/>
      <c r="U112" s="3193"/>
    </row>
    <row r="113" spans="1:21" s="960" customFormat="1" ht="14.25" customHeight="1">
      <c r="A113" s="3158" t="s">
        <v>1152</v>
      </c>
      <c r="B113" s="3158" t="s">
        <v>2844</v>
      </c>
      <c r="C113" s="3158">
        <v>15520</v>
      </c>
      <c r="D113" s="3158">
        <v>15450</v>
      </c>
      <c r="E113" s="3158"/>
      <c r="F113" s="3164"/>
      <c r="G113" s="3164">
        <v>10210</v>
      </c>
      <c r="I113" s="971"/>
      <c r="J113" s="3193"/>
      <c r="K113" s="3193"/>
      <c r="L113" s="3193"/>
      <c r="M113" s="3193"/>
      <c r="N113" s="3193"/>
      <c r="O113" s="3193"/>
      <c r="P113" s="3193"/>
      <c r="Q113" s="3193"/>
      <c r="R113" s="3193"/>
      <c r="S113" s="3193"/>
      <c r="T113" s="3193"/>
      <c r="U113" s="3193"/>
    </row>
    <row r="114" spans="1:21" s="960" customFormat="1" ht="14.25" customHeight="1">
      <c r="A114" s="3158" t="s">
        <v>1152</v>
      </c>
      <c r="B114" s="3158" t="s">
        <v>2845</v>
      </c>
      <c r="C114" s="3158">
        <v>13110</v>
      </c>
      <c r="D114" s="3158">
        <v>13050</v>
      </c>
      <c r="E114" s="3158"/>
      <c r="F114" s="3164"/>
      <c r="G114" s="3164">
        <v>8620</v>
      </c>
      <c r="I114" s="971"/>
      <c r="J114" s="3193"/>
      <c r="K114" s="3193"/>
      <c r="L114" s="3193"/>
      <c r="M114" s="3193"/>
      <c r="N114" s="3193"/>
      <c r="O114" s="3193"/>
      <c r="P114" s="3193"/>
      <c r="Q114" s="3193"/>
      <c r="R114" s="3193"/>
      <c r="S114" s="3193"/>
      <c r="T114" s="3193"/>
      <c r="U114" s="3193"/>
    </row>
    <row r="115" spans="1:21" s="960" customFormat="1" ht="14.25" customHeight="1">
      <c r="A115" s="3158" t="s">
        <v>1152</v>
      </c>
      <c r="B115" s="3158" t="s">
        <v>2846</v>
      </c>
      <c r="C115" s="3158">
        <v>12460</v>
      </c>
      <c r="D115" s="3158">
        <v>12390</v>
      </c>
      <c r="E115" s="3158"/>
      <c r="F115" s="3164"/>
      <c r="G115" s="3164">
        <v>8190</v>
      </c>
      <c r="I115" s="971"/>
      <c r="J115" s="3193"/>
      <c r="K115" s="3193"/>
      <c r="L115" s="3193"/>
      <c r="M115" s="3193"/>
      <c r="N115" s="3193"/>
      <c r="O115" s="3193"/>
      <c r="P115" s="3193"/>
      <c r="Q115" s="3193"/>
      <c r="R115" s="3193"/>
      <c r="S115" s="3193"/>
      <c r="T115" s="3193"/>
      <c r="U115" s="3193"/>
    </row>
    <row r="116" spans="1:21" s="960" customFormat="1" ht="14.25" customHeight="1">
      <c r="A116" s="3158" t="s">
        <v>1152</v>
      </c>
      <c r="B116" s="3158" t="s">
        <v>2847</v>
      </c>
      <c r="C116" s="3158">
        <v>13580</v>
      </c>
      <c r="D116" s="3158">
        <v>13520</v>
      </c>
      <c r="E116" s="3158"/>
      <c r="F116" s="3164"/>
      <c r="G116" s="3164">
        <v>8930</v>
      </c>
      <c r="I116" s="971"/>
      <c r="J116" s="3193"/>
      <c r="K116" s="3193"/>
      <c r="L116" s="3193"/>
      <c r="M116" s="3193"/>
      <c r="N116" s="3193"/>
      <c r="O116" s="3193"/>
      <c r="P116" s="3193"/>
      <c r="Q116" s="3193"/>
      <c r="R116" s="3193"/>
      <c r="S116" s="3193"/>
      <c r="T116" s="3193"/>
      <c r="U116" s="3193"/>
    </row>
    <row r="117" spans="1:21" s="960" customFormat="1" ht="14.25" customHeight="1">
      <c r="A117" s="3158" t="s">
        <v>1152</v>
      </c>
      <c r="B117" s="3158" t="s">
        <v>2848</v>
      </c>
      <c r="C117" s="3158">
        <v>17120</v>
      </c>
      <c r="D117" s="3158">
        <v>17040</v>
      </c>
      <c r="E117" s="3158"/>
      <c r="F117" s="3164"/>
      <c r="G117" s="3164">
        <v>11260</v>
      </c>
      <c r="I117" s="971"/>
      <c r="J117" s="3193"/>
      <c r="K117" s="3193"/>
      <c r="L117" s="3193"/>
      <c r="M117" s="3193"/>
      <c r="N117" s="3193"/>
      <c r="O117" s="3193"/>
      <c r="P117" s="3193"/>
      <c r="Q117" s="3193"/>
      <c r="R117" s="3193"/>
      <c r="S117" s="3193"/>
      <c r="T117" s="3193"/>
      <c r="U117" s="3193"/>
    </row>
    <row r="118" spans="1:21" s="960" customFormat="1" ht="14.25" customHeight="1">
      <c r="A118" s="3158" t="s">
        <v>1152</v>
      </c>
      <c r="B118" s="3158" t="s">
        <v>2849</v>
      </c>
      <c r="C118" s="3158">
        <v>14860</v>
      </c>
      <c r="D118" s="3158">
        <v>14790</v>
      </c>
      <c r="E118" s="3158"/>
      <c r="F118" s="3164"/>
      <c r="G118" s="3164">
        <v>9780</v>
      </c>
      <c r="I118" s="971"/>
      <c r="J118" s="3193"/>
      <c r="K118" s="3193"/>
      <c r="L118" s="3193"/>
      <c r="M118" s="3193"/>
      <c r="N118" s="3193"/>
      <c r="O118" s="3193"/>
      <c r="P118" s="3193"/>
      <c r="Q118" s="3193"/>
      <c r="R118" s="3193"/>
      <c r="S118" s="3193"/>
      <c r="T118" s="3193"/>
      <c r="U118" s="3193"/>
    </row>
    <row r="119" spans="1:21" s="960" customFormat="1" ht="14.25" customHeight="1">
      <c r="A119" s="3158" t="s">
        <v>1152</v>
      </c>
      <c r="B119" s="3158" t="s">
        <v>2850</v>
      </c>
      <c r="C119" s="3158">
        <v>16470</v>
      </c>
      <c r="D119" s="3158">
        <v>16400</v>
      </c>
      <c r="E119" s="3158"/>
      <c r="F119" s="3164"/>
      <c r="G119" s="3164">
        <v>10840</v>
      </c>
      <c r="I119" s="971"/>
      <c r="J119" s="3193"/>
      <c r="K119" s="3193"/>
      <c r="L119" s="3193"/>
      <c r="M119" s="3193"/>
      <c r="N119" s="3193"/>
      <c r="O119" s="3193"/>
      <c r="P119" s="3193"/>
      <c r="Q119" s="3193"/>
      <c r="R119" s="3193"/>
      <c r="S119" s="3193"/>
      <c r="T119" s="3193"/>
      <c r="U119" s="3193"/>
    </row>
    <row r="120" spans="1:21" s="960" customFormat="1" ht="14.25" customHeight="1">
      <c r="A120" s="3158" t="s">
        <v>1152</v>
      </c>
      <c r="B120" s="3158" t="s">
        <v>2851</v>
      </c>
      <c r="C120" s="3158"/>
      <c r="D120" s="3158"/>
      <c r="E120" s="3158"/>
      <c r="F120" s="3164">
        <v>4160</v>
      </c>
      <c r="G120" s="3164"/>
      <c r="I120" s="971"/>
      <c r="J120" s="3193"/>
      <c r="K120" s="3193"/>
      <c r="L120" s="3193"/>
      <c r="M120" s="3193"/>
      <c r="N120" s="3193"/>
      <c r="O120" s="3193"/>
      <c r="P120" s="3193"/>
      <c r="Q120" s="3193"/>
      <c r="R120" s="3193"/>
      <c r="S120" s="3193"/>
      <c r="T120" s="3193"/>
      <c r="U120" s="3193"/>
    </row>
    <row r="121" spans="1:21" s="960" customFormat="1" ht="14.25" customHeight="1">
      <c r="A121" s="3158" t="s">
        <v>1152</v>
      </c>
      <c r="B121" s="3158" t="s">
        <v>2852</v>
      </c>
      <c r="C121" s="3158"/>
      <c r="D121" s="3158"/>
      <c r="E121" s="3158"/>
      <c r="F121" s="3164">
        <v>3880</v>
      </c>
      <c r="G121" s="3164"/>
      <c r="I121" s="971"/>
      <c r="J121" s="3193"/>
      <c r="K121" s="3193"/>
      <c r="L121" s="3193"/>
      <c r="M121" s="3193"/>
      <c r="N121" s="3193"/>
      <c r="O121" s="3193"/>
      <c r="P121" s="3193"/>
      <c r="Q121" s="3193"/>
      <c r="R121" s="3193"/>
      <c r="S121" s="3193"/>
      <c r="T121" s="3193"/>
      <c r="U121" s="3193"/>
    </row>
    <row r="122" spans="1:21" s="960" customFormat="1" ht="14.25" customHeight="1">
      <c r="A122" s="3158" t="s">
        <v>1152</v>
      </c>
      <c r="B122" s="3158" t="s">
        <v>2853</v>
      </c>
      <c r="C122" s="3158">
        <v>13750</v>
      </c>
      <c r="D122" s="3158">
        <v>13680</v>
      </c>
      <c r="E122" s="3158">
        <v>16460</v>
      </c>
      <c r="F122" s="3164">
        <v>2880</v>
      </c>
      <c r="G122" s="3164">
        <v>9040</v>
      </c>
      <c r="I122" s="971"/>
      <c r="J122" s="3193"/>
      <c r="K122" s="3193"/>
      <c r="L122" s="3193"/>
      <c r="M122" s="3193"/>
      <c r="N122" s="3193"/>
      <c r="O122" s="3193"/>
      <c r="P122" s="3193"/>
      <c r="Q122" s="3193"/>
      <c r="R122" s="3193"/>
      <c r="S122" s="3193"/>
      <c r="T122" s="3193"/>
      <c r="U122" s="3193"/>
    </row>
    <row r="123" spans="1:21" s="960" customFormat="1" ht="14.25" customHeight="1">
      <c r="A123" s="3158" t="s">
        <v>1152</v>
      </c>
      <c r="B123" s="3158" t="s">
        <v>2854</v>
      </c>
      <c r="C123" s="3158">
        <v>13590</v>
      </c>
      <c r="D123" s="3158">
        <v>13520</v>
      </c>
      <c r="E123" s="3158">
        <v>16290</v>
      </c>
      <c r="F123" s="3164">
        <v>2790</v>
      </c>
      <c r="G123" s="3164">
        <v>8930</v>
      </c>
      <c r="I123" s="971"/>
      <c r="J123" s="3193"/>
      <c r="K123" s="3193"/>
      <c r="L123" s="3193"/>
      <c r="M123" s="3193"/>
      <c r="N123" s="3193"/>
      <c r="O123" s="3193"/>
      <c r="P123" s="3193"/>
      <c r="Q123" s="3193"/>
      <c r="R123" s="3193"/>
      <c r="S123" s="3193"/>
      <c r="T123" s="3193"/>
      <c r="U123" s="3193"/>
    </row>
    <row r="124" spans="1:21" s="960" customFormat="1" ht="14.25" customHeight="1">
      <c r="A124" s="3158" t="s">
        <v>1152</v>
      </c>
      <c r="B124" s="3158" t="s">
        <v>2855</v>
      </c>
      <c r="C124" s="3158">
        <v>13400</v>
      </c>
      <c r="D124" s="3158">
        <v>13320</v>
      </c>
      <c r="E124" s="3158">
        <v>16100</v>
      </c>
      <c r="F124" s="3164">
        <v>2320</v>
      </c>
      <c r="G124" s="3166">
        <v>8800</v>
      </c>
      <c r="I124" s="971"/>
      <c r="J124" s="3193"/>
      <c r="K124" s="3193"/>
      <c r="L124" s="3193"/>
      <c r="M124" s="3193"/>
      <c r="N124" s="3193"/>
      <c r="O124" s="3193"/>
      <c r="P124" s="3193"/>
      <c r="Q124" s="3193"/>
      <c r="R124" s="3193"/>
      <c r="S124" s="3193"/>
      <c r="T124" s="3193"/>
      <c r="U124" s="3193"/>
    </row>
    <row r="125" spans="1:21" s="960" customFormat="1" ht="14.25" customHeight="1">
      <c r="A125" s="3158" t="s">
        <v>1152</v>
      </c>
      <c r="B125" s="1214" t="s">
        <v>2856</v>
      </c>
      <c r="C125" s="1214">
        <v>12860</v>
      </c>
      <c r="D125" s="1214">
        <v>12790</v>
      </c>
      <c r="E125" s="1214">
        <v>15370</v>
      </c>
      <c r="F125" s="3169">
        <v>2280</v>
      </c>
      <c r="G125" s="3176">
        <v>8450</v>
      </c>
      <c r="I125" s="971"/>
      <c r="J125" s="3193"/>
      <c r="K125" s="3193"/>
      <c r="L125" s="3193"/>
      <c r="M125" s="3193"/>
      <c r="N125" s="3193"/>
      <c r="O125" s="3193"/>
      <c r="P125" s="3193"/>
      <c r="Q125" s="3193"/>
      <c r="R125" s="3193"/>
      <c r="S125" s="3193"/>
      <c r="T125" s="3193"/>
      <c r="U125" s="3193"/>
    </row>
    <row r="126" spans="1:21" s="960" customFormat="1" ht="14.25" customHeight="1" thickBot="1">
      <c r="A126" s="3173" t="s">
        <v>1152</v>
      </c>
      <c r="B126" s="3161" t="s">
        <v>2857</v>
      </c>
      <c r="C126" s="3161">
        <v>12960</v>
      </c>
      <c r="D126" s="3161">
        <v>12890</v>
      </c>
      <c r="E126" s="3161">
        <v>15530</v>
      </c>
      <c r="F126" s="3162">
        <v>2910</v>
      </c>
      <c r="G126" s="3177">
        <v>8520</v>
      </c>
      <c r="I126" s="971"/>
      <c r="J126" s="3193"/>
      <c r="K126" s="3193"/>
      <c r="L126" s="3193"/>
      <c r="M126" s="3193"/>
      <c r="N126" s="3193"/>
      <c r="O126" s="3193"/>
      <c r="P126" s="3193"/>
      <c r="Q126" s="3193"/>
      <c r="R126" s="3193"/>
      <c r="S126" s="3193"/>
      <c r="T126" s="3193"/>
      <c r="U126" s="3193"/>
    </row>
    <row r="127" spans="1:21" s="960" customFormat="1" ht="14.25" customHeight="1">
      <c r="A127" s="3172" t="s">
        <v>1153</v>
      </c>
      <c r="B127" s="1216" t="s">
        <v>2858</v>
      </c>
      <c r="C127" s="1216">
        <v>12280</v>
      </c>
      <c r="D127" s="1216">
        <v>12250</v>
      </c>
      <c r="E127" s="1216">
        <v>15130</v>
      </c>
      <c r="F127" s="3159">
        <v>2710</v>
      </c>
      <c r="G127" s="3175">
        <v>7870</v>
      </c>
      <c r="I127" s="971"/>
      <c r="J127" s="3193"/>
      <c r="K127" s="3193"/>
      <c r="L127" s="3193"/>
      <c r="M127" s="3193"/>
      <c r="N127" s="3193"/>
      <c r="O127" s="3193"/>
      <c r="P127" s="3193"/>
      <c r="Q127" s="3193"/>
      <c r="R127" s="3193"/>
      <c r="S127" s="3193"/>
      <c r="T127" s="3193"/>
      <c r="U127" s="3193"/>
    </row>
    <row r="128" spans="1:21" s="960" customFormat="1" ht="14.25" customHeight="1">
      <c r="A128" s="3158" t="s">
        <v>1153</v>
      </c>
      <c r="B128" s="3158" t="s">
        <v>977</v>
      </c>
      <c r="C128" s="3158">
        <v>13180</v>
      </c>
      <c r="D128" s="3158">
        <v>13150</v>
      </c>
      <c r="E128" s="3158">
        <v>16190</v>
      </c>
      <c r="F128" s="3164">
        <v>2820</v>
      </c>
      <c r="G128" s="3166">
        <v>8460</v>
      </c>
      <c r="I128" s="971"/>
      <c r="J128" s="3193"/>
      <c r="K128" s="3193"/>
      <c r="L128" s="3193"/>
      <c r="M128" s="3193"/>
      <c r="N128" s="3193"/>
      <c r="O128" s="3193"/>
      <c r="P128" s="3193"/>
      <c r="Q128" s="3193"/>
      <c r="R128" s="3193"/>
      <c r="S128" s="3193"/>
      <c r="T128" s="3193"/>
      <c r="U128" s="3193"/>
    </row>
    <row r="129" spans="1:21" s="960" customFormat="1" ht="14.25" customHeight="1">
      <c r="A129" s="3158" t="s">
        <v>1153</v>
      </c>
      <c r="B129" s="3158" t="s">
        <v>987</v>
      </c>
      <c r="C129" s="3158">
        <v>10950</v>
      </c>
      <c r="D129" s="3158">
        <v>10920</v>
      </c>
      <c r="E129" s="3158">
        <v>13820</v>
      </c>
      <c r="F129" s="3164">
        <v>2500</v>
      </c>
      <c r="G129" s="3166">
        <v>7020</v>
      </c>
      <c r="I129" s="971"/>
      <c r="J129" s="3193"/>
      <c r="K129" s="3193"/>
      <c r="L129" s="3193"/>
      <c r="M129" s="3193"/>
      <c r="N129" s="3193"/>
      <c r="O129" s="3193"/>
      <c r="P129" s="3193"/>
      <c r="Q129" s="3193"/>
      <c r="R129" s="3193"/>
      <c r="S129" s="3193"/>
      <c r="T129" s="3193"/>
      <c r="U129" s="3193"/>
    </row>
    <row r="130" spans="1:21" s="960" customFormat="1" ht="14.25" customHeight="1">
      <c r="A130" s="3158" t="s">
        <v>1153</v>
      </c>
      <c r="B130" s="3158" t="s">
        <v>996</v>
      </c>
      <c r="C130" s="3158">
        <v>10910</v>
      </c>
      <c r="D130" s="3158">
        <v>10860</v>
      </c>
      <c r="E130" s="3158">
        <v>13730</v>
      </c>
      <c r="F130" s="3164">
        <v>2760</v>
      </c>
      <c r="G130" s="3166">
        <v>6990</v>
      </c>
      <c r="I130" s="971"/>
      <c r="J130" s="3193"/>
      <c r="K130" s="3193"/>
      <c r="L130" s="3193"/>
      <c r="M130" s="3193"/>
      <c r="N130" s="3193"/>
      <c r="O130" s="3193"/>
      <c r="P130" s="3193"/>
      <c r="Q130" s="3193"/>
      <c r="R130" s="3193"/>
      <c r="S130" s="3193"/>
      <c r="T130" s="3193"/>
      <c r="U130" s="3193"/>
    </row>
    <row r="131" spans="1:21" s="960" customFormat="1" ht="14.25" customHeight="1">
      <c r="A131" s="3158" t="s">
        <v>1153</v>
      </c>
      <c r="B131" s="3158" t="s">
        <v>1006</v>
      </c>
      <c r="C131" s="3158">
        <v>12910</v>
      </c>
      <c r="D131" s="3158">
        <v>12870</v>
      </c>
      <c r="E131" s="3158">
        <v>15720</v>
      </c>
      <c r="F131" s="3164">
        <v>2750</v>
      </c>
      <c r="G131" s="3166">
        <v>8280</v>
      </c>
      <c r="I131" s="971"/>
      <c r="J131" s="3193"/>
      <c r="K131" s="3193"/>
      <c r="L131" s="3193"/>
      <c r="M131" s="3193"/>
      <c r="N131" s="3193"/>
      <c r="O131" s="3193"/>
      <c r="P131" s="3193"/>
      <c r="Q131" s="3193"/>
      <c r="R131" s="3193"/>
      <c r="S131" s="3193"/>
      <c r="T131" s="3193"/>
      <c r="U131" s="3193"/>
    </row>
    <row r="132" spans="1:21" s="960" customFormat="1" ht="14.25" customHeight="1">
      <c r="A132" s="3158" t="s">
        <v>1153</v>
      </c>
      <c r="B132" s="3158" t="s">
        <v>1013</v>
      </c>
      <c r="C132" s="3158">
        <v>11910</v>
      </c>
      <c r="D132" s="3158">
        <v>11860</v>
      </c>
      <c r="E132" s="3158">
        <v>14730</v>
      </c>
      <c r="F132" s="3164">
        <v>2360</v>
      </c>
      <c r="G132" s="3166">
        <v>7630</v>
      </c>
      <c r="I132" s="971"/>
      <c r="J132" s="3193"/>
      <c r="K132" s="3193"/>
      <c r="L132" s="3193"/>
      <c r="M132" s="3193"/>
      <c r="N132" s="3193"/>
      <c r="O132" s="3193"/>
      <c r="P132" s="3193"/>
      <c r="Q132" s="3193"/>
      <c r="R132" s="3193"/>
      <c r="S132" s="3193"/>
      <c r="T132" s="3193"/>
      <c r="U132" s="3193"/>
    </row>
    <row r="133" spans="1:21" s="960" customFormat="1" ht="14.25" customHeight="1">
      <c r="A133" s="3158" t="s">
        <v>1153</v>
      </c>
      <c r="B133" s="3158" t="s">
        <v>1019</v>
      </c>
      <c r="C133" s="3158">
        <v>12270</v>
      </c>
      <c r="D133" s="3158">
        <v>12210</v>
      </c>
      <c r="E133" s="3158">
        <v>15010</v>
      </c>
      <c r="F133" s="3164">
        <v>2580</v>
      </c>
      <c r="G133" s="3166">
        <v>7860</v>
      </c>
      <c r="I133" s="971"/>
      <c r="J133" s="3193"/>
      <c r="K133" s="3193"/>
      <c r="L133" s="3193"/>
      <c r="M133" s="3193"/>
      <c r="N133" s="3193"/>
      <c r="O133" s="3193"/>
      <c r="P133" s="3193"/>
      <c r="Q133" s="3193"/>
      <c r="R133" s="3193"/>
      <c r="S133" s="3193"/>
      <c r="T133" s="3193"/>
      <c r="U133" s="3193"/>
    </row>
    <row r="134" spans="1:21" s="960" customFormat="1" ht="14.25" customHeight="1">
      <c r="A134" s="3158" t="s">
        <v>1153</v>
      </c>
      <c r="B134" s="3158" t="s">
        <v>1026</v>
      </c>
      <c r="C134" s="3158">
        <v>10800</v>
      </c>
      <c r="D134" s="3158">
        <v>10780</v>
      </c>
      <c r="E134" s="3158">
        <v>13640</v>
      </c>
      <c r="F134" s="3164">
        <v>2110</v>
      </c>
      <c r="G134" s="3164">
        <v>6930</v>
      </c>
      <c r="I134" s="971"/>
      <c r="J134" s="3193"/>
      <c r="K134" s="3193"/>
      <c r="L134" s="3193"/>
      <c r="M134" s="3193"/>
      <c r="N134" s="3193"/>
      <c r="O134" s="3193"/>
      <c r="P134" s="3193"/>
      <c r="Q134" s="3193"/>
      <c r="R134" s="3193"/>
      <c r="S134" s="3193"/>
      <c r="T134" s="3193"/>
      <c r="U134" s="3193"/>
    </row>
    <row r="135" spans="1:21" s="960" customFormat="1" ht="14.25" customHeight="1">
      <c r="A135" s="3158" t="s">
        <v>1153</v>
      </c>
      <c r="B135" s="3158" t="s">
        <v>1036</v>
      </c>
      <c r="C135" s="3158">
        <v>10430</v>
      </c>
      <c r="D135" s="3158">
        <v>10390</v>
      </c>
      <c r="E135" s="3158">
        <v>13140</v>
      </c>
      <c r="F135" s="3164">
        <v>2240</v>
      </c>
      <c r="G135" s="3166">
        <v>6680</v>
      </c>
      <c r="I135" s="971"/>
      <c r="J135" s="3193"/>
      <c r="K135" s="3193"/>
      <c r="L135" s="3193"/>
      <c r="M135" s="3193"/>
      <c r="N135" s="3193"/>
      <c r="O135" s="3193"/>
      <c r="P135" s="3193"/>
      <c r="Q135" s="3193"/>
      <c r="R135" s="3193"/>
      <c r="S135" s="3193"/>
      <c r="T135" s="3193"/>
      <c r="U135" s="3193"/>
    </row>
    <row r="136" spans="1:21" s="960" customFormat="1" ht="14.25" customHeight="1">
      <c r="A136" s="3158" t="s">
        <v>1153</v>
      </c>
      <c r="B136" s="3158" t="s">
        <v>1045</v>
      </c>
      <c r="C136" s="3158">
        <v>11930</v>
      </c>
      <c r="D136" s="3158">
        <v>11880</v>
      </c>
      <c r="E136" s="3158">
        <v>14770</v>
      </c>
      <c r="F136" s="3164">
        <v>1970</v>
      </c>
      <c r="G136" s="3166">
        <v>7640</v>
      </c>
      <c r="I136" s="971"/>
      <c r="J136" s="3193"/>
      <c r="K136" s="3193"/>
      <c r="L136" s="3193"/>
      <c r="M136" s="3193"/>
      <c r="N136" s="3193"/>
      <c r="O136" s="3193"/>
      <c r="P136" s="3193"/>
      <c r="Q136" s="3193"/>
      <c r="R136" s="3193"/>
      <c r="S136" s="3193"/>
      <c r="T136" s="3193"/>
      <c r="U136" s="3193"/>
    </row>
    <row r="137" spans="1:21" s="960" customFormat="1" ht="14.25" customHeight="1">
      <c r="A137" s="3158" t="s">
        <v>1153</v>
      </c>
      <c r="B137" s="3158" t="s">
        <v>1052</v>
      </c>
      <c r="C137" s="3158">
        <v>10470</v>
      </c>
      <c r="D137" s="3158">
        <v>10430</v>
      </c>
      <c r="E137" s="3158">
        <v>13190</v>
      </c>
      <c r="F137" s="3164">
        <v>1990</v>
      </c>
      <c r="G137" s="3166">
        <v>6710</v>
      </c>
      <c r="I137" s="971"/>
      <c r="J137" s="3193"/>
      <c r="K137" s="3193"/>
      <c r="L137" s="3193"/>
      <c r="M137" s="3193"/>
      <c r="N137" s="3193"/>
      <c r="O137" s="3193"/>
      <c r="P137" s="3193"/>
      <c r="Q137" s="3193"/>
      <c r="R137" s="3193"/>
      <c r="S137" s="3193"/>
      <c r="T137" s="3193"/>
      <c r="U137" s="3193"/>
    </row>
    <row r="138" spans="1:21" s="960" customFormat="1" ht="14.25" customHeight="1">
      <c r="A138" s="3158" t="s">
        <v>1153</v>
      </c>
      <c r="B138" s="3158" t="s">
        <v>1059</v>
      </c>
      <c r="C138" s="3158">
        <v>10410</v>
      </c>
      <c r="D138" s="3158">
        <v>10380</v>
      </c>
      <c r="E138" s="3158">
        <v>13130</v>
      </c>
      <c r="F138" s="3164">
        <v>2030</v>
      </c>
      <c r="G138" s="3166">
        <v>6680</v>
      </c>
      <c r="I138" s="971"/>
      <c r="J138" s="3193"/>
      <c r="K138" s="3193"/>
      <c r="L138" s="3193"/>
      <c r="M138" s="3193"/>
      <c r="N138" s="3193"/>
      <c r="O138" s="3193"/>
      <c r="P138" s="3193"/>
      <c r="Q138" s="3193"/>
      <c r="R138" s="3193"/>
      <c r="S138" s="3193"/>
      <c r="T138" s="3193"/>
      <c r="U138" s="3193"/>
    </row>
    <row r="139" spans="1:21" s="960" customFormat="1" ht="14.25" customHeight="1">
      <c r="A139" s="3158" t="s">
        <v>1153</v>
      </c>
      <c r="B139" s="3158" t="s">
        <v>1066</v>
      </c>
      <c r="C139" s="3158">
        <v>9460</v>
      </c>
      <c r="D139" s="3158">
        <v>9410</v>
      </c>
      <c r="E139" s="3158">
        <v>12050</v>
      </c>
      <c r="F139" s="3164">
        <v>2140</v>
      </c>
      <c r="G139" s="3164">
        <v>6050</v>
      </c>
      <c r="I139" s="971"/>
      <c r="J139" s="3193"/>
      <c r="K139" s="3193"/>
      <c r="L139" s="3193"/>
      <c r="M139" s="3193"/>
      <c r="N139" s="3193"/>
      <c r="O139" s="3193"/>
      <c r="P139" s="3193"/>
      <c r="Q139" s="3193"/>
      <c r="R139" s="3193"/>
      <c r="S139" s="3193"/>
      <c r="T139" s="3193"/>
      <c r="U139" s="3193"/>
    </row>
    <row r="140" spans="1:21" s="960" customFormat="1" ht="14.25" customHeight="1">
      <c r="A140" s="3158" t="s">
        <v>1153</v>
      </c>
      <c r="B140" s="3158" t="s">
        <v>1074</v>
      </c>
      <c r="C140" s="3158">
        <v>11030</v>
      </c>
      <c r="D140" s="3158">
        <v>10980</v>
      </c>
      <c r="E140" s="3158">
        <v>13880</v>
      </c>
      <c r="F140" s="3164">
        <v>2210</v>
      </c>
      <c r="G140" s="3164">
        <v>7060</v>
      </c>
      <c r="I140" s="971"/>
      <c r="J140" s="3193"/>
      <c r="K140" s="3193"/>
      <c r="L140" s="3193"/>
      <c r="M140" s="3193"/>
      <c r="N140" s="3193"/>
      <c r="O140" s="3193"/>
      <c r="P140" s="3193"/>
      <c r="Q140" s="3193"/>
      <c r="R140" s="3193"/>
      <c r="S140" s="3193"/>
      <c r="T140" s="3193"/>
      <c r="U140" s="3193"/>
    </row>
    <row r="141" spans="1:21" s="960" customFormat="1" ht="14.25" customHeight="1">
      <c r="A141" s="3158" t="s">
        <v>1153</v>
      </c>
      <c r="B141" s="3158" t="s">
        <v>1082</v>
      </c>
      <c r="C141" s="3158">
        <v>11200</v>
      </c>
      <c r="D141" s="3158">
        <v>11150</v>
      </c>
      <c r="E141" s="3158">
        <v>14100</v>
      </c>
      <c r="F141" s="3164">
        <v>2470</v>
      </c>
      <c r="G141" s="3166">
        <v>7170</v>
      </c>
      <c r="I141" s="971"/>
      <c r="J141" s="3193"/>
      <c r="K141" s="3193"/>
      <c r="L141" s="3193"/>
      <c r="M141" s="3193"/>
      <c r="N141" s="3193"/>
      <c r="O141" s="3193"/>
      <c r="P141" s="3193"/>
      <c r="Q141" s="3193"/>
      <c r="R141" s="3193"/>
      <c r="S141" s="3193"/>
      <c r="T141" s="3193"/>
      <c r="U141" s="3193"/>
    </row>
    <row r="142" spans="1:21" s="960" customFormat="1" ht="14.25" customHeight="1">
      <c r="A142" s="3158" t="s">
        <v>1153</v>
      </c>
      <c r="B142" s="3158" t="s">
        <v>1087</v>
      </c>
      <c r="C142" s="3158">
        <v>10780</v>
      </c>
      <c r="D142" s="3158">
        <v>10730</v>
      </c>
      <c r="E142" s="3158">
        <v>13540</v>
      </c>
      <c r="F142" s="3164">
        <v>2280</v>
      </c>
      <c r="G142" s="3166">
        <v>6900</v>
      </c>
      <c r="I142" s="971"/>
      <c r="J142" s="3193"/>
      <c r="K142" s="3193"/>
      <c r="L142" s="3193"/>
      <c r="M142" s="3193"/>
      <c r="N142" s="3193"/>
      <c r="O142" s="3193"/>
      <c r="P142" s="3193"/>
      <c r="Q142" s="3193"/>
      <c r="R142" s="3193"/>
      <c r="S142" s="3193"/>
      <c r="T142" s="3193"/>
      <c r="U142" s="3193"/>
    </row>
    <row r="143" spans="1:21" s="960" customFormat="1" ht="14.25" customHeight="1">
      <c r="A143" s="3158" t="s">
        <v>1153</v>
      </c>
      <c r="B143" s="3158" t="s">
        <v>1096</v>
      </c>
      <c r="C143" s="3158">
        <v>11550</v>
      </c>
      <c r="D143" s="3158">
        <v>11490</v>
      </c>
      <c r="E143" s="3158">
        <v>14480</v>
      </c>
      <c r="F143" s="3164">
        <v>2070</v>
      </c>
      <c r="G143" s="3166">
        <v>7390</v>
      </c>
      <c r="I143" s="971"/>
      <c r="J143" s="3193"/>
      <c r="K143" s="3193"/>
      <c r="L143" s="3193"/>
      <c r="M143" s="3193"/>
      <c r="N143" s="3193"/>
      <c r="O143" s="3193"/>
      <c r="P143" s="3193"/>
      <c r="Q143" s="3193"/>
      <c r="R143" s="3193"/>
      <c r="S143" s="3193"/>
      <c r="T143" s="3193"/>
      <c r="U143" s="3193"/>
    </row>
    <row r="144" spans="1:21" s="960" customFormat="1" ht="14.25" customHeight="1">
      <c r="A144" s="3158" t="s">
        <v>1153</v>
      </c>
      <c r="B144" s="3158" t="s">
        <v>1103</v>
      </c>
      <c r="C144" s="3158">
        <v>10720</v>
      </c>
      <c r="D144" s="3158">
        <v>10680</v>
      </c>
      <c r="E144" s="3158">
        <v>13480</v>
      </c>
      <c r="F144" s="3164">
        <v>2440</v>
      </c>
      <c r="G144" s="3166">
        <v>6870</v>
      </c>
      <c r="I144" s="971"/>
      <c r="J144" s="3193"/>
      <c r="K144" s="3193"/>
      <c r="L144" s="3193"/>
      <c r="M144" s="3193"/>
      <c r="N144" s="3193"/>
      <c r="O144" s="3193"/>
      <c r="P144" s="3193"/>
      <c r="Q144" s="3193"/>
      <c r="R144" s="3193"/>
      <c r="S144" s="3193"/>
      <c r="T144" s="3193"/>
      <c r="U144" s="3193"/>
    </row>
    <row r="145" spans="1:21" s="960" customFormat="1" ht="14.25" customHeight="1">
      <c r="A145" s="3158" t="s">
        <v>1153</v>
      </c>
      <c r="B145" s="3158" t="s">
        <v>1111</v>
      </c>
      <c r="C145" s="3158">
        <v>10340</v>
      </c>
      <c r="D145" s="3158">
        <v>10290</v>
      </c>
      <c r="E145" s="3158">
        <v>12880</v>
      </c>
      <c r="F145" s="3164">
        <v>2650</v>
      </c>
      <c r="G145" s="3164">
        <v>6620</v>
      </c>
      <c r="I145" s="971"/>
      <c r="J145" s="3193"/>
      <c r="K145" s="3193"/>
      <c r="L145" s="3193"/>
      <c r="M145" s="3193"/>
      <c r="N145" s="3193"/>
      <c r="O145" s="3193"/>
      <c r="P145" s="3193"/>
      <c r="Q145" s="3193"/>
      <c r="R145" s="3193"/>
      <c r="S145" s="3193"/>
      <c r="T145" s="3193"/>
      <c r="U145" s="3193"/>
    </row>
    <row r="146" spans="1:21" s="960" customFormat="1" ht="14.25" customHeight="1">
      <c r="A146" s="3158" t="s">
        <v>1153</v>
      </c>
      <c r="B146" s="3158" t="s">
        <v>1118</v>
      </c>
      <c r="C146" s="3158">
        <v>11890</v>
      </c>
      <c r="D146" s="3158">
        <v>11830</v>
      </c>
      <c r="E146" s="3158">
        <v>14670</v>
      </c>
      <c r="F146" s="3164"/>
      <c r="G146" s="3164">
        <v>7610</v>
      </c>
      <c r="I146" s="971"/>
      <c r="J146" s="3193"/>
      <c r="K146" s="3193"/>
      <c r="L146" s="3193"/>
      <c r="M146" s="3193"/>
      <c r="N146" s="3193"/>
      <c r="O146" s="3193"/>
      <c r="P146" s="3193"/>
      <c r="Q146" s="3193"/>
      <c r="R146" s="3193"/>
      <c r="S146" s="3193"/>
      <c r="T146" s="3193"/>
      <c r="U146" s="3193"/>
    </row>
    <row r="147" spans="1:21" s="960" customFormat="1" ht="14.25" customHeight="1">
      <c r="A147" s="3158" t="s">
        <v>1153</v>
      </c>
      <c r="B147" s="3158" t="s">
        <v>1122</v>
      </c>
      <c r="C147" s="3158">
        <v>12650</v>
      </c>
      <c r="D147" s="3158">
        <v>12600</v>
      </c>
      <c r="E147" s="3158">
        <v>15440</v>
      </c>
      <c r="F147" s="3164"/>
      <c r="G147" s="3164">
        <v>8110</v>
      </c>
      <c r="I147" s="971"/>
      <c r="J147" s="3193"/>
      <c r="K147" s="3193"/>
      <c r="L147" s="3193"/>
      <c r="M147" s="3193"/>
      <c r="N147" s="3193"/>
      <c r="O147" s="3193"/>
      <c r="P147" s="3193"/>
      <c r="Q147" s="3193"/>
      <c r="R147" s="3193"/>
      <c r="S147" s="3193"/>
      <c r="T147" s="3193"/>
      <c r="U147" s="3193"/>
    </row>
    <row r="148" spans="1:21" s="960" customFormat="1" ht="14.25" customHeight="1">
      <c r="A148" s="3158" t="s">
        <v>1153</v>
      </c>
      <c r="B148" s="3158" t="s">
        <v>2859</v>
      </c>
      <c r="C148" s="3158">
        <v>10370</v>
      </c>
      <c r="D148" s="3158">
        <v>10310</v>
      </c>
      <c r="E148" s="3158">
        <v>12970</v>
      </c>
      <c r="F148" s="3164"/>
      <c r="G148" s="3164">
        <v>6630</v>
      </c>
      <c r="I148" s="971"/>
      <c r="J148" s="3193"/>
      <c r="K148" s="3193"/>
      <c r="L148" s="3193"/>
      <c r="M148" s="3193"/>
      <c r="N148" s="3193"/>
      <c r="O148" s="3193"/>
      <c r="P148" s="3193"/>
      <c r="Q148" s="3193"/>
      <c r="R148" s="3193"/>
      <c r="S148" s="3193"/>
      <c r="T148" s="3193"/>
      <c r="U148" s="3193"/>
    </row>
    <row r="149" spans="1:21" s="960" customFormat="1" ht="14.25" customHeight="1">
      <c r="A149" s="3158" t="s">
        <v>1153</v>
      </c>
      <c r="B149" s="3158" t="s">
        <v>2860</v>
      </c>
      <c r="C149" s="3158">
        <v>11600</v>
      </c>
      <c r="D149" s="3158">
        <v>11560</v>
      </c>
      <c r="E149" s="3158">
        <v>14540</v>
      </c>
      <c r="F149" s="3164">
        <v>2390</v>
      </c>
      <c r="G149" s="3164">
        <v>7430</v>
      </c>
      <c r="I149" s="971"/>
      <c r="J149" s="3193"/>
      <c r="K149" s="3193"/>
      <c r="L149" s="3193"/>
      <c r="M149" s="3193"/>
      <c r="N149" s="3193"/>
      <c r="O149" s="3193"/>
      <c r="P149" s="3193"/>
      <c r="Q149" s="3193"/>
      <c r="R149" s="3193"/>
      <c r="S149" s="3193"/>
      <c r="T149" s="3193"/>
      <c r="U149" s="3193"/>
    </row>
    <row r="150" spans="1:21" s="960" customFormat="1" ht="14.25" customHeight="1">
      <c r="A150" s="3158" t="s">
        <v>1153</v>
      </c>
      <c r="B150" s="3158" t="s">
        <v>1141</v>
      </c>
      <c r="C150" s="3158">
        <v>9950</v>
      </c>
      <c r="D150" s="3158">
        <v>9890</v>
      </c>
      <c r="E150" s="3158">
        <v>12590</v>
      </c>
      <c r="F150" s="3164">
        <v>1970</v>
      </c>
      <c r="G150" s="3164">
        <v>6360</v>
      </c>
      <c r="I150" s="971"/>
      <c r="J150" s="3193"/>
      <c r="K150" s="3193"/>
      <c r="L150" s="3193"/>
      <c r="M150" s="3193"/>
      <c r="N150" s="3193"/>
      <c r="O150" s="3193"/>
      <c r="P150" s="3193"/>
      <c r="Q150" s="3193"/>
      <c r="R150" s="3193"/>
      <c r="S150" s="3193"/>
      <c r="T150" s="3193"/>
      <c r="U150" s="3193"/>
    </row>
    <row r="151" spans="1:21" s="960" customFormat="1" ht="14.25" customHeight="1">
      <c r="A151" s="3158" t="s">
        <v>1153</v>
      </c>
      <c r="B151" s="3158" t="s">
        <v>1143</v>
      </c>
      <c r="C151" s="3158">
        <v>10700</v>
      </c>
      <c r="D151" s="3158">
        <v>10650</v>
      </c>
      <c r="E151" s="3158">
        <v>13420</v>
      </c>
      <c r="F151" s="3164">
        <v>2020</v>
      </c>
      <c r="G151" s="3164">
        <v>6850</v>
      </c>
      <c r="I151" s="971"/>
      <c r="J151" s="3193"/>
      <c r="K151" s="3193"/>
      <c r="L151" s="3193"/>
      <c r="M151" s="3193"/>
      <c r="N151" s="3193"/>
      <c r="O151" s="3193"/>
      <c r="P151" s="3193"/>
      <c r="Q151" s="3193"/>
      <c r="R151" s="3193"/>
      <c r="S151" s="3193"/>
      <c r="T151" s="3193"/>
      <c r="U151" s="3193"/>
    </row>
    <row r="152" spans="1:21" s="960" customFormat="1" ht="14.25" customHeight="1">
      <c r="A152" s="3158" t="s">
        <v>1153</v>
      </c>
      <c r="B152" s="3158" t="s">
        <v>1146</v>
      </c>
      <c r="C152" s="3158">
        <v>10310</v>
      </c>
      <c r="D152" s="3158">
        <v>10260</v>
      </c>
      <c r="E152" s="3158">
        <v>12820</v>
      </c>
      <c r="F152" s="3164">
        <v>1980</v>
      </c>
      <c r="G152" s="3164">
        <v>6600</v>
      </c>
      <c r="I152" s="971"/>
      <c r="J152" s="3193"/>
      <c r="K152" s="3193"/>
      <c r="L152" s="3193"/>
      <c r="M152" s="3193"/>
      <c r="N152" s="3193"/>
      <c r="O152" s="3193"/>
      <c r="P152" s="3193"/>
      <c r="Q152" s="3193"/>
      <c r="R152" s="3193"/>
      <c r="S152" s="3193"/>
      <c r="T152" s="3193"/>
      <c r="U152" s="3193"/>
    </row>
    <row r="153" spans="1:21" s="960" customFormat="1" ht="14.25" customHeight="1">
      <c r="A153" s="3158" t="s">
        <v>1153</v>
      </c>
      <c r="B153" s="3158" t="s">
        <v>2861</v>
      </c>
      <c r="C153" s="3158">
        <v>10880</v>
      </c>
      <c r="D153" s="3158">
        <v>10820</v>
      </c>
      <c r="E153" s="3158">
        <v>13660</v>
      </c>
      <c r="F153" s="3164">
        <v>2260</v>
      </c>
      <c r="G153" s="3164">
        <v>6970</v>
      </c>
      <c r="I153" s="971"/>
      <c r="J153" s="3193"/>
      <c r="K153" s="3193"/>
      <c r="L153" s="3193"/>
      <c r="M153" s="3193"/>
      <c r="N153" s="3193"/>
      <c r="O153" s="3193"/>
      <c r="P153" s="3193"/>
      <c r="Q153" s="3193"/>
      <c r="R153" s="3193"/>
      <c r="S153" s="3193"/>
      <c r="T153" s="3193"/>
      <c r="U153" s="3193"/>
    </row>
    <row r="154" spans="1:21" s="960" customFormat="1" ht="14.25" customHeight="1">
      <c r="A154" s="3158" t="s">
        <v>1153</v>
      </c>
      <c r="B154" s="3158" t="s">
        <v>2862</v>
      </c>
      <c r="C154" s="3158">
        <v>11220</v>
      </c>
      <c r="D154" s="3158">
        <v>11160</v>
      </c>
      <c r="E154" s="3158">
        <v>14130</v>
      </c>
      <c r="F154" s="3164">
        <v>2230</v>
      </c>
      <c r="G154" s="3164">
        <v>7180</v>
      </c>
      <c r="I154" s="971"/>
      <c r="J154" s="3193"/>
      <c r="K154" s="3193"/>
      <c r="L154" s="3193"/>
      <c r="M154" s="3193"/>
      <c r="N154" s="3193"/>
      <c r="O154" s="3193"/>
      <c r="P154" s="3193"/>
      <c r="Q154" s="3193"/>
      <c r="R154" s="3193"/>
      <c r="S154" s="3193"/>
      <c r="T154" s="3193"/>
      <c r="U154" s="3193"/>
    </row>
    <row r="155" spans="1:21" s="960" customFormat="1" ht="14.25" customHeight="1">
      <c r="A155" s="3158" t="s">
        <v>1153</v>
      </c>
      <c r="B155" s="3158" t="s">
        <v>2863</v>
      </c>
      <c r="C155" s="3158">
        <v>10430</v>
      </c>
      <c r="D155" s="3158">
        <v>10380</v>
      </c>
      <c r="E155" s="3158">
        <v>13140</v>
      </c>
      <c r="F155" s="3164">
        <v>2080</v>
      </c>
      <c r="G155" s="3164">
        <v>6650</v>
      </c>
      <c r="I155" s="971"/>
      <c r="J155" s="3193"/>
      <c r="K155" s="3193"/>
      <c r="L155" s="3193"/>
      <c r="M155" s="3193"/>
      <c r="N155" s="3193"/>
      <c r="O155" s="3193"/>
      <c r="P155" s="3193"/>
      <c r="Q155" s="3193"/>
      <c r="R155" s="3193"/>
      <c r="S155" s="3193"/>
      <c r="T155" s="3193"/>
      <c r="U155" s="3193"/>
    </row>
    <row r="156" spans="1:21" s="960" customFormat="1" ht="14.25" customHeight="1">
      <c r="A156" s="3158" t="s">
        <v>1153</v>
      </c>
      <c r="B156" s="3158" t="s">
        <v>2864</v>
      </c>
      <c r="C156" s="3158">
        <v>10440</v>
      </c>
      <c r="D156" s="3158">
        <v>10400</v>
      </c>
      <c r="E156" s="3158">
        <v>13150</v>
      </c>
      <c r="F156" s="3164">
        <v>2490</v>
      </c>
      <c r="G156" s="3164">
        <v>6690</v>
      </c>
      <c r="I156" s="971"/>
      <c r="J156" s="3193"/>
      <c r="K156" s="3193"/>
      <c r="L156" s="3193"/>
      <c r="M156" s="3193"/>
      <c r="N156" s="3193"/>
      <c r="O156" s="3193"/>
      <c r="P156" s="3193"/>
      <c r="Q156" s="3193"/>
      <c r="R156" s="3193"/>
      <c r="S156" s="3193"/>
      <c r="T156" s="3193"/>
      <c r="U156" s="3193"/>
    </row>
    <row r="157" spans="1:21" s="960" customFormat="1" ht="14.25" customHeight="1">
      <c r="A157" s="3158" t="s">
        <v>1153</v>
      </c>
      <c r="B157" s="3158" t="s">
        <v>1149</v>
      </c>
      <c r="C157" s="3158">
        <v>10970</v>
      </c>
      <c r="D157" s="3158">
        <v>10920</v>
      </c>
      <c r="E157" s="3158">
        <v>13840</v>
      </c>
      <c r="F157" s="3164">
        <v>2420</v>
      </c>
      <c r="G157" s="3171">
        <v>7020</v>
      </c>
      <c r="I157" s="971"/>
      <c r="J157" s="3193"/>
      <c r="K157" s="3193"/>
      <c r="L157" s="3193"/>
      <c r="M157" s="3193"/>
      <c r="N157" s="3193"/>
      <c r="O157" s="3193"/>
      <c r="P157" s="3193"/>
      <c r="Q157" s="3193"/>
      <c r="R157" s="3193"/>
      <c r="S157" s="3193"/>
      <c r="T157" s="3193"/>
      <c r="U157" s="3193"/>
    </row>
    <row r="158" spans="1:21" s="960" customFormat="1" ht="14.25" customHeight="1">
      <c r="A158" s="1216" t="s">
        <v>1153</v>
      </c>
      <c r="B158" s="1216" t="s">
        <v>1150</v>
      </c>
      <c r="C158" s="1216">
        <v>9590</v>
      </c>
      <c r="D158" s="1216">
        <v>9540</v>
      </c>
      <c r="E158" s="1216">
        <v>12210</v>
      </c>
      <c r="F158" s="3159">
        <v>2100</v>
      </c>
      <c r="G158" s="3159">
        <v>6130</v>
      </c>
      <c r="I158" s="971"/>
      <c r="J158" s="3193"/>
      <c r="K158" s="3193"/>
      <c r="L158" s="3193"/>
      <c r="M158" s="3193"/>
      <c r="N158" s="3193"/>
      <c r="O158" s="3193"/>
      <c r="P158" s="3193"/>
      <c r="Q158" s="3193"/>
      <c r="R158" s="3193"/>
      <c r="S158" s="3193"/>
      <c r="T158" s="3193"/>
      <c r="U158" s="3193"/>
    </row>
    <row r="159" spans="1:21" s="960" customFormat="1" ht="14.25" customHeight="1">
      <c r="A159" s="3158" t="s">
        <v>1153</v>
      </c>
      <c r="B159" s="3158" t="s">
        <v>1151</v>
      </c>
      <c r="C159" s="3158">
        <v>11190</v>
      </c>
      <c r="D159" s="3158">
        <v>11140</v>
      </c>
      <c r="E159" s="3158">
        <v>14090</v>
      </c>
      <c r="F159" s="3164">
        <v>2470</v>
      </c>
      <c r="G159" s="3164">
        <v>7170</v>
      </c>
      <c r="I159" s="971"/>
      <c r="J159" s="3193"/>
      <c r="K159" s="3193"/>
      <c r="L159" s="3193"/>
      <c r="M159" s="3193"/>
      <c r="N159" s="3193"/>
      <c r="O159" s="3193"/>
      <c r="P159" s="3193"/>
      <c r="Q159" s="3193"/>
      <c r="R159" s="3193"/>
      <c r="S159" s="3193"/>
      <c r="T159" s="3193"/>
      <c r="U159" s="3193"/>
    </row>
    <row r="160" spans="1:21" s="960" customFormat="1" ht="14.25" customHeight="1">
      <c r="A160" s="3158" t="s">
        <v>1153</v>
      </c>
      <c r="B160" s="3158" t="s">
        <v>2865</v>
      </c>
      <c r="C160" s="3158">
        <v>11180</v>
      </c>
      <c r="D160" s="3158">
        <v>11140</v>
      </c>
      <c r="E160" s="3158">
        <v>14050</v>
      </c>
      <c r="F160" s="3164">
        <v>2270</v>
      </c>
      <c r="G160" s="3164">
        <v>7170</v>
      </c>
      <c r="I160" s="971"/>
      <c r="J160" s="3193"/>
      <c r="K160" s="3193"/>
      <c r="L160" s="3193"/>
      <c r="M160" s="3193"/>
      <c r="N160" s="3193"/>
      <c r="O160" s="3193"/>
      <c r="P160" s="3193"/>
      <c r="Q160" s="3193"/>
      <c r="R160" s="3193"/>
      <c r="S160" s="3193"/>
      <c r="T160" s="3193"/>
      <c r="U160" s="3193"/>
    </row>
    <row r="161" spans="1:21" s="960" customFormat="1" ht="14.25" customHeight="1">
      <c r="A161" s="3158" t="s">
        <v>1153</v>
      </c>
      <c r="B161" s="3158" t="s">
        <v>2866</v>
      </c>
      <c r="C161" s="3158">
        <v>11160</v>
      </c>
      <c r="D161" s="3158">
        <v>11120</v>
      </c>
      <c r="E161" s="3158">
        <v>14020</v>
      </c>
      <c r="F161" s="3164">
        <v>2150</v>
      </c>
      <c r="G161" s="3164">
        <v>7160</v>
      </c>
      <c r="I161" s="971"/>
      <c r="J161" s="3193"/>
      <c r="K161" s="3193"/>
      <c r="L161" s="3193"/>
      <c r="M161" s="3193"/>
      <c r="N161" s="3193"/>
      <c r="O161" s="3193"/>
      <c r="P161" s="3193"/>
      <c r="Q161" s="3193"/>
      <c r="R161" s="3193"/>
      <c r="S161" s="3193"/>
      <c r="T161" s="3193"/>
      <c r="U161" s="3193"/>
    </row>
    <row r="162" spans="1:21" s="960" customFormat="1" ht="14.25" customHeight="1">
      <c r="A162" s="3158" t="s">
        <v>1153</v>
      </c>
      <c r="B162" s="3158" t="s">
        <v>2867</v>
      </c>
      <c r="C162" s="3158">
        <v>9620</v>
      </c>
      <c r="D162" s="3158">
        <v>9570</v>
      </c>
      <c r="E162" s="3158">
        <v>12320</v>
      </c>
      <c r="F162" s="3164">
        <v>2010</v>
      </c>
      <c r="G162" s="3164">
        <v>6160</v>
      </c>
      <c r="I162" s="971"/>
      <c r="J162" s="3193"/>
      <c r="K162" s="3193"/>
      <c r="L162" s="3193"/>
      <c r="M162" s="3193"/>
      <c r="N162" s="3193"/>
      <c r="O162" s="3193"/>
      <c r="P162" s="3193"/>
      <c r="Q162" s="3193"/>
      <c r="R162" s="3193"/>
      <c r="S162" s="3193"/>
      <c r="T162" s="3193"/>
      <c r="U162" s="3193"/>
    </row>
    <row r="163" spans="1:21" s="960" customFormat="1" ht="14.25" customHeight="1">
      <c r="A163" s="3158" t="s">
        <v>1153</v>
      </c>
      <c r="B163" s="3158" t="s">
        <v>2868</v>
      </c>
      <c r="C163" s="3158">
        <v>9320</v>
      </c>
      <c r="D163" s="3158">
        <v>9270</v>
      </c>
      <c r="E163" s="3158">
        <v>11790</v>
      </c>
      <c r="F163" s="3164">
        <v>1920</v>
      </c>
      <c r="G163" s="3164">
        <v>5960</v>
      </c>
      <c r="I163" s="971"/>
      <c r="J163" s="3193"/>
      <c r="K163" s="3193"/>
      <c r="L163" s="3193"/>
      <c r="M163" s="3193"/>
      <c r="N163" s="3193"/>
      <c r="O163" s="3193"/>
      <c r="P163" s="3193"/>
      <c r="Q163" s="3193"/>
      <c r="R163" s="3193"/>
      <c r="S163" s="3193"/>
      <c r="T163" s="3193"/>
      <c r="U163" s="3193"/>
    </row>
    <row r="164" spans="1:21" s="960" customFormat="1" ht="14.25" customHeight="1">
      <c r="A164" s="3158" t="s">
        <v>1153</v>
      </c>
      <c r="B164" s="3158" t="s">
        <v>2869</v>
      </c>
      <c r="C164" s="3158"/>
      <c r="D164" s="3158"/>
      <c r="E164" s="3158"/>
      <c r="F164" s="3164">
        <v>1980</v>
      </c>
      <c r="G164" s="3164"/>
      <c r="I164" s="971"/>
      <c r="J164" s="3193"/>
      <c r="K164" s="3193"/>
      <c r="L164" s="3193"/>
      <c r="M164" s="3193"/>
      <c r="N164" s="3193"/>
      <c r="O164" s="3193"/>
      <c r="P164" s="3193"/>
      <c r="Q164" s="3193"/>
      <c r="R164" s="3193"/>
      <c r="S164" s="3193"/>
      <c r="T164" s="3193"/>
      <c r="U164" s="3193"/>
    </row>
    <row r="165" spans="1:21" s="960" customFormat="1" ht="14.25" customHeight="1">
      <c r="A165" s="3158" t="s">
        <v>1153</v>
      </c>
      <c r="B165" s="3158" t="s">
        <v>2870</v>
      </c>
      <c r="C165" s="3158">
        <v>11060</v>
      </c>
      <c r="D165" s="3158">
        <v>11030</v>
      </c>
      <c r="E165" s="3158">
        <v>13850</v>
      </c>
      <c r="F165" s="3164">
        <v>2170</v>
      </c>
      <c r="G165" s="3164">
        <v>7090</v>
      </c>
      <c r="I165" s="971"/>
      <c r="J165" s="3193"/>
      <c r="K165" s="3193"/>
      <c r="L165" s="3193"/>
      <c r="M165" s="3193"/>
      <c r="N165" s="3193"/>
      <c r="O165" s="3193"/>
      <c r="P165" s="3193"/>
      <c r="Q165" s="3193"/>
      <c r="R165" s="3193"/>
      <c r="S165" s="3193"/>
      <c r="T165" s="3193"/>
      <c r="U165" s="3193"/>
    </row>
    <row r="166" spans="1:21" s="960" customFormat="1" ht="14.25" customHeight="1">
      <c r="A166" s="3158" t="s">
        <v>1153</v>
      </c>
      <c r="B166" s="3158" t="s">
        <v>2871</v>
      </c>
      <c r="C166" s="3158">
        <v>11050</v>
      </c>
      <c r="D166" s="3158">
        <v>11010</v>
      </c>
      <c r="E166" s="3158">
        <v>13920</v>
      </c>
      <c r="F166" s="3164">
        <v>2140</v>
      </c>
      <c r="G166" s="3164">
        <v>7080</v>
      </c>
      <c r="I166" s="971"/>
      <c r="J166" s="3193"/>
      <c r="K166" s="3193"/>
      <c r="L166" s="3193"/>
      <c r="M166" s="3193"/>
      <c r="N166" s="3193"/>
      <c r="O166" s="3193"/>
      <c r="P166" s="3193"/>
      <c r="Q166" s="3193"/>
      <c r="R166" s="3193"/>
      <c r="S166" s="3193"/>
      <c r="T166" s="3193"/>
      <c r="U166" s="3193"/>
    </row>
    <row r="167" spans="1:21" s="960" customFormat="1" ht="14.25" customHeight="1">
      <c r="A167" s="3158" t="s">
        <v>1153</v>
      </c>
      <c r="B167" s="3158" t="s">
        <v>2872</v>
      </c>
      <c r="C167" s="3158">
        <v>10930</v>
      </c>
      <c r="D167" s="3158">
        <v>10890</v>
      </c>
      <c r="E167" s="3158">
        <v>13790</v>
      </c>
      <c r="F167" s="3164">
        <v>2010</v>
      </c>
      <c r="G167" s="3166">
        <v>7000</v>
      </c>
      <c r="I167" s="971"/>
      <c r="J167" s="3193"/>
      <c r="K167" s="3193"/>
      <c r="L167" s="3193"/>
      <c r="M167" s="3193"/>
      <c r="N167" s="3193"/>
      <c r="O167" s="3193"/>
      <c r="P167" s="3193"/>
      <c r="Q167" s="3193"/>
      <c r="R167" s="3193"/>
      <c r="S167" s="3193"/>
      <c r="T167" s="3193"/>
      <c r="U167" s="3193"/>
    </row>
    <row r="168" spans="1:21" s="960" customFormat="1" ht="14.25" customHeight="1">
      <c r="A168" s="3158" t="s">
        <v>1153</v>
      </c>
      <c r="B168" s="3158" t="s">
        <v>2873</v>
      </c>
      <c r="C168" s="3158">
        <v>9420</v>
      </c>
      <c r="D168" s="3158">
        <v>9380</v>
      </c>
      <c r="E168" s="3158">
        <v>11970</v>
      </c>
      <c r="F168" s="3164"/>
      <c r="G168" s="3166">
        <v>6040</v>
      </c>
      <c r="I168" s="971"/>
      <c r="J168" s="3193"/>
      <c r="K168" s="3193"/>
      <c r="L168" s="3193"/>
      <c r="M168" s="3193"/>
      <c r="N168" s="3193"/>
      <c r="O168" s="3193"/>
      <c r="P168" s="3193"/>
      <c r="Q168" s="3193"/>
      <c r="R168" s="3193"/>
      <c r="S168" s="3193"/>
      <c r="T168" s="3193"/>
      <c r="U168" s="3193"/>
    </row>
    <row r="169" spans="1:21" s="960" customFormat="1" ht="14.25" customHeight="1">
      <c r="A169" s="3158" t="s">
        <v>1153</v>
      </c>
      <c r="B169" s="3158" t="s">
        <v>2874</v>
      </c>
      <c r="C169" s="3158"/>
      <c r="D169" s="3158"/>
      <c r="E169" s="3158"/>
      <c r="F169" s="3164">
        <v>2880</v>
      </c>
      <c r="G169" s="3166"/>
      <c r="I169" s="971"/>
      <c r="J169" s="3193"/>
      <c r="K169" s="3193"/>
      <c r="L169" s="3193"/>
      <c r="M169" s="3193"/>
      <c r="N169" s="3193"/>
      <c r="O169" s="3193"/>
      <c r="P169" s="3193"/>
      <c r="Q169" s="3193"/>
      <c r="R169" s="3193"/>
      <c r="S169" s="3193"/>
      <c r="T169" s="3193"/>
      <c r="U169" s="3193"/>
    </row>
    <row r="170" spans="1:21" s="960" customFormat="1" ht="14.25" customHeight="1">
      <c r="A170" s="3158" t="s">
        <v>1153</v>
      </c>
      <c r="B170" s="3158" t="s">
        <v>2875</v>
      </c>
      <c r="C170" s="3158"/>
      <c r="D170" s="3158"/>
      <c r="E170" s="3158"/>
      <c r="F170" s="3164">
        <v>2880</v>
      </c>
      <c r="G170" s="3166"/>
      <c r="I170" s="971"/>
      <c r="J170" s="3193"/>
      <c r="K170" s="3193"/>
      <c r="L170" s="3193"/>
      <c r="M170" s="3193"/>
      <c r="N170" s="3193"/>
      <c r="O170" s="3193"/>
      <c r="P170" s="3193"/>
      <c r="Q170" s="3193"/>
      <c r="R170" s="3193"/>
      <c r="S170" s="3193"/>
      <c r="T170" s="3193"/>
      <c r="U170" s="3193"/>
    </row>
    <row r="171" spans="1:21" s="960" customFormat="1" ht="14.25" customHeight="1">
      <c r="A171" s="3158" t="s">
        <v>1153</v>
      </c>
      <c r="B171" s="3158" t="s">
        <v>2876</v>
      </c>
      <c r="C171" s="3158"/>
      <c r="D171" s="3158"/>
      <c r="E171" s="3158"/>
      <c r="F171" s="3164">
        <v>2880</v>
      </c>
      <c r="G171" s="3164"/>
      <c r="I171" s="971"/>
      <c r="J171" s="3193"/>
      <c r="K171" s="3193"/>
      <c r="L171" s="3193"/>
      <c r="M171" s="3193"/>
      <c r="N171" s="3193"/>
      <c r="O171" s="3193"/>
      <c r="P171" s="3193"/>
      <c r="Q171" s="3193"/>
      <c r="R171" s="3193"/>
      <c r="S171" s="3193"/>
      <c r="T171" s="3193"/>
      <c r="U171" s="3193"/>
    </row>
    <row r="172" spans="1:21" s="960" customFormat="1" ht="14.25" customHeight="1">
      <c r="A172" s="3158" t="s">
        <v>1153</v>
      </c>
      <c r="B172" s="3158" t="s">
        <v>2877</v>
      </c>
      <c r="C172" s="3158"/>
      <c r="D172" s="3158"/>
      <c r="E172" s="3158"/>
      <c r="F172" s="3164">
        <v>2880</v>
      </c>
      <c r="G172" s="3166"/>
      <c r="I172" s="971"/>
      <c r="J172" s="3193"/>
      <c r="K172" s="3193"/>
      <c r="L172" s="3193"/>
      <c r="M172" s="3193"/>
      <c r="N172" s="3193"/>
      <c r="O172" s="3193"/>
      <c r="P172" s="3193"/>
      <c r="Q172" s="3193"/>
      <c r="R172" s="3193"/>
      <c r="S172" s="3193"/>
      <c r="T172" s="3193"/>
      <c r="U172" s="3193"/>
    </row>
    <row r="173" spans="1:21" s="960" customFormat="1" ht="14.25" customHeight="1">
      <c r="A173" s="3158" t="s">
        <v>1153</v>
      </c>
      <c r="B173" s="3158" t="s">
        <v>2878</v>
      </c>
      <c r="C173" s="3158"/>
      <c r="D173" s="3158"/>
      <c r="E173" s="3158"/>
      <c r="F173" s="3164">
        <v>2150</v>
      </c>
      <c r="G173" s="3166"/>
      <c r="I173" s="971"/>
      <c r="J173" s="3193"/>
      <c r="K173" s="3193"/>
      <c r="L173" s="3193"/>
      <c r="M173" s="3193"/>
      <c r="N173" s="3193"/>
      <c r="O173" s="3193"/>
      <c r="P173" s="3193"/>
      <c r="Q173" s="3193"/>
      <c r="R173" s="3193"/>
      <c r="S173" s="3193"/>
      <c r="T173" s="3193"/>
      <c r="U173" s="3193"/>
    </row>
    <row r="174" spans="1:21" s="960" customFormat="1" ht="14.25" customHeight="1">
      <c r="A174" s="3158" t="s">
        <v>1153</v>
      </c>
      <c r="B174" s="3158" t="s">
        <v>2879</v>
      </c>
      <c r="C174" s="3158"/>
      <c r="D174" s="3158"/>
      <c r="E174" s="3158"/>
      <c r="F174" s="3164">
        <v>2030</v>
      </c>
      <c r="G174" s="3164"/>
      <c r="I174" s="971"/>
      <c r="J174" s="3193"/>
      <c r="K174" s="3193"/>
      <c r="L174" s="3193"/>
      <c r="M174" s="3193"/>
      <c r="N174" s="3193"/>
      <c r="O174" s="3193"/>
      <c r="P174" s="3193"/>
      <c r="Q174" s="3193"/>
      <c r="R174" s="3193"/>
      <c r="S174" s="3193"/>
      <c r="T174" s="3193"/>
      <c r="U174" s="3193"/>
    </row>
    <row r="175" spans="1:21" s="960" customFormat="1" ht="14.25" customHeight="1">
      <c r="A175" s="3158" t="s">
        <v>1153</v>
      </c>
      <c r="B175" s="3158" t="s">
        <v>2880</v>
      </c>
      <c r="C175" s="3158"/>
      <c r="D175" s="3158"/>
      <c r="E175" s="3158"/>
      <c r="F175" s="3164">
        <v>2780</v>
      </c>
      <c r="G175" s="3164"/>
      <c r="I175" s="971"/>
      <c r="J175" s="3193"/>
      <c r="K175" s="3193"/>
      <c r="L175" s="3193"/>
      <c r="M175" s="3193"/>
      <c r="N175" s="3193"/>
      <c r="O175" s="3193"/>
      <c r="P175" s="3193"/>
      <c r="Q175" s="3193"/>
      <c r="R175" s="3193"/>
      <c r="S175" s="3193"/>
      <c r="T175" s="3193"/>
      <c r="U175" s="3193"/>
    </row>
    <row r="176" spans="1:21" s="960" customFormat="1" ht="14.25" customHeight="1">
      <c r="A176" s="3158" t="s">
        <v>1153</v>
      </c>
      <c r="B176" s="3158" t="s">
        <v>2881</v>
      </c>
      <c r="C176" s="3158"/>
      <c r="D176" s="3158"/>
      <c r="E176" s="3158"/>
      <c r="F176" s="3164">
        <v>2780</v>
      </c>
      <c r="G176" s="3164"/>
      <c r="I176" s="971"/>
      <c r="J176" s="3193"/>
      <c r="K176" s="3193"/>
      <c r="L176" s="3193"/>
      <c r="M176" s="3193"/>
      <c r="N176" s="3193"/>
      <c r="O176" s="3193"/>
      <c r="P176" s="3193"/>
      <c r="Q176" s="3193"/>
      <c r="R176" s="3193"/>
      <c r="S176" s="3193"/>
      <c r="T176" s="3193"/>
      <c r="U176" s="3193"/>
    </row>
    <row r="177" spans="1:21" s="960" customFormat="1" ht="14.25" customHeight="1">
      <c r="A177" s="3158" t="s">
        <v>1153</v>
      </c>
      <c r="B177" s="3158" t="s">
        <v>2882</v>
      </c>
      <c r="C177" s="3158"/>
      <c r="D177" s="3158"/>
      <c r="E177" s="3158"/>
      <c r="F177" s="3164">
        <v>2780</v>
      </c>
      <c r="G177" s="3164"/>
      <c r="I177" s="971"/>
      <c r="J177" s="3193"/>
      <c r="K177" s="3193"/>
      <c r="L177" s="3193"/>
      <c r="M177" s="3193"/>
      <c r="N177" s="3193"/>
      <c r="O177" s="3193"/>
      <c r="P177" s="3193"/>
      <c r="Q177" s="3193"/>
      <c r="R177" s="3193"/>
      <c r="S177" s="3193"/>
      <c r="T177" s="3193"/>
      <c r="U177" s="3193"/>
    </row>
    <row r="178" spans="1:21" s="960" customFormat="1" ht="14.25" customHeight="1">
      <c r="A178" s="3158" t="s">
        <v>1153</v>
      </c>
      <c r="B178" s="3158" t="s">
        <v>2883</v>
      </c>
      <c r="C178" s="3158"/>
      <c r="D178" s="3158"/>
      <c r="E178" s="3158"/>
      <c r="F178" s="3164">
        <v>2060</v>
      </c>
      <c r="G178" s="3164"/>
      <c r="I178" s="971"/>
      <c r="J178" s="3193"/>
      <c r="K178" s="3193"/>
      <c r="L178" s="3193"/>
      <c r="M178" s="3193"/>
      <c r="N178" s="3193"/>
      <c r="O178" s="3193"/>
      <c r="P178" s="3193"/>
      <c r="Q178" s="3193"/>
      <c r="R178" s="3193"/>
      <c r="S178" s="3193"/>
      <c r="T178" s="3193"/>
      <c r="U178" s="3193"/>
    </row>
    <row r="179" spans="1:21" s="960" customFormat="1" ht="14.25" customHeight="1">
      <c r="A179" s="3158" t="s">
        <v>1153</v>
      </c>
      <c r="B179" s="3158" t="s">
        <v>2884</v>
      </c>
      <c r="C179" s="3158"/>
      <c r="D179" s="3158"/>
      <c r="E179" s="3158"/>
      <c r="F179" s="3164">
        <v>2120</v>
      </c>
      <c r="G179" s="3166"/>
      <c r="I179" s="971"/>
      <c r="J179" s="3193"/>
      <c r="K179" s="3193"/>
      <c r="L179" s="3193"/>
      <c r="M179" s="3193"/>
      <c r="N179" s="3193"/>
      <c r="O179" s="3193"/>
      <c r="P179" s="3193"/>
      <c r="Q179" s="3193"/>
      <c r="R179" s="3193"/>
      <c r="S179" s="3193"/>
      <c r="T179" s="3193"/>
      <c r="U179" s="3193"/>
    </row>
    <row r="180" spans="1:21" s="960" customFormat="1" ht="14.25" customHeight="1">
      <c r="A180" s="3158" t="s">
        <v>1153</v>
      </c>
      <c r="B180" s="3158" t="s">
        <v>2885</v>
      </c>
      <c r="C180" s="3158"/>
      <c r="D180" s="3158"/>
      <c r="E180" s="3158"/>
      <c r="F180" s="3164">
        <v>2340</v>
      </c>
      <c r="G180" s="3164"/>
      <c r="I180" s="971"/>
      <c r="J180" s="3193"/>
      <c r="K180" s="3193"/>
      <c r="L180" s="3193"/>
      <c r="M180" s="3193"/>
      <c r="N180" s="3193"/>
      <c r="O180" s="3193"/>
      <c r="P180" s="3193"/>
      <c r="Q180" s="3193"/>
      <c r="R180" s="3193"/>
      <c r="S180" s="3193"/>
      <c r="T180" s="3193"/>
      <c r="U180" s="3193"/>
    </row>
    <row r="181" spans="1:21" s="960" customFormat="1" ht="14.25" customHeight="1">
      <c r="A181" s="3158" t="s">
        <v>1153</v>
      </c>
      <c r="B181" s="3158" t="s">
        <v>2886</v>
      </c>
      <c r="C181" s="3158"/>
      <c r="D181" s="3158"/>
      <c r="E181" s="3158"/>
      <c r="F181" s="3164">
        <v>2340</v>
      </c>
      <c r="G181" s="3164"/>
      <c r="I181" s="971"/>
      <c r="J181" s="3193"/>
      <c r="K181" s="3193"/>
      <c r="L181" s="3193"/>
      <c r="M181" s="3193"/>
      <c r="N181" s="3193"/>
      <c r="O181" s="3193"/>
      <c r="P181" s="3193"/>
      <c r="Q181" s="3193"/>
      <c r="R181" s="3193"/>
      <c r="S181" s="3193"/>
      <c r="T181" s="3193"/>
      <c r="U181" s="3193"/>
    </row>
    <row r="182" spans="1:21" s="960" customFormat="1" ht="14.25" customHeight="1">
      <c r="A182" s="3158" t="s">
        <v>1153</v>
      </c>
      <c r="B182" s="3158" t="s">
        <v>2887</v>
      </c>
      <c r="C182" s="3158"/>
      <c r="D182" s="3158"/>
      <c r="E182" s="3158"/>
      <c r="F182" s="3164">
        <v>2340</v>
      </c>
      <c r="G182" s="3164"/>
      <c r="I182" s="971"/>
      <c r="J182" s="3193"/>
      <c r="K182" s="3193"/>
      <c r="L182" s="3193"/>
      <c r="M182" s="3193"/>
      <c r="N182" s="3193"/>
      <c r="O182" s="3193"/>
      <c r="P182" s="3193"/>
      <c r="Q182" s="3193"/>
      <c r="R182" s="3193"/>
      <c r="S182" s="3193"/>
      <c r="T182" s="3193"/>
      <c r="U182" s="3193"/>
    </row>
    <row r="183" spans="1:21" s="960" customFormat="1" ht="14.25" customHeight="1">
      <c r="A183" s="3158" t="s">
        <v>1153</v>
      </c>
      <c r="B183" s="3158" t="s">
        <v>2888</v>
      </c>
      <c r="C183" s="3158"/>
      <c r="D183" s="3158"/>
      <c r="E183" s="3158"/>
      <c r="F183" s="3164">
        <v>2340</v>
      </c>
      <c r="G183" s="3166"/>
      <c r="I183" s="971"/>
      <c r="J183" s="3193"/>
      <c r="K183" s="3193"/>
      <c r="L183" s="3193"/>
      <c r="M183" s="3193"/>
      <c r="N183" s="3193"/>
      <c r="O183" s="3193"/>
      <c r="P183" s="3193"/>
      <c r="Q183" s="3193"/>
      <c r="R183" s="3193"/>
      <c r="S183" s="3193"/>
      <c r="T183" s="3193"/>
      <c r="U183" s="3193"/>
    </row>
    <row r="184" spans="1:21" s="960" customFormat="1" ht="14.25" customHeight="1">
      <c r="A184" s="3158" t="s">
        <v>1153</v>
      </c>
      <c r="B184" s="3158" t="s">
        <v>2889</v>
      </c>
      <c r="C184" s="3158"/>
      <c r="D184" s="3158"/>
      <c r="E184" s="3158"/>
      <c r="F184" s="3164">
        <v>2340</v>
      </c>
      <c r="G184" s="3166"/>
      <c r="I184" s="971"/>
      <c r="J184" s="3193"/>
      <c r="K184" s="3193"/>
      <c r="L184" s="3193"/>
      <c r="M184" s="3193"/>
      <c r="N184" s="3193"/>
      <c r="O184" s="3193"/>
      <c r="P184" s="3193"/>
      <c r="Q184" s="3193"/>
      <c r="R184" s="3193"/>
      <c r="S184" s="3193"/>
      <c r="T184" s="3193"/>
      <c r="U184" s="3193"/>
    </row>
    <row r="185" spans="1:21" s="960" customFormat="1" ht="14.25" customHeight="1">
      <c r="A185" s="3158" t="s">
        <v>1153</v>
      </c>
      <c r="B185" s="3158" t="s">
        <v>2890</v>
      </c>
      <c r="C185" s="3158"/>
      <c r="D185" s="3158"/>
      <c r="E185" s="3158"/>
      <c r="F185" s="3164">
        <v>2530</v>
      </c>
      <c r="G185" s="3164"/>
      <c r="I185" s="971"/>
      <c r="J185" s="3193"/>
      <c r="K185" s="3193"/>
      <c r="L185" s="3193"/>
      <c r="M185" s="3193"/>
      <c r="N185" s="3193"/>
      <c r="O185" s="3193"/>
      <c r="P185" s="3193"/>
      <c r="Q185" s="3193"/>
      <c r="R185" s="3193"/>
      <c r="S185" s="3193"/>
      <c r="T185" s="3193"/>
      <c r="U185" s="3193"/>
    </row>
    <row r="186" spans="1:21" s="960" customFormat="1" ht="14.25" customHeight="1">
      <c r="A186" s="3158" t="s">
        <v>1153</v>
      </c>
      <c r="B186" s="3158" t="s">
        <v>2891</v>
      </c>
      <c r="C186" s="3158"/>
      <c r="D186" s="3158"/>
      <c r="E186" s="3158"/>
      <c r="F186" s="3164">
        <v>2550</v>
      </c>
      <c r="G186" s="3164"/>
      <c r="I186" s="971"/>
      <c r="J186" s="3193"/>
      <c r="K186" s="3193"/>
      <c r="L186" s="3193"/>
      <c r="M186" s="3193"/>
      <c r="N186" s="3193"/>
      <c r="O186" s="3193"/>
      <c r="P186" s="3193"/>
      <c r="Q186" s="3193"/>
      <c r="R186" s="3193"/>
      <c r="S186" s="3193"/>
      <c r="T186" s="3193"/>
      <c r="U186" s="3193"/>
    </row>
    <row r="187" spans="1:21" s="960" customFormat="1" ht="14.25" customHeight="1">
      <c r="A187" s="3158" t="s">
        <v>1153</v>
      </c>
      <c r="B187" s="3158" t="s">
        <v>2892</v>
      </c>
      <c r="C187" s="3158"/>
      <c r="D187" s="3158"/>
      <c r="E187" s="3158"/>
      <c r="F187" s="3164">
        <v>2070</v>
      </c>
      <c r="G187" s="3164"/>
      <c r="I187" s="971"/>
      <c r="J187" s="3193"/>
      <c r="K187" s="3193"/>
      <c r="L187" s="3193"/>
      <c r="M187" s="3193"/>
      <c r="N187" s="3193"/>
      <c r="O187" s="3193"/>
      <c r="P187" s="3193"/>
      <c r="Q187" s="3193"/>
      <c r="R187" s="3193"/>
      <c r="S187" s="3193"/>
      <c r="T187" s="3193"/>
      <c r="U187" s="3193"/>
    </row>
    <row r="188" spans="1:21" s="960" customFormat="1" ht="14.25" customHeight="1">
      <c r="A188" s="3158" t="s">
        <v>1153</v>
      </c>
      <c r="B188" s="3158" t="s">
        <v>2893</v>
      </c>
      <c r="C188" s="3158"/>
      <c r="D188" s="3158"/>
      <c r="E188" s="3158"/>
      <c r="F188" s="3164">
        <v>2340</v>
      </c>
      <c r="G188" s="3164"/>
      <c r="I188" s="971"/>
      <c r="J188" s="3193"/>
      <c r="K188" s="3193"/>
      <c r="L188" s="3193"/>
      <c r="M188" s="3193"/>
      <c r="N188" s="3193"/>
      <c r="O188" s="3193"/>
      <c r="P188" s="3193"/>
      <c r="Q188" s="3193"/>
      <c r="R188" s="3193"/>
      <c r="S188" s="3193"/>
      <c r="T188" s="3193"/>
      <c r="U188" s="3193"/>
    </row>
    <row r="189" spans="1:21" s="960" customFormat="1" ht="14.25" customHeight="1" thickBot="1">
      <c r="A189" s="3173" t="s">
        <v>1153</v>
      </c>
      <c r="B189" s="3161" t="s">
        <v>2894</v>
      </c>
      <c r="C189" s="3161"/>
      <c r="D189" s="3161"/>
      <c r="E189" s="3161"/>
      <c r="F189" s="3162">
        <v>2050</v>
      </c>
      <c r="G189" s="3174"/>
      <c r="I189" s="971"/>
      <c r="J189" s="3193"/>
      <c r="K189" s="3193"/>
      <c r="L189" s="3193"/>
      <c r="M189" s="3193"/>
      <c r="N189" s="3193"/>
      <c r="O189" s="3193"/>
      <c r="P189" s="3193"/>
      <c r="Q189" s="3193"/>
      <c r="R189" s="3193"/>
      <c r="S189" s="3193"/>
      <c r="T189" s="3193"/>
      <c r="U189" s="3193"/>
    </row>
    <row r="190" spans="1:21" s="960" customFormat="1" ht="14.25" customHeight="1">
      <c r="A190" s="3172" t="s">
        <v>1154</v>
      </c>
      <c r="B190" s="1216" t="s">
        <v>2895</v>
      </c>
      <c r="C190" s="1216">
        <v>8830</v>
      </c>
      <c r="D190" s="1216">
        <v>8790</v>
      </c>
      <c r="E190" s="1216">
        <v>11630</v>
      </c>
      <c r="F190" s="3159">
        <v>1790</v>
      </c>
      <c r="G190" s="3159">
        <v>5550</v>
      </c>
      <c r="I190" s="971"/>
      <c r="J190" s="3193"/>
      <c r="K190" s="3193"/>
      <c r="L190" s="3193"/>
      <c r="M190" s="3193"/>
      <c r="N190" s="3193"/>
      <c r="O190" s="3193"/>
      <c r="P190" s="3193"/>
      <c r="Q190" s="3193"/>
      <c r="R190" s="3193"/>
      <c r="S190" s="3193"/>
      <c r="T190" s="3193"/>
      <c r="U190" s="3193"/>
    </row>
    <row r="191" spans="1:21" s="960" customFormat="1" ht="14.25" customHeight="1">
      <c r="A191" s="3158" t="s">
        <v>1154</v>
      </c>
      <c r="B191" s="3158" t="s">
        <v>978</v>
      </c>
      <c r="C191" s="3158">
        <v>9780</v>
      </c>
      <c r="D191" s="3158">
        <v>9710</v>
      </c>
      <c r="E191" s="3158">
        <v>12550</v>
      </c>
      <c r="F191" s="3164">
        <v>1980</v>
      </c>
      <c r="G191" s="3164">
        <v>6130</v>
      </c>
      <c r="I191" s="971"/>
      <c r="J191" s="3193"/>
      <c r="K191" s="3193"/>
      <c r="L191" s="3193"/>
      <c r="M191" s="3193"/>
      <c r="N191" s="3193"/>
      <c r="O191" s="3193"/>
      <c r="P191" s="3193"/>
      <c r="Q191" s="3193"/>
      <c r="R191" s="3193"/>
      <c r="S191" s="3193"/>
      <c r="T191" s="3193"/>
      <c r="U191" s="3193"/>
    </row>
    <row r="192" spans="1:21" s="960" customFormat="1" ht="14.25" customHeight="1">
      <c r="A192" s="3158" t="s">
        <v>1154</v>
      </c>
      <c r="B192" s="3158" t="s">
        <v>988</v>
      </c>
      <c r="C192" s="3158">
        <v>8180</v>
      </c>
      <c r="D192" s="3158">
        <v>8140</v>
      </c>
      <c r="E192" s="3158">
        <v>10870</v>
      </c>
      <c r="F192" s="3164">
        <v>1690</v>
      </c>
      <c r="G192" s="3164">
        <v>5140</v>
      </c>
      <c r="I192" s="971"/>
      <c r="J192" s="3193"/>
      <c r="K192" s="3193"/>
      <c r="L192" s="3193"/>
      <c r="M192" s="3193"/>
      <c r="N192" s="3193"/>
      <c r="O192" s="3193"/>
      <c r="P192" s="3193"/>
      <c r="Q192" s="3193"/>
      <c r="R192" s="3193"/>
      <c r="S192" s="3193"/>
      <c r="T192" s="3193"/>
      <c r="U192" s="3193"/>
    </row>
    <row r="193" spans="1:21" s="960" customFormat="1" ht="14.25" customHeight="1">
      <c r="A193" s="3158" t="s">
        <v>1154</v>
      </c>
      <c r="B193" s="3158" t="s">
        <v>997</v>
      </c>
      <c r="C193" s="3158">
        <v>8440</v>
      </c>
      <c r="D193" s="3158">
        <v>8390</v>
      </c>
      <c r="E193" s="3158">
        <v>11210</v>
      </c>
      <c r="F193" s="3164">
        <v>1600</v>
      </c>
      <c r="G193" s="3164">
        <v>5300</v>
      </c>
      <c r="I193" s="971"/>
      <c r="J193" s="3193"/>
      <c r="K193" s="3193"/>
      <c r="L193" s="3193"/>
      <c r="M193" s="3193"/>
      <c r="N193" s="3193"/>
      <c r="O193" s="3193"/>
      <c r="P193" s="3193"/>
      <c r="Q193" s="3193"/>
      <c r="R193" s="3193"/>
      <c r="S193" s="3193"/>
      <c r="T193" s="3193"/>
      <c r="U193" s="3193"/>
    </row>
    <row r="194" spans="1:21" s="960" customFormat="1" ht="14.25" customHeight="1">
      <c r="A194" s="3158" t="s">
        <v>1154</v>
      </c>
      <c r="B194" s="3158" t="s">
        <v>1007</v>
      </c>
      <c r="C194" s="3158">
        <v>8780</v>
      </c>
      <c r="D194" s="3158">
        <v>8730</v>
      </c>
      <c r="E194" s="3158">
        <v>11550</v>
      </c>
      <c r="F194" s="3164">
        <v>1660</v>
      </c>
      <c r="G194" s="3164">
        <v>5520</v>
      </c>
      <c r="I194" s="971"/>
      <c r="J194" s="3193"/>
      <c r="K194" s="3193"/>
      <c r="L194" s="3193"/>
      <c r="M194" s="3193"/>
      <c r="N194" s="3193"/>
      <c r="O194" s="3193"/>
      <c r="P194" s="3193"/>
      <c r="Q194" s="3193"/>
      <c r="R194" s="3193"/>
      <c r="S194" s="3193"/>
      <c r="T194" s="3193"/>
      <c r="U194" s="3193"/>
    </row>
    <row r="195" spans="1:21" s="960" customFormat="1" ht="14.25" customHeight="1">
      <c r="A195" s="3158" t="s">
        <v>1154</v>
      </c>
      <c r="B195" s="3158" t="s">
        <v>1014</v>
      </c>
      <c r="C195" s="3158">
        <v>8720</v>
      </c>
      <c r="D195" s="3158">
        <v>8670</v>
      </c>
      <c r="E195" s="3158">
        <v>11450</v>
      </c>
      <c r="F195" s="3164">
        <v>1720</v>
      </c>
      <c r="G195" s="3164">
        <v>5480</v>
      </c>
      <c r="I195" s="971"/>
      <c r="J195" s="3193"/>
      <c r="K195" s="3193"/>
      <c r="L195" s="3193"/>
      <c r="M195" s="3193"/>
      <c r="N195" s="3193"/>
      <c r="O195" s="3193"/>
      <c r="P195" s="3193"/>
      <c r="Q195" s="3193"/>
      <c r="R195" s="3193"/>
      <c r="S195" s="3193"/>
      <c r="T195" s="3193"/>
      <c r="U195" s="3193"/>
    </row>
    <row r="196" spans="1:21" s="960" customFormat="1" ht="14.25" customHeight="1">
      <c r="A196" s="3158" t="s">
        <v>1154</v>
      </c>
      <c r="B196" s="3158" t="s">
        <v>1020</v>
      </c>
      <c r="C196" s="3158">
        <v>8460</v>
      </c>
      <c r="D196" s="3158">
        <v>8410</v>
      </c>
      <c r="E196" s="3158">
        <v>11230</v>
      </c>
      <c r="F196" s="3164">
        <v>1730</v>
      </c>
      <c r="G196" s="3164">
        <v>5310</v>
      </c>
      <c r="I196" s="971"/>
      <c r="J196" s="3193"/>
      <c r="K196" s="3193"/>
      <c r="L196" s="3193"/>
      <c r="M196" s="3193"/>
      <c r="N196" s="3193"/>
      <c r="O196" s="3193"/>
      <c r="P196" s="3193"/>
      <c r="Q196" s="3193"/>
      <c r="R196" s="3193"/>
      <c r="S196" s="3193"/>
      <c r="T196" s="3193"/>
      <c r="U196" s="3193"/>
    </row>
    <row r="197" spans="1:21" s="960" customFormat="1" ht="14.25" customHeight="1">
      <c r="A197" s="3158" t="s">
        <v>1154</v>
      </c>
      <c r="B197" s="3158" t="s">
        <v>1027</v>
      </c>
      <c r="C197" s="3158">
        <v>8790</v>
      </c>
      <c r="D197" s="3158">
        <v>8730</v>
      </c>
      <c r="E197" s="3158">
        <v>11560</v>
      </c>
      <c r="F197" s="3164">
        <v>1750</v>
      </c>
      <c r="G197" s="3164">
        <v>5520</v>
      </c>
      <c r="I197" s="971"/>
      <c r="J197" s="3193"/>
      <c r="K197" s="3193"/>
      <c r="L197" s="3193"/>
      <c r="M197" s="3193"/>
      <c r="N197" s="3193"/>
      <c r="O197" s="3193"/>
      <c r="P197" s="3193"/>
      <c r="Q197" s="3193"/>
      <c r="R197" s="3193"/>
      <c r="S197" s="3193"/>
      <c r="T197" s="3193"/>
      <c r="U197" s="3193"/>
    </row>
    <row r="198" spans="1:21" s="960" customFormat="1" ht="14.25" customHeight="1">
      <c r="A198" s="3158" t="s">
        <v>1154</v>
      </c>
      <c r="B198" s="3158" t="s">
        <v>1037</v>
      </c>
      <c r="C198" s="3158">
        <v>8720</v>
      </c>
      <c r="D198" s="3158">
        <v>8680</v>
      </c>
      <c r="E198" s="3158">
        <v>11470</v>
      </c>
      <c r="F198" s="3164"/>
      <c r="G198" s="3164">
        <v>5480</v>
      </c>
      <c r="I198" s="971"/>
      <c r="J198" s="3193"/>
      <c r="K198" s="3193"/>
      <c r="L198" s="3193"/>
      <c r="M198" s="3193"/>
      <c r="N198" s="3193"/>
      <c r="O198" s="3193"/>
      <c r="P198" s="3193"/>
      <c r="Q198" s="3193"/>
      <c r="R198" s="3193"/>
      <c r="S198" s="3193"/>
      <c r="T198" s="3193"/>
      <c r="U198" s="3193"/>
    </row>
    <row r="199" spans="1:21" s="960" customFormat="1" ht="14.25" customHeight="1">
      <c r="A199" s="3158" t="s">
        <v>1154</v>
      </c>
      <c r="B199" s="3158" t="s">
        <v>2896</v>
      </c>
      <c r="C199" s="3158">
        <v>8690</v>
      </c>
      <c r="D199" s="3158">
        <v>8630</v>
      </c>
      <c r="E199" s="3158">
        <v>11350</v>
      </c>
      <c r="F199" s="3164">
        <v>1600</v>
      </c>
      <c r="G199" s="3164">
        <v>5450</v>
      </c>
      <c r="I199" s="971"/>
      <c r="J199" s="3193"/>
      <c r="K199" s="3193"/>
      <c r="L199" s="3193"/>
      <c r="M199" s="3193"/>
      <c r="N199" s="3193"/>
      <c r="O199" s="3193"/>
      <c r="P199" s="3193"/>
      <c r="Q199" s="3193"/>
      <c r="R199" s="3193"/>
      <c r="S199" s="3193"/>
      <c r="T199" s="3193"/>
      <c r="U199" s="3193"/>
    </row>
    <row r="200" spans="1:21" s="960" customFormat="1" ht="14.25" customHeight="1">
      <c r="A200" s="3158" t="s">
        <v>1154</v>
      </c>
      <c r="B200" s="3158" t="s">
        <v>2897</v>
      </c>
      <c r="C200" s="3158"/>
      <c r="D200" s="3158"/>
      <c r="E200" s="3158"/>
      <c r="F200" s="3164">
        <v>1510</v>
      </c>
      <c r="G200" s="3164"/>
      <c r="I200" s="971"/>
      <c r="J200" s="3193"/>
      <c r="K200" s="3193"/>
      <c r="L200" s="3193"/>
      <c r="M200" s="3193"/>
      <c r="N200" s="3193"/>
      <c r="O200" s="3193"/>
      <c r="P200" s="3193"/>
      <c r="Q200" s="3193"/>
      <c r="R200" s="3193"/>
      <c r="S200" s="3193"/>
      <c r="T200" s="3193"/>
      <c r="U200" s="3193"/>
    </row>
    <row r="201" spans="1:21" s="960" customFormat="1" ht="14.25" customHeight="1">
      <c r="A201" s="3158" t="s">
        <v>1154</v>
      </c>
      <c r="B201" s="3158" t="s">
        <v>2898</v>
      </c>
      <c r="C201" s="3158">
        <v>8440</v>
      </c>
      <c r="D201" s="3158">
        <v>8390</v>
      </c>
      <c r="E201" s="3158">
        <v>10930</v>
      </c>
      <c r="F201" s="3164">
        <v>1500</v>
      </c>
      <c r="G201" s="3164">
        <v>5300</v>
      </c>
      <c r="I201" s="971"/>
      <c r="J201" s="3193"/>
      <c r="K201" s="3193"/>
      <c r="L201" s="3193"/>
      <c r="M201" s="3193"/>
      <c r="N201" s="3193"/>
      <c r="O201" s="3193"/>
      <c r="P201" s="3193"/>
      <c r="Q201" s="3193"/>
      <c r="R201" s="3193"/>
      <c r="S201" s="3193"/>
      <c r="T201" s="3193"/>
      <c r="U201" s="3193"/>
    </row>
    <row r="202" spans="1:21" s="960" customFormat="1" ht="14.25" customHeight="1">
      <c r="A202" s="3158" t="s">
        <v>1154</v>
      </c>
      <c r="B202" s="3158" t="s">
        <v>1088</v>
      </c>
      <c r="C202" s="3158">
        <v>8530</v>
      </c>
      <c r="D202" s="3158">
        <v>8490</v>
      </c>
      <c r="E202" s="3158">
        <v>11160</v>
      </c>
      <c r="F202" s="3164">
        <v>1580</v>
      </c>
      <c r="G202" s="3164">
        <v>5360</v>
      </c>
      <c r="I202" s="971"/>
      <c r="J202" s="3193"/>
      <c r="K202" s="3193"/>
      <c r="L202" s="3193"/>
      <c r="M202" s="3193"/>
      <c r="N202" s="3193"/>
      <c r="O202" s="3193"/>
      <c r="P202" s="3193"/>
      <c r="Q202" s="3193"/>
      <c r="R202" s="3193"/>
      <c r="S202" s="3193"/>
      <c r="T202" s="3193"/>
      <c r="U202" s="3193"/>
    </row>
    <row r="203" spans="1:21" s="960" customFormat="1" ht="14.25" customHeight="1">
      <c r="A203" s="3158" t="s">
        <v>1154</v>
      </c>
      <c r="B203" s="3158" t="s">
        <v>2899</v>
      </c>
      <c r="C203" s="3158">
        <v>8130</v>
      </c>
      <c r="D203" s="3158">
        <v>8070</v>
      </c>
      <c r="E203" s="3158">
        <v>10820</v>
      </c>
      <c r="F203" s="3164">
        <v>1690</v>
      </c>
      <c r="G203" s="3164">
        <v>5100</v>
      </c>
      <c r="I203" s="971"/>
      <c r="J203" s="3193"/>
      <c r="K203" s="3193"/>
      <c r="L203" s="3193"/>
      <c r="M203" s="3193"/>
      <c r="N203" s="3193"/>
      <c r="O203" s="3193"/>
      <c r="P203" s="3193"/>
      <c r="Q203" s="3193"/>
      <c r="R203" s="3193"/>
      <c r="S203" s="3193"/>
      <c r="T203" s="3193"/>
      <c r="U203" s="3193"/>
    </row>
    <row r="204" spans="1:21" s="960" customFormat="1" ht="14.25" customHeight="1">
      <c r="A204" s="3158" t="s">
        <v>1154</v>
      </c>
      <c r="B204" s="3158" t="s">
        <v>2900</v>
      </c>
      <c r="C204" s="3158">
        <v>8350</v>
      </c>
      <c r="D204" s="3158">
        <v>8290</v>
      </c>
      <c r="E204" s="3158">
        <v>11080</v>
      </c>
      <c r="F204" s="3164">
        <v>1450</v>
      </c>
      <c r="G204" s="3164">
        <v>5240</v>
      </c>
      <c r="I204" s="971"/>
      <c r="J204" s="3193"/>
      <c r="K204" s="3193"/>
      <c r="L204" s="3193"/>
      <c r="M204" s="3193"/>
      <c r="N204" s="3193"/>
      <c r="O204" s="3193"/>
      <c r="P204" s="3193"/>
      <c r="Q204" s="3193"/>
      <c r="R204" s="3193"/>
      <c r="S204" s="3193"/>
      <c r="T204" s="3193"/>
      <c r="U204" s="3193"/>
    </row>
    <row r="205" spans="1:21" s="960" customFormat="1" ht="14.25" customHeight="1">
      <c r="A205" s="3158" t="s">
        <v>1154</v>
      </c>
      <c r="B205" s="3158" t="s">
        <v>2901</v>
      </c>
      <c r="C205" s="3158">
        <v>7190</v>
      </c>
      <c r="D205" s="3158">
        <v>7130</v>
      </c>
      <c r="E205" s="3158">
        <v>9490</v>
      </c>
      <c r="F205" s="3164">
        <v>1470</v>
      </c>
      <c r="G205" s="3171">
        <v>4510</v>
      </c>
      <c r="I205" s="971"/>
      <c r="J205" s="3193"/>
      <c r="K205" s="3193"/>
      <c r="L205" s="3193"/>
      <c r="M205" s="3193"/>
      <c r="N205" s="3193"/>
      <c r="O205" s="3193"/>
      <c r="P205" s="3193"/>
      <c r="Q205" s="3193"/>
      <c r="R205" s="3193"/>
      <c r="S205" s="3193"/>
      <c r="T205" s="3193"/>
      <c r="U205" s="3193"/>
    </row>
    <row r="206" spans="1:21" s="960" customFormat="1" ht="14.25" customHeight="1">
      <c r="A206" s="1216" t="s">
        <v>1154</v>
      </c>
      <c r="B206" s="1216" t="s">
        <v>2902</v>
      </c>
      <c r="C206" s="1216">
        <v>7000</v>
      </c>
      <c r="D206" s="1216">
        <v>6950</v>
      </c>
      <c r="E206" s="1216">
        <v>9170</v>
      </c>
      <c r="F206" s="3159">
        <v>1400</v>
      </c>
      <c r="G206" s="3159">
        <v>4380</v>
      </c>
      <c r="I206" s="971"/>
      <c r="J206" s="3193"/>
      <c r="K206" s="3193"/>
      <c r="L206" s="3193"/>
      <c r="M206" s="3193"/>
      <c r="N206" s="3193"/>
      <c r="O206" s="3193"/>
      <c r="P206" s="3193"/>
      <c r="Q206" s="3193"/>
      <c r="R206" s="3193"/>
      <c r="S206" s="3193"/>
      <c r="T206" s="3193"/>
      <c r="U206" s="3193"/>
    </row>
    <row r="207" spans="1:21" s="960" customFormat="1" ht="14.25" customHeight="1">
      <c r="A207" s="3158" t="s">
        <v>1154</v>
      </c>
      <c r="B207" s="3158" t="s">
        <v>2903</v>
      </c>
      <c r="C207" s="3158">
        <v>6950</v>
      </c>
      <c r="D207" s="3158">
        <v>6900</v>
      </c>
      <c r="E207" s="3158">
        <v>9110</v>
      </c>
      <c r="F207" s="3164">
        <v>1790</v>
      </c>
      <c r="G207" s="3164">
        <v>4360</v>
      </c>
      <c r="I207" s="971"/>
      <c r="J207" s="3193"/>
      <c r="K207" s="3193"/>
      <c r="L207" s="3193"/>
      <c r="M207" s="3193"/>
      <c r="N207" s="3193"/>
      <c r="O207" s="3193"/>
      <c r="P207" s="3193"/>
      <c r="Q207" s="3193"/>
      <c r="R207" s="3193"/>
      <c r="S207" s="3193"/>
      <c r="T207" s="3193"/>
      <c r="U207" s="3193"/>
    </row>
    <row r="208" spans="1:21" s="960" customFormat="1" ht="14.25" customHeight="1">
      <c r="A208" s="3158" t="s">
        <v>1154</v>
      </c>
      <c r="B208" s="3158" t="s">
        <v>2904</v>
      </c>
      <c r="C208" s="3158">
        <v>9470</v>
      </c>
      <c r="D208" s="3158">
        <v>9410</v>
      </c>
      <c r="E208" s="3158">
        <v>12330</v>
      </c>
      <c r="F208" s="3164">
        <v>1770</v>
      </c>
      <c r="G208" s="3164">
        <v>5940</v>
      </c>
      <c r="I208" s="971"/>
      <c r="J208" s="3193"/>
      <c r="K208" s="3193"/>
      <c r="L208" s="3193"/>
      <c r="M208" s="3193"/>
      <c r="N208" s="3193"/>
      <c r="O208" s="3193"/>
      <c r="P208" s="3193"/>
      <c r="Q208" s="3193"/>
      <c r="R208" s="3193"/>
      <c r="S208" s="3193"/>
      <c r="T208" s="3193"/>
      <c r="U208" s="3193"/>
    </row>
    <row r="209" spans="1:21" s="960" customFormat="1" ht="14.25" customHeight="1">
      <c r="A209" s="3158" t="s">
        <v>1154</v>
      </c>
      <c r="B209" s="3158" t="s">
        <v>1112</v>
      </c>
      <c r="C209" s="3158">
        <v>8740</v>
      </c>
      <c r="D209" s="3158">
        <v>8700</v>
      </c>
      <c r="E209" s="3158">
        <v>11500</v>
      </c>
      <c r="F209" s="3164">
        <v>1730</v>
      </c>
      <c r="G209" s="3164">
        <v>5490</v>
      </c>
      <c r="I209" s="971"/>
      <c r="J209" s="3193"/>
      <c r="K209" s="3193"/>
      <c r="L209" s="3193"/>
      <c r="M209" s="3193"/>
      <c r="N209" s="3193"/>
      <c r="O209" s="3193"/>
      <c r="P209" s="3193"/>
      <c r="Q209" s="3193"/>
      <c r="R209" s="3193"/>
      <c r="S209" s="3193"/>
      <c r="T209" s="3193"/>
      <c r="U209" s="3193"/>
    </row>
    <row r="210" spans="1:21" s="960" customFormat="1" ht="14.25" customHeight="1">
      <c r="A210" s="3158" t="s">
        <v>1154</v>
      </c>
      <c r="B210" s="3158" t="s">
        <v>2905</v>
      </c>
      <c r="C210" s="3158">
        <v>8710</v>
      </c>
      <c r="D210" s="3158">
        <v>8660</v>
      </c>
      <c r="E210" s="3158">
        <v>11440</v>
      </c>
      <c r="F210" s="3164">
        <v>1740</v>
      </c>
      <c r="G210" s="3164">
        <v>5470</v>
      </c>
      <c r="I210" s="971"/>
      <c r="J210" s="3193"/>
      <c r="K210" s="3193"/>
      <c r="L210" s="3193"/>
      <c r="M210" s="3193"/>
      <c r="N210" s="3193"/>
      <c r="O210" s="3193"/>
      <c r="P210" s="3193"/>
      <c r="Q210" s="3193"/>
      <c r="R210" s="3193"/>
      <c r="S210" s="3193"/>
      <c r="T210" s="3193"/>
      <c r="U210" s="3193"/>
    </row>
    <row r="211" spans="1:21" s="960" customFormat="1" ht="14.25" customHeight="1">
      <c r="A211" s="3158" t="s">
        <v>1154</v>
      </c>
      <c r="B211" s="3158" t="s">
        <v>2906</v>
      </c>
      <c r="C211" s="3158">
        <v>9480</v>
      </c>
      <c r="D211" s="3158">
        <v>9430</v>
      </c>
      <c r="E211" s="3158">
        <v>12360</v>
      </c>
      <c r="F211" s="3164">
        <v>1820</v>
      </c>
      <c r="G211" s="3164">
        <v>5950</v>
      </c>
      <c r="I211" s="971"/>
      <c r="J211" s="3193"/>
      <c r="K211" s="3193"/>
      <c r="L211" s="3193"/>
      <c r="M211" s="3193"/>
      <c r="N211" s="3193"/>
      <c r="O211" s="3193"/>
      <c r="P211" s="3193"/>
      <c r="Q211" s="3193"/>
      <c r="R211" s="3193"/>
      <c r="S211" s="3193"/>
      <c r="T211" s="3193"/>
      <c r="U211" s="3193"/>
    </row>
    <row r="212" spans="1:21" s="960" customFormat="1" ht="14.25" customHeight="1">
      <c r="A212" s="3158" t="s">
        <v>1154</v>
      </c>
      <c r="B212" s="3158" t="s">
        <v>1134</v>
      </c>
      <c r="C212" s="3158">
        <v>9070</v>
      </c>
      <c r="D212" s="3158">
        <v>9020</v>
      </c>
      <c r="E212" s="3158">
        <v>11720</v>
      </c>
      <c r="F212" s="3164">
        <v>1850</v>
      </c>
      <c r="G212" s="3164">
        <v>5700</v>
      </c>
      <c r="I212" s="971"/>
      <c r="J212" s="3193"/>
      <c r="K212" s="3193"/>
      <c r="L212" s="3193"/>
      <c r="M212" s="3193"/>
      <c r="N212" s="3193"/>
      <c r="O212" s="3193"/>
      <c r="P212" s="3193"/>
      <c r="Q212" s="3193"/>
      <c r="R212" s="3193"/>
      <c r="S212" s="3193"/>
      <c r="T212" s="3193"/>
      <c r="U212" s="3193"/>
    </row>
    <row r="213" spans="1:21" s="960" customFormat="1" ht="14.25" customHeight="1">
      <c r="A213" s="3158" t="s">
        <v>1154</v>
      </c>
      <c r="B213" s="3158" t="s">
        <v>1137</v>
      </c>
      <c r="C213" s="3158">
        <v>9030</v>
      </c>
      <c r="D213" s="3158">
        <v>8980</v>
      </c>
      <c r="E213" s="3158">
        <v>11670</v>
      </c>
      <c r="F213" s="3164">
        <v>1690</v>
      </c>
      <c r="G213" s="3164">
        <v>5670</v>
      </c>
      <c r="I213" s="971"/>
      <c r="J213" s="3193"/>
      <c r="K213" s="3193"/>
      <c r="L213" s="3193"/>
      <c r="M213" s="3193"/>
      <c r="N213" s="3193"/>
      <c r="O213" s="3193"/>
      <c r="P213" s="3193"/>
      <c r="Q213" s="3193"/>
      <c r="R213" s="3193"/>
      <c r="S213" s="3193"/>
      <c r="T213" s="3193"/>
      <c r="U213" s="3193"/>
    </row>
    <row r="214" spans="1:21" s="960" customFormat="1" ht="14.25" customHeight="1">
      <c r="A214" s="3158" t="s">
        <v>1154</v>
      </c>
      <c r="B214" s="3158" t="s">
        <v>2907</v>
      </c>
      <c r="C214" s="3158">
        <v>8090</v>
      </c>
      <c r="D214" s="3158">
        <v>8030</v>
      </c>
      <c r="E214" s="3158">
        <v>10780</v>
      </c>
      <c r="F214" s="3164">
        <v>1570</v>
      </c>
      <c r="G214" s="3166">
        <v>5070</v>
      </c>
      <c r="I214" s="971"/>
      <c r="J214" s="3193"/>
      <c r="K214" s="3193"/>
      <c r="L214" s="3193"/>
      <c r="M214" s="3193"/>
      <c r="N214" s="3193"/>
      <c r="O214" s="3193"/>
      <c r="P214" s="3193"/>
      <c r="Q214" s="3193"/>
      <c r="R214" s="3193"/>
      <c r="S214" s="3193"/>
      <c r="T214" s="3193"/>
      <c r="U214" s="3193"/>
    </row>
    <row r="215" spans="1:21" s="960" customFormat="1" ht="14.25" customHeight="1">
      <c r="A215" s="3158" t="s">
        <v>1154</v>
      </c>
      <c r="B215" s="3158" t="s">
        <v>1123</v>
      </c>
      <c r="C215" s="3158">
        <v>7950</v>
      </c>
      <c r="D215" s="3158">
        <v>7900</v>
      </c>
      <c r="E215" s="3158">
        <v>10560</v>
      </c>
      <c r="F215" s="3164">
        <v>1630</v>
      </c>
      <c r="G215" s="3164">
        <v>4990</v>
      </c>
      <c r="I215" s="971"/>
      <c r="J215" s="3193"/>
      <c r="K215" s="3193"/>
      <c r="L215" s="3193"/>
      <c r="M215" s="3193"/>
      <c r="N215" s="3193"/>
      <c r="O215" s="3193"/>
      <c r="P215" s="3193"/>
      <c r="Q215" s="3193"/>
      <c r="R215" s="3193"/>
      <c r="S215" s="3193"/>
      <c r="T215" s="3193"/>
      <c r="U215" s="3193"/>
    </row>
    <row r="216" spans="1:21" s="960" customFormat="1" ht="14.25" customHeight="1">
      <c r="A216" s="3158" t="s">
        <v>1154</v>
      </c>
      <c r="B216" s="3158" t="s">
        <v>2908</v>
      </c>
      <c r="C216" s="3158">
        <v>8490</v>
      </c>
      <c r="D216" s="3158">
        <v>8440</v>
      </c>
      <c r="E216" s="3158">
        <v>11260</v>
      </c>
      <c r="F216" s="3164">
        <v>1690</v>
      </c>
      <c r="G216" s="3164">
        <v>5330</v>
      </c>
      <c r="I216" s="971"/>
      <c r="J216" s="3193"/>
      <c r="K216" s="3193"/>
      <c r="L216" s="3193"/>
      <c r="M216" s="3193"/>
      <c r="N216" s="3193"/>
      <c r="O216" s="3193"/>
      <c r="P216" s="3193"/>
      <c r="Q216" s="3193"/>
      <c r="R216" s="3193"/>
      <c r="S216" s="3193"/>
      <c r="T216" s="3193"/>
      <c r="U216" s="3193"/>
    </row>
    <row r="217" spans="1:21" s="960" customFormat="1" ht="14.25" customHeight="1">
      <c r="A217" s="3158" t="s">
        <v>1154</v>
      </c>
      <c r="B217" s="3158" t="s">
        <v>2909</v>
      </c>
      <c r="C217" s="3158">
        <v>8200</v>
      </c>
      <c r="D217" s="3158">
        <v>8150</v>
      </c>
      <c r="E217" s="3158">
        <v>10910</v>
      </c>
      <c r="F217" s="3164">
        <v>1670</v>
      </c>
      <c r="G217" s="3164">
        <v>5150</v>
      </c>
      <c r="I217" s="971"/>
      <c r="J217" s="3193"/>
      <c r="K217" s="3193"/>
      <c r="L217" s="3193"/>
      <c r="M217" s="3193"/>
      <c r="N217" s="3193"/>
      <c r="O217" s="3193"/>
      <c r="P217" s="3193"/>
      <c r="Q217" s="3193"/>
      <c r="R217" s="3193"/>
      <c r="S217" s="3193"/>
      <c r="T217" s="3193"/>
      <c r="U217" s="3193"/>
    </row>
    <row r="218" spans="1:21" s="960" customFormat="1" ht="14.25" customHeight="1">
      <c r="A218" s="3158" t="s">
        <v>1154</v>
      </c>
      <c r="B218" s="3158" t="s">
        <v>2910</v>
      </c>
      <c r="C218" s="3158"/>
      <c r="D218" s="3158"/>
      <c r="E218" s="3158"/>
      <c r="F218" s="3164">
        <v>2040</v>
      </c>
      <c r="G218" s="3164"/>
      <c r="I218" s="971"/>
      <c r="J218" s="3193"/>
      <c r="K218" s="3193"/>
      <c r="L218" s="3193"/>
      <c r="M218" s="3193"/>
      <c r="N218" s="3193"/>
      <c r="O218" s="3193"/>
      <c r="P218" s="3193"/>
      <c r="Q218" s="3193"/>
      <c r="R218" s="3193"/>
      <c r="S218" s="3193"/>
      <c r="T218" s="3193"/>
      <c r="U218" s="3193"/>
    </row>
    <row r="219" spans="1:21" s="960" customFormat="1" ht="14.25" customHeight="1">
      <c r="A219" s="3158" t="s">
        <v>1154</v>
      </c>
      <c r="B219" s="3158" t="s">
        <v>2911</v>
      </c>
      <c r="C219" s="3158"/>
      <c r="D219" s="3158"/>
      <c r="E219" s="3158"/>
      <c r="F219" s="3164">
        <v>2040</v>
      </c>
      <c r="G219" s="3164"/>
      <c r="I219" s="971"/>
      <c r="J219" s="3193"/>
      <c r="K219" s="3193"/>
      <c r="L219" s="3193"/>
      <c r="M219" s="3193"/>
      <c r="N219" s="3193"/>
      <c r="O219" s="3193"/>
      <c r="P219" s="3193"/>
      <c r="Q219" s="3193"/>
      <c r="R219" s="3193"/>
      <c r="S219" s="3193"/>
      <c r="T219" s="3193"/>
      <c r="U219" s="3193"/>
    </row>
    <row r="220" spans="1:21" s="960" customFormat="1" ht="14.25" customHeight="1">
      <c r="A220" s="3158" t="s">
        <v>1154</v>
      </c>
      <c r="B220" s="3158" t="s">
        <v>2912</v>
      </c>
      <c r="C220" s="3158"/>
      <c r="D220" s="3158"/>
      <c r="E220" s="3158"/>
      <c r="F220" s="3164">
        <v>2040</v>
      </c>
      <c r="G220" s="3164"/>
      <c r="I220" s="971"/>
      <c r="J220" s="3193"/>
      <c r="K220" s="3193"/>
      <c r="L220" s="3193"/>
      <c r="M220" s="3193"/>
      <c r="N220" s="3193"/>
      <c r="O220" s="3193"/>
      <c r="P220" s="3193"/>
      <c r="Q220" s="3193"/>
      <c r="R220" s="3193"/>
      <c r="S220" s="3193"/>
      <c r="T220" s="3193"/>
      <c r="U220" s="3193"/>
    </row>
    <row r="221" spans="1:21" s="960" customFormat="1" ht="14.25" customHeight="1">
      <c r="A221" s="3158" t="s">
        <v>1154</v>
      </c>
      <c r="B221" s="3158" t="s">
        <v>2913</v>
      </c>
      <c r="C221" s="3167"/>
      <c r="D221" s="3167"/>
      <c r="E221" s="3167"/>
      <c r="F221" s="3166">
        <v>2040</v>
      </c>
      <c r="G221" s="3164"/>
      <c r="I221" s="971"/>
      <c r="J221" s="3193"/>
      <c r="K221" s="3193"/>
      <c r="L221" s="3193"/>
      <c r="M221" s="3193"/>
      <c r="N221" s="3193"/>
      <c r="O221" s="3193"/>
      <c r="P221" s="3193"/>
      <c r="Q221" s="3193"/>
      <c r="R221" s="3193"/>
      <c r="S221" s="3193"/>
      <c r="T221" s="3193"/>
      <c r="U221" s="3193"/>
    </row>
    <row r="222" spans="1:21" s="960" customFormat="1" ht="14.25" customHeight="1">
      <c r="A222" s="3158" t="s">
        <v>1154</v>
      </c>
      <c r="B222" s="3158" t="s">
        <v>2914</v>
      </c>
      <c r="C222" s="3167"/>
      <c r="D222" s="3167"/>
      <c r="E222" s="3167"/>
      <c r="F222" s="3166">
        <v>2040</v>
      </c>
      <c r="G222" s="3164"/>
      <c r="I222" s="971"/>
      <c r="J222" s="3193"/>
      <c r="K222" s="3193"/>
      <c r="L222" s="3193"/>
      <c r="M222" s="3193"/>
      <c r="N222" s="3193"/>
      <c r="O222" s="3193"/>
      <c r="P222" s="3193"/>
      <c r="Q222" s="3193"/>
      <c r="R222" s="3193"/>
      <c r="S222" s="3193"/>
      <c r="T222" s="3193"/>
      <c r="U222" s="3193"/>
    </row>
    <row r="223" spans="1:21" s="960" customFormat="1" ht="14.25" customHeight="1">
      <c r="A223" s="3158" t="s">
        <v>1154</v>
      </c>
      <c r="B223" s="3158" t="s">
        <v>2915</v>
      </c>
      <c r="C223" s="3167"/>
      <c r="D223" s="3167"/>
      <c r="E223" s="3167"/>
      <c r="F223" s="3166">
        <v>1930</v>
      </c>
      <c r="G223" s="3164"/>
      <c r="I223" s="971"/>
      <c r="J223" s="3193"/>
      <c r="K223" s="3193"/>
      <c r="L223" s="3193"/>
      <c r="M223" s="3193"/>
      <c r="N223" s="3193"/>
      <c r="O223" s="3193"/>
      <c r="P223" s="3193"/>
      <c r="Q223" s="3193"/>
      <c r="R223" s="3193"/>
      <c r="S223" s="3193"/>
      <c r="T223" s="3193"/>
      <c r="U223" s="3193"/>
    </row>
    <row r="224" spans="1:21" s="960" customFormat="1" ht="14.25" customHeight="1">
      <c r="A224" s="3158" t="s">
        <v>1154</v>
      </c>
      <c r="B224" s="3158" t="s">
        <v>2916</v>
      </c>
      <c r="C224" s="3167"/>
      <c r="D224" s="3167"/>
      <c r="E224" s="3167"/>
      <c r="F224" s="3166">
        <v>1930</v>
      </c>
      <c r="G224" s="3164"/>
      <c r="I224" s="971"/>
      <c r="J224" s="3193"/>
      <c r="K224" s="3193"/>
      <c r="L224" s="3193"/>
      <c r="M224" s="3193"/>
      <c r="N224" s="3193"/>
      <c r="O224" s="3193"/>
      <c r="P224" s="3193"/>
      <c r="Q224" s="3193"/>
      <c r="R224" s="3193"/>
      <c r="S224" s="3193"/>
      <c r="T224" s="3193"/>
      <c r="U224" s="3193"/>
    </row>
    <row r="225" spans="1:21" s="960" customFormat="1" ht="14.25" customHeight="1">
      <c r="A225" s="3158" t="s">
        <v>1154</v>
      </c>
      <c r="B225" s="3158" t="s">
        <v>2917</v>
      </c>
      <c r="C225" s="3158"/>
      <c r="D225" s="3158"/>
      <c r="E225" s="3158"/>
      <c r="F225" s="3164">
        <v>1930</v>
      </c>
      <c r="G225" s="3164"/>
      <c r="I225" s="971"/>
      <c r="J225" s="3193"/>
      <c r="K225" s="3193"/>
      <c r="L225" s="3193"/>
      <c r="M225" s="3193"/>
      <c r="N225" s="3193"/>
      <c r="O225" s="3193"/>
      <c r="P225" s="3193"/>
      <c r="Q225" s="3193"/>
      <c r="R225" s="3193"/>
      <c r="S225" s="3193"/>
      <c r="T225" s="3193"/>
      <c r="U225" s="3193"/>
    </row>
    <row r="226" spans="1:21" s="960" customFormat="1" ht="14.25" customHeight="1">
      <c r="A226" s="3158" t="s">
        <v>1154</v>
      </c>
      <c r="B226" s="3158" t="s">
        <v>2918</v>
      </c>
      <c r="C226" s="3158"/>
      <c r="D226" s="3158"/>
      <c r="E226" s="3158"/>
      <c r="F226" s="3164">
        <v>1700</v>
      </c>
      <c r="G226" s="3164"/>
      <c r="I226" s="971"/>
      <c r="J226" s="3193"/>
      <c r="K226" s="3193"/>
      <c r="L226" s="3193"/>
      <c r="M226" s="3193"/>
      <c r="N226" s="3193"/>
      <c r="O226" s="3193"/>
      <c r="P226" s="3193"/>
      <c r="Q226" s="3193"/>
      <c r="R226" s="3193"/>
      <c r="S226" s="3193"/>
      <c r="T226" s="3193"/>
      <c r="U226" s="3193"/>
    </row>
    <row r="227" spans="1:21" s="960" customFormat="1" ht="14.25" customHeight="1">
      <c r="A227" s="3158" t="s">
        <v>1154</v>
      </c>
      <c r="B227" s="3158" t="s">
        <v>2919</v>
      </c>
      <c r="C227" s="3158"/>
      <c r="D227" s="3158"/>
      <c r="E227" s="3158"/>
      <c r="F227" s="3164">
        <v>1520</v>
      </c>
      <c r="G227" s="3164"/>
      <c r="I227" s="971"/>
      <c r="J227" s="3193"/>
      <c r="K227" s="3193"/>
      <c r="L227" s="3193"/>
      <c r="M227" s="3193"/>
      <c r="N227" s="3193"/>
      <c r="O227" s="3193"/>
      <c r="P227" s="3193"/>
      <c r="Q227" s="3193"/>
      <c r="R227" s="3193"/>
      <c r="S227" s="3193"/>
      <c r="T227" s="3193"/>
      <c r="U227" s="3193"/>
    </row>
    <row r="228" spans="1:21" s="960" customFormat="1" ht="14.25" customHeight="1">
      <c r="A228" s="3158" t="s">
        <v>1154</v>
      </c>
      <c r="B228" s="3158" t="s">
        <v>2920</v>
      </c>
      <c r="C228" s="3158"/>
      <c r="D228" s="3158"/>
      <c r="E228" s="3158"/>
      <c r="F228" s="3164">
        <v>1520</v>
      </c>
      <c r="G228" s="3164"/>
      <c r="I228" s="971"/>
      <c r="J228" s="3193"/>
      <c r="K228" s="3193"/>
      <c r="L228" s="3193"/>
      <c r="M228" s="3193"/>
      <c r="N228" s="3193"/>
      <c r="O228" s="3193"/>
      <c r="P228" s="3193"/>
      <c r="Q228" s="3193"/>
      <c r="R228" s="3193"/>
      <c r="S228" s="3193"/>
      <c r="T228" s="3193"/>
      <c r="U228" s="3193"/>
    </row>
    <row r="229" spans="1:21" s="960" customFormat="1" ht="14.25" customHeight="1">
      <c r="A229" s="3158" t="s">
        <v>1154</v>
      </c>
      <c r="B229" s="3158" t="s">
        <v>2921</v>
      </c>
      <c r="C229" s="3158"/>
      <c r="D229" s="3158"/>
      <c r="E229" s="3158"/>
      <c r="F229" s="3164">
        <v>1520</v>
      </c>
      <c r="G229" s="3166"/>
      <c r="I229" s="971"/>
      <c r="J229" s="3193"/>
      <c r="K229" s="3193"/>
      <c r="L229" s="3193"/>
      <c r="M229" s="3193"/>
      <c r="N229" s="3193"/>
      <c r="O229" s="3193"/>
      <c r="P229" s="3193"/>
      <c r="Q229" s="3193"/>
      <c r="R229" s="3193"/>
      <c r="S229" s="3193"/>
      <c r="T229" s="3193"/>
      <c r="U229" s="3193"/>
    </row>
    <row r="230" spans="1:21" s="960" customFormat="1" ht="14.25" customHeight="1">
      <c r="A230" s="3158" t="s">
        <v>1154</v>
      </c>
      <c r="B230" s="3158" t="s">
        <v>2922</v>
      </c>
      <c r="C230" s="3158"/>
      <c r="D230" s="3158"/>
      <c r="E230" s="3158"/>
      <c r="F230" s="3164">
        <v>1820</v>
      </c>
      <c r="G230" s="3166"/>
      <c r="I230" s="971"/>
      <c r="J230" s="3193"/>
      <c r="K230" s="3193"/>
      <c r="L230" s="3193"/>
      <c r="M230" s="3193"/>
      <c r="N230" s="3193"/>
      <c r="O230" s="3193"/>
      <c r="P230" s="3193"/>
      <c r="Q230" s="3193"/>
      <c r="R230" s="3193"/>
      <c r="S230" s="3193"/>
      <c r="T230" s="3193"/>
      <c r="U230" s="3193"/>
    </row>
    <row r="231" spans="1:21" s="960" customFormat="1" ht="14.25" customHeight="1">
      <c r="A231" s="3158" t="s">
        <v>1154</v>
      </c>
      <c r="B231" s="3158" t="s">
        <v>2923</v>
      </c>
      <c r="C231" s="3158"/>
      <c r="D231" s="3158"/>
      <c r="E231" s="3158"/>
      <c r="F231" s="3164">
        <v>1760</v>
      </c>
      <c r="G231" s="3166"/>
      <c r="I231" s="971"/>
      <c r="J231" s="3193"/>
      <c r="K231" s="3193"/>
      <c r="L231" s="3193"/>
      <c r="M231" s="3193"/>
      <c r="N231" s="3193"/>
      <c r="O231" s="3193"/>
      <c r="P231" s="3193"/>
      <c r="Q231" s="3193"/>
      <c r="R231" s="3193"/>
      <c r="S231" s="3193"/>
      <c r="T231" s="3193"/>
      <c r="U231" s="3193"/>
    </row>
    <row r="232" spans="1:21" s="960" customFormat="1" ht="14.25" customHeight="1">
      <c r="A232" s="3158" t="s">
        <v>1154</v>
      </c>
      <c r="B232" s="3158" t="s">
        <v>2924</v>
      </c>
      <c r="C232" s="3158"/>
      <c r="D232" s="3158"/>
      <c r="E232" s="3158"/>
      <c r="F232" s="3164">
        <v>1840</v>
      </c>
      <c r="G232" s="3164"/>
      <c r="I232" s="971"/>
      <c r="J232" s="3193"/>
      <c r="K232" s="3193"/>
      <c r="L232" s="3193"/>
      <c r="M232" s="3193"/>
      <c r="N232" s="3193"/>
      <c r="O232" s="3193"/>
      <c r="P232" s="3193"/>
      <c r="Q232" s="3193"/>
      <c r="R232" s="3193"/>
      <c r="S232" s="3193"/>
      <c r="T232" s="3193"/>
      <c r="U232" s="3193"/>
    </row>
    <row r="233" spans="1:21" s="960" customFormat="1" ht="14.25" customHeight="1" thickBot="1">
      <c r="A233" s="3173" t="s">
        <v>1154</v>
      </c>
      <c r="B233" s="3161" t="s">
        <v>2925</v>
      </c>
      <c r="C233" s="3161"/>
      <c r="D233" s="3161"/>
      <c r="E233" s="3161"/>
      <c r="F233" s="3162">
        <v>1770</v>
      </c>
      <c r="G233" s="3177"/>
      <c r="I233" s="971"/>
      <c r="J233" s="3193"/>
      <c r="K233" s="3193"/>
      <c r="L233" s="3193"/>
      <c r="M233" s="3193"/>
      <c r="N233" s="3193"/>
      <c r="O233" s="3193"/>
      <c r="P233" s="3193"/>
      <c r="Q233" s="3193"/>
      <c r="R233" s="3193"/>
      <c r="S233" s="3193"/>
      <c r="T233" s="3193"/>
      <c r="U233" s="3193"/>
    </row>
    <row r="234" spans="1:21" s="960" customFormat="1" ht="14.25" customHeight="1">
      <c r="A234" s="3172" t="s">
        <v>1155</v>
      </c>
      <c r="B234" s="1216" t="s">
        <v>2926</v>
      </c>
      <c r="C234" s="1216">
        <v>6980</v>
      </c>
      <c r="D234" s="1216">
        <v>6970</v>
      </c>
      <c r="E234" s="1216">
        <v>8720</v>
      </c>
      <c r="F234" s="3159">
        <v>1350</v>
      </c>
      <c r="G234" s="3175">
        <v>4280</v>
      </c>
      <c r="I234" s="971"/>
      <c r="J234" s="3193"/>
      <c r="K234" s="3193"/>
      <c r="L234" s="3193"/>
      <c r="M234" s="3193"/>
      <c r="N234" s="3193"/>
      <c r="O234" s="3193"/>
      <c r="P234" s="3193"/>
      <c r="Q234" s="3193"/>
      <c r="R234" s="3193"/>
      <c r="S234" s="3193"/>
      <c r="T234" s="3193"/>
      <c r="U234" s="3193"/>
    </row>
    <row r="235" spans="1:21" s="960" customFormat="1" ht="14.25" customHeight="1">
      <c r="A235" s="3158" t="s">
        <v>1155</v>
      </c>
      <c r="B235" s="3158" t="s">
        <v>979</v>
      </c>
      <c r="C235" s="3158">
        <v>7620</v>
      </c>
      <c r="D235" s="3158">
        <v>7580</v>
      </c>
      <c r="E235" s="3158">
        <v>9360</v>
      </c>
      <c r="F235" s="3164">
        <v>1490</v>
      </c>
      <c r="G235" s="3164">
        <v>4650</v>
      </c>
      <c r="I235" s="971"/>
      <c r="J235" s="3193"/>
      <c r="K235" s="3193"/>
      <c r="L235" s="3193"/>
      <c r="M235" s="3193"/>
      <c r="N235" s="3193"/>
      <c r="O235" s="3193"/>
      <c r="P235" s="3193"/>
      <c r="Q235" s="3193"/>
      <c r="R235" s="3193"/>
      <c r="S235" s="3193"/>
      <c r="T235" s="3193"/>
      <c r="U235" s="3193"/>
    </row>
    <row r="236" spans="1:21" s="960" customFormat="1" ht="14.25" customHeight="1">
      <c r="A236" s="3158" t="s">
        <v>1155</v>
      </c>
      <c r="B236" s="3158" t="s">
        <v>989</v>
      </c>
      <c r="C236" s="3158">
        <v>6650</v>
      </c>
      <c r="D236" s="3158">
        <v>6630</v>
      </c>
      <c r="E236" s="3158">
        <v>8330</v>
      </c>
      <c r="F236" s="3164">
        <v>1250</v>
      </c>
      <c r="G236" s="3164">
        <v>4070</v>
      </c>
      <c r="I236" s="971"/>
      <c r="J236" s="3193"/>
      <c r="K236" s="3193"/>
      <c r="L236" s="3193"/>
      <c r="M236" s="3193"/>
      <c r="N236" s="3193"/>
      <c r="O236" s="3193"/>
      <c r="P236" s="3193"/>
      <c r="Q236" s="3193"/>
      <c r="R236" s="3193"/>
      <c r="S236" s="3193"/>
      <c r="T236" s="3193"/>
      <c r="U236" s="3193"/>
    </row>
    <row r="237" spans="1:21" s="960" customFormat="1" ht="14.25" customHeight="1">
      <c r="A237" s="3158" t="s">
        <v>1155</v>
      </c>
      <c r="B237" s="3158" t="s">
        <v>998</v>
      </c>
      <c r="C237" s="3158">
        <v>5850</v>
      </c>
      <c r="D237" s="3158">
        <v>5820</v>
      </c>
      <c r="E237" s="3158">
        <v>7260</v>
      </c>
      <c r="F237" s="3164">
        <v>1140</v>
      </c>
      <c r="G237" s="3164">
        <v>3570</v>
      </c>
      <c r="I237" s="971"/>
      <c r="J237" s="3193"/>
      <c r="K237" s="3193"/>
      <c r="L237" s="3193"/>
      <c r="M237" s="3193"/>
      <c r="N237" s="3193"/>
      <c r="O237" s="3193"/>
      <c r="P237" s="3193"/>
      <c r="Q237" s="3193"/>
      <c r="R237" s="3193"/>
      <c r="S237" s="3193"/>
      <c r="T237" s="3193"/>
      <c r="U237" s="3193"/>
    </row>
    <row r="238" spans="1:21" s="960" customFormat="1" ht="14.25" customHeight="1">
      <c r="A238" s="3158" t="s">
        <v>1155</v>
      </c>
      <c r="B238" s="3158" t="s">
        <v>2927</v>
      </c>
      <c r="C238" s="3158">
        <v>6920</v>
      </c>
      <c r="D238" s="3158">
        <v>6890</v>
      </c>
      <c r="E238" s="3158">
        <v>8640</v>
      </c>
      <c r="F238" s="3164">
        <v>1310</v>
      </c>
      <c r="G238" s="3164">
        <v>4230</v>
      </c>
      <c r="I238" s="971"/>
      <c r="J238" s="3193"/>
      <c r="K238" s="3193"/>
      <c r="L238" s="3193"/>
      <c r="M238" s="3193"/>
      <c r="N238" s="3193"/>
      <c r="O238" s="3193"/>
      <c r="P238" s="3193"/>
      <c r="Q238" s="3193"/>
      <c r="R238" s="3193"/>
      <c r="S238" s="3193"/>
      <c r="T238" s="3193"/>
      <c r="U238" s="3193"/>
    </row>
    <row r="239" spans="1:21" s="960" customFormat="1" ht="14.25" customHeight="1">
      <c r="A239" s="3158" t="s">
        <v>1155</v>
      </c>
      <c r="B239" s="3158" t="s">
        <v>2928</v>
      </c>
      <c r="C239" s="3158">
        <v>6780</v>
      </c>
      <c r="D239" s="3158">
        <v>6750</v>
      </c>
      <c r="E239" s="3158">
        <v>8440</v>
      </c>
      <c r="F239" s="3164">
        <v>1160</v>
      </c>
      <c r="G239" s="3164">
        <v>4140</v>
      </c>
      <c r="I239" s="971"/>
      <c r="J239" s="3193"/>
      <c r="K239" s="3193"/>
      <c r="L239" s="3193"/>
      <c r="M239" s="3193"/>
      <c r="N239" s="3193"/>
      <c r="O239" s="3193"/>
      <c r="P239" s="3193"/>
      <c r="Q239" s="3193"/>
      <c r="R239" s="3193"/>
      <c r="S239" s="3193"/>
      <c r="T239" s="3193"/>
      <c r="U239" s="3193"/>
    </row>
    <row r="240" spans="1:21" s="960" customFormat="1" ht="14.25" customHeight="1">
      <c r="A240" s="3158" t="s">
        <v>1155</v>
      </c>
      <c r="B240" s="3158" t="s">
        <v>2929</v>
      </c>
      <c r="C240" s="3158">
        <v>5420</v>
      </c>
      <c r="D240" s="3158">
        <v>5380</v>
      </c>
      <c r="E240" s="3158">
        <v>6640</v>
      </c>
      <c r="F240" s="3164">
        <v>1020</v>
      </c>
      <c r="G240" s="3164">
        <v>3300</v>
      </c>
      <c r="I240" s="971"/>
      <c r="J240" s="3193"/>
      <c r="K240" s="3193"/>
      <c r="L240" s="3193"/>
      <c r="M240" s="3193"/>
      <c r="N240" s="3193"/>
      <c r="O240" s="3193"/>
      <c r="P240" s="3193"/>
      <c r="Q240" s="3193"/>
      <c r="R240" s="3193"/>
      <c r="S240" s="3193"/>
      <c r="T240" s="3193"/>
      <c r="U240" s="3193"/>
    </row>
    <row r="241" spans="1:21" s="960" customFormat="1" ht="14.25" customHeight="1">
      <c r="A241" s="3158" t="s">
        <v>1155</v>
      </c>
      <c r="B241" s="3158" t="s">
        <v>2930</v>
      </c>
      <c r="C241" s="3158">
        <v>6660</v>
      </c>
      <c r="D241" s="3158">
        <v>6640</v>
      </c>
      <c r="E241" s="3158">
        <v>8340</v>
      </c>
      <c r="F241" s="3164">
        <v>1130</v>
      </c>
      <c r="G241" s="3164">
        <v>4080</v>
      </c>
      <c r="I241" s="971"/>
      <c r="J241" s="3193"/>
      <c r="K241" s="3193"/>
      <c r="L241" s="3193"/>
      <c r="M241" s="3193"/>
      <c r="N241" s="3193"/>
      <c r="O241" s="3193"/>
      <c r="P241" s="3193"/>
      <c r="Q241" s="3193"/>
      <c r="R241" s="3193"/>
      <c r="S241" s="3193"/>
      <c r="T241" s="3193"/>
      <c r="U241" s="3193"/>
    </row>
    <row r="242" spans="1:21" s="960" customFormat="1" ht="14.25" customHeight="1">
      <c r="A242" s="3158" t="s">
        <v>1155</v>
      </c>
      <c r="B242" s="3158" t="s">
        <v>1028</v>
      </c>
      <c r="C242" s="3158">
        <v>6580</v>
      </c>
      <c r="D242" s="3158">
        <v>6550</v>
      </c>
      <c r="E242" s="3158">
        <v>8090</v>
      </c>
      <c r="F242" s="3164">
        <v>1240</v>
      </c>
      <c r="G242" s="3164">
        <v>4020</v>
      </c>
      <c r="I242" s="971"/>
      <c r="J242" s="3193"/>
      <c r="K242" s="3193"/>
      <c r="L242" s="3193"/>
      <c r="M242" s="3193"/>
      <c r="N242" s="3193"/>
      <c r="O242" s="3193"/>
      <c r="P242" s="3193"/>
      <c r="Q242" s="3193"/>
      <c r="R242" s="3193"/>
      <c r="S242" s="3193"/>
      <c r="T242" s="3193"/>
      <c r="U242" s="3193"/>
    </row>
    <row r="243" spans="1:21" s="960" customFormat="1" ht="14.25" customHeight="1">
      <c r="A243" s="3158" t="s">
        <v>1155</v>
      </c>
      <c r="B243" s="3158" t="s">
        <v>1038</v>
      </c>
      <c r="C243" s="3158">
        <v>6000</v>
      </c>
      <c r="D243" s="3158">
        <v>5970</v>
      </c>
      <c r="E243" s="3158">
        <v>7370</v>
      </c>
      <c r="F243" s="3164">
        <v>1070</v>
      </c>
      <c r="G243" s="3164">
        <v>3670</v>
      </c>
      <c r="I243" s="971"/>
      <c r="J243" s="3193"/>
      <c r="K243" s="3193"/>
      <c r="L243" s="3193"/>
      <c r="M243" s="3193"/>
      <c r="N243" s="3193"/>
      <c r="O243" s="3193"/>
      <c r="P243" s="3193"/>
      <c r="Q243" s="3193"/>
      <c r="R243" s="3193"/>
      <c r="S243" s="3193"/>
      <c r="T243" s="3193"/>
      <c r="U243" s="3193"/>
    </row>
    <row r="244" spans="1:21" s="960" customFormat="1" ht="14.25" customHeight="1">
      <c r="A244" s="3158" t="s">
        <v>1155</v>
      </c>
      <c r="B244" s="3158" t="s">
        <v>2931</v>
      </c>
      <c r="C244" s="3158">
        <v>5840</v>
      </c>
      <c r="D244" s="3158">
        <v>5810</v>
      </c>
      <c r="E244" s="3158">
        <v>7240</v>
      </c>
      <c r="F244" s="3164">
        <v>1100</v>
      </c>
      <c r="G244" s="3171">
        <v>3560</v>
      </c>
      <c r="I244" s="971"/>
      <c r="J244" s="3193"/>
      <c r="K244" s="3193"/>
      <c r="L244" s="3193"/>
      <c r="M244" s="3193"/>
      <c r="N244" s="3193"/>
      <c r="O244" s="3193"/>
      <c r="P244" s="3193"/>
      <c r="Q244" s="3193"/>
      <c r="R244" s="3193"/>
      <c r="S244" s="3193"/>
      <c r="T244" s="3193"/>
      <c r="U244" s="3193"/>
    </row>
    <row r="245" spans="1:21" s="960" customFormat="1" ht="14.25" customHeight="1">
      <c r="A245" s="1216" t="s">
        <v>1155</v>
      </c>
      <c r="B245" s="1216" t="s">
        <v>1053</v>
      </c>
      <c r="C245" s="1216">
        <v>6040</v>
      </c>
      <c r="D245" s="1216">
        <v>6000</v>
      </c>
      <c r="E245" s="1216">
        <v>7420</v>
      </c>
      <c r="F245" s="3159">
        <v>1140</v>
      </c>
      <c r="G245" s="3159">
        <v>3690</v>
      </c>
      <c r="I245" s="971"/>
      <c r="J245" s="3193"/>
      <c r="K245" s="3193"/>
      <c r="L245" s="3193"/>
      <c r="M245" s="3193"/>
      <c r="N245" s="3193"/>
      <c r="O245" s="3193"/>
      <c r="P245" s="3193"/>
      <c r="Q245" s="3193"/>
      <c r="R245" s="3193"/>
      <c r="S245" s="3193"/>
      <c r="T245" s="3193"/>
      <c r="U245" s="3193"/>
    </row>
    <row r="246" spans="1:21" s="960" customFormat="1" ht="14.25" customHeight="1">
      <c r="A246" s="3158" t="s">
        <v>1155</v>
      </c>
      <c r="B246" s="3158" t="s">
        <v>1060</v>
      </c>
      <c r="C246" s="3158">
        <v>5890</v>
      </c>
      <c r="D246" s="3158">
        <v>5860</v>
      </c>
      <c r="E246" s="3158">
        <v>7300</v>
      </c>
      <c r="F246" s="3164">
        <v>1110</v>
      </c>
      <c r="G246" s="3164">
        <v>3590</v>
      </c>
      <c r="I246" s="971"/>
      <c r="J246" s="3193"/>
      <c r="K246" s="3193"/>
      <c r="L246" s="3193"/>
      <c r="M246" s="3193"/>
      <c r="N246" s="3193"/>
      <c r="O246" s="3193"/>
      <c r="P246" s="3193"/>
      <c r="Q246" s="3193"/>
      <c r="R246" s="3193"/>
      <c r="S246" s="3193"/>
      <c r="T246" s="3193"/>
      <c r="U246" s="3193"/>
    </row>
    <row r="247" spans="1:21" s="960" customFormat="1" ht="14.25" customHeight="1">
      <c r="A247" s="3158" t="s">
        <v>1155</v>
      </c>
      <c r="B247" s="3158" t="s">
        <v>2932</v>
      </c>
      <c r="C247" s="3158">
        <v>6480</v>
      </c>
      <c r="D247" s="3158">
        <v>6450</v>
      </c>
      <c r="E247" s="3158">
        <v>8010</v>
      </c>
      <c r="F247" s="3164">
        <v>1170</v>
      </c>
      <c r="G247" s="3164">
        <v>3960</v>
      </c>
      <c r="I247" s="971"/>
      <c r="J247" s="3193"/>
      <c r="K247" s="3193"/>
      <c r="L247" s="3193"/>
      <c r="M247" s="3193"/>
      <c r="N247" s="3193"/>
      <c r="O247" s="3193"/>
      <c r="P247" s="3193"/>
      <c r="Q247" s="3193"/>
      <c r="R247" s="3193"/>
      <c r="S247" s="3193"/>
      <c r="T247" s="3193"/>
      <c r="U247" s="3193"/>
    </row>
    <row r="248" spans="1:21" s="960" customFormat="1" ht="14.25" customHeight="1">
      <c r="A248" s="3158" t="s">
        <v>1155</v>
      </c>
      <c r="B248" s="3158" t="s">
        <v>1075</v>
      </c>
      <c r="C248" s="3158">
        <v>6860</v>
      </c>
      <c r="D248" s="3158">
        <v>6840</v>
      </c>
      <c r="E248" s="3158">
        <v>8520</v>
      </c>
      <c r="F248" s="3164">
        <v>1240</v>
      </c>
      <c r="G248" s="3164">
        <v>4200</v>
      </c>
      <c r="I248" s="971"/>
      <c r="J248" s="3193"/>
      <c r="K248" s="3193"/>
      <c r="L248" s="3193"/>
      <c r="M248" s="3193"/>
      <c r="N248" s="3193"/>
      <c r="O248" s="3193"/>
      <c r="P248" s="3193"/>
      <c r="Q248" s="3193"/>
      <c r="R248" s="3193"/>
      <c r="S248" s="3193"/>
      <c r="T248" s="3193"/>
      <c r="U248" s="3193"/>
    </row>
    <row r="249" spans="1:21" s="960" customFormat="1" ht="14.25" customHeight="1">
      <c r="A249" s="3158" t="s">
        <v>1155</v>
      </c>
      <c r="B249" s="3158" t="s">
        <v>2933</v>
      </c>
      <c r="C249" s="3158">
        <v>7180</v>
      </c>
      <c r="D249" s="3158">
        <v>7140</v>
      </c>
      <c r="E249" s="3158">
        <v>8900</v>
      </c>
      <c r="F249" s="3164">
        <v>1350</v>
      </c>
      <c r="G249" s="3164">
        <v>4380</v>
      </c>
      <c r="I249" s="971"/>
      <c r="J249" s="3193"/>
      <c r="K249" s="3193"/>
      <c r="L249" s="3193"/>
      <c r="M249" s="3193"/>
      <c r="N249" s="3193"/>
      <c r="O249" s="3193"/>
      <c r="P249" s="3193"/>
      <c r="Q249" s="3193"/>
      <c r="R249" s="3193"/>
      <c r="S249" s="3193"/>
      <c r="T249" s="3193"/>
      <c r="U249" s="3193"/>
    </row>
    <row r="250" spans="1:21" s="960" customFormat="1" ht="14.25" customHeight="1">
      <c r="A250" s="3158" t="s">
        <v>1155</v>
      </c>
      <c r="B250" s="3158" t="s">
        <v>1089</v>
      </c>
      <c r="C250" s="3158">
        <v>6880</v>
      </c>
      <c r="D250" s="3158">
        <v>6860</v>
      </c>
      <c r="E250" s="3158">
        <v>8550</v>
      </c>
      <c r="F250" s="3164">
        <v>1220</v>
      </c>
      <c r="G250" s="3164">
        <v>4210</v>
      </c>
      <c r="I250" s="971"/>
      <c r="J250" s="3193"/>
      <c r="K250" s="3193"/>
      <c r="L250" s="3193"/>
      <c r="M250" s="3193"/>
      <c r="N250" s="3193"/>
      <c r="O250" s="3193"/>
      <c r="P250" s="3193"/>
      <c r="Q250" s="3193"/>
      <c r="R250" s="3193"/>
      <c r="S250" s="3193"/>
      <c r="T250" s="3193"/>
      <c r="U250" s="3193"/>
    </row>
    <row r="251" spans="1:21" s="960" customFormat="1" ht="14.25" customHeight="1">
      <c r="A251" s="3158" t="s">
        <v>1155</v>
      </c>
      <c r="B251" s="3158" t="s">
        <v>1097</v>
      </c>
      <c r="C251" s="3158"/>
      <c r="D251" s="3158"/>
      <c r="E251" s="3158"/>
      <c r="F251" s="3164">
        <v>1100</v>
      </c>
      <c r="G251" s="3164"/>
      <c r="I251" s="971"/>
      <c r="J251" s="3193"/>
      <c r="K251" s="3193"/>
      <c r="L251" s="3193"/>
      <c r="M251" s="3193"/>
      <c r="N251" s="3193"/>
      <c r="O251" s="3193"/>
      <c r="P251" s="3193"/>
      <c r="Q251" s="3193"/>
      <c r="R251" s="3193"/>
      <c r="S251" s="3193"/>
      <c r="T251" s="3193"/>
      <c r="U251" s="3193"/>
    </row>
    <row r="252" spans="1:21" s="960" customFormat="1" ht="14.25" customHeight="1">
      <c r="A252" s="3158" t="s">
        <v>1155</v>
      </c>
      <c r="B252" s="3158" t="s">
        <v>2934</v>
      </c>
      <c r="C252" s="3158">
        <v>7240</v>
      </c>
      <c r="D252" s="3158">
        <v>7200</v>
      </c>
      <c r="E252" s="3158">
        <v>9040</v>
      </c>
      <c r="F252" s="3164">
        <v>1380</v>
      </c>
      <c r="G252" s="3164">
        <v>4420</v>
      </c>
      <c r="I252" s="971"/>
      <c r="J252" s="3193"/>
      <c r="K252" s="3193"/>
      <c r="L252" s="3193"/>
      <c r="M252" s="3193"/>
      <c r="N252" s="3193"/>
      <c r="O252" s="3193"/>
      <c r="P252" s="3193"/>
      <c r="Q252" s="3193"/>
      <c r="R252" s="3193"/>
      <c r="S252" s="3193"/>
      <c r="T252" s="3193"/>
      <c r="U252" s="3193"/>
    </row>
    <row r="253" spans="1:21" s="960" customFormat="1" ht="14.25" customHeight="1">
      <c r="A253" s="3158" t="s">
        <v>1155</v>
      </c>
      <c r="B253" s="3158" t="s">
        <v>1132</v>
      </c>
      <c r="C253" s="3158">
        <v>6670</v>
      </c>
      <c r="D253" s="3158">
        <v>6650</v>
      </c>
      <c r="E253" s="3158">
        <v>8350</v>
      </c>
      <c r="F253" s="3164">
        <v>1260</v>
      </c>
      <c r="G253" s="3164">
        <v>4080</v>
      </c>
      <c r="I253" s="971"/>
      <c r="J253" s="3193"/>
      <c r="K253" s="3193"/>
      <c r="L253" s="3193"/>
      <c r="M253" s="3193"/>
      <c r="N253" s="3193"/>
      <c r="O253" s="3193"/>
      <c r="P253" s="3193"/>
      <c r="Q253" s="3193"/>
      <c r="R253" s="3193"/>
      <c r="S253" s="3193"/>
      <c r="T253" s="3193"/>
      <c r="U253" s="3193"/>
    </row>
    <row r="254" spans="1:21" s="960" customFormat="1" ht="14.25" customHeight="1">
      <c r="A254" s="3158" t="s">
        <v>1155</v>
      </c>
      <c r="B254" s="3158" t="s">
        <v>1135</v>
      </c>
      <c r="C254" s="3167">
        <v>7630</v>
      </c>
      <c r="D254" s="3167">
        <v>7590</v>
      </c>
      <c r="E254" s="3167">
        <v>9380</v>
      </c>
      <c r="F254" s="3166">
        <v>1320</v>
      </c>
      <c r="G254" s="3164">
        <v>4660</v>
      </c>
      <c r="I254" s="971"/>
      <c r="J254" s="3193"/>
      <c r="K254" s="3193"/>
      <c r="L254" s="3193"/>
      <c r="M254" s="3193"/>
      <c r="N254" s="3193"/>
      <c r="O254" s="3193"/>
      <c r="P254" s="3193"/>
      <c r="Q254" s="3193"/>
      <c r="R254" s="3193"/>
      <c r="S254" s="3193"/>
      <c r="T254" s="3193"/>
      <c r="U254" s="3193"/>
    </row>
    <row r="255" spans="1:21" s="960" customFormat="1" ht="14.25" customHeight="1">
      <c r="A255" s="3158" t="s">
        <v>1155</v>
      </c>
      <c r="B255" s="3158" t="s">
        <v>1138</v>
      </c>
      <c r="C255" s="3167">
        <v>6940</v>
      </c>
      <c r="D255" s="3167">
        <v>6890</v>
      </c>
      <c r="E255" s="3167">
        <v>8650</v>
      </c>
      <c r="F255" s="3166">
        <v>1210</v>
      </c>
      <c r="G255" s="3164">
        <v>4230</v>
      </c>
      <c r="I255" s="971"/>
      <c r="J255" s="3193"/>
      <c r="K255" s="3193"/>
      <c r="L255" s="3193"/>
      <c r="M255" s="3193"/>
      <c r="N255" s="3193"/>
      <c r="O255" s="3193"/>
      <c r="P255" s="3193"/>
      <c r="Q255" s="3193"/>
      <c r="R255" s="3193"/>
      <c r="S255" s="3193"/>
      <c r="T255" s="3193"/>
      <c r="U255" s="3193"/>
    </row>
    <row r="256" spans="1:21" s="960" customFormat="1" ht="14.25" customHeight="1">
      <c r="A256" s="3158" t="s">
        <v>1155</v>
      </c>
      <c r="B256" s="3158" t="s">
        <v>2935</v>
      </c>
      <c r="C256" s="3158">
        <v>7520</v>
      </c>
      <c r="D256" s="3158">
        <v>7490</v>
      </c>
      <c r="E256" s="3158">
        <v>9240</v>
      </c>
      <c r="F256" s="3164">
        <v>1270</v>
      </c>
      <c r="G256" s="3164">
        <v>4590</v>
      </c>
      <c r="I256" s="971"/>
      <c r="J256" s="3193"/>
      <c r="K256" s="3193"/>
      <c r="L256" s="3193"/>
      <c r="M256" s="3193"/>
      <c r="N256" s="3193"/>
      <c r="O256" s="3193"/>
      <c r="P256" s="3193"/>
      <c r="Q256" s="3193"/>
      <c r="R256" s="3193"/>
      <c r="S256" s="3193"/>
      <c r="T256" s="3193"/>
      <c r="U256" s="3193"/>
    </row>
    <row r="257" spans="1:21" s="960" customFormat="1" ht="14.25" customHeight="1">
      <c r="A257" s="3158" t="s">
        <v>1155</v>
      </c>
      <c r="B257" s="3158" t="s">
        <v>1124</v>
      </c>
      <c r="C257" s="3158">
        <v>6280</v>
      </c>
      <c r="D257" s="3158">
        <v>6230</v>
      </c>
      <c r="E257" s="3158">
        <v>7740</v>
      </c>
      <c r="F257" s="3164">
        <v>1080</v>
      </c>
      <c r="G257" s="3164">
        <v>3830</v>
      </c>
      <c r="I257" s="971"/>
      <c r="J257" s="3193"/>
      <c r="K257" s="3193"/>
      <c r="L257" s="3193"/>
      <c r="M257" s="3193"/>
      <c r="N257" s="3193"/>
      <c r="O257" s="3193"/>
      <c r="P257" s="3193"/>
      <c r="Q257" s="3193"/>
      <c r="R257" s="3193"/>
      <c r="S257" s="3193"/>
      <c r="T257" s="3193"/>
      <c r="U257" s="3193"/>
    </row>
    <row r="258" spans="1:21" s="960" customFormat="1" ht="14.25" customHeight="1">
      <c r="A258" s="3158" t="s">
        <v>1155</v>
      </c>
      <c r="B258" s="3158" t="s">
        <v>2936</v>
      </c>
      <c r="C258" s="3158">
        <v>6190</v>
      </c>
      <c r="D258" s="3158">
        <v>6160</v>
      </c>
      <c r="E258" s="3158">
        <v>7680</v>
      </c>
      <c r="F258" s="3164">
        <v>1170</v>
      </c>
      <c r="G258" s="3164">
        <v>3780</v>
      </c>
      <c r="I258" s="971"/>
      <c r="J258" s="3193"/>
      <c r="K258" s="3193"/>
      <c r="L258" s="3193"/>
      <c r="M258" s="3193"/>
      <c r="N258" s="3193"/>
      <c r="O258" s="3193"/>
      <c r="P258" s="3193"/>
      <c r="Q258" s="3193"/>
      <c r="R258" s="3193"/>
      <c r="S258" s="3193"/>
      <c r="T258" s="3193"/>
      <c r="U258" s="3193"/>
    </row>
    <row r="259" spans="1:21" s="960" customFormat="1" ht="14.25" customHeight="1">
      <c r="A259" s="3158" t="s">
        <v>1155</v>
      </c>
      <c r="B259" s="3158" t="s">
        <v>2937</v>
      </c>
      <c r="C259" s="3158">
        <v>7610</v>
      </c>
      <c r="D259" s="3158">
        <v>7570</v>
      </c>
      <c r="E259" s="3158">
        <v>9350</v>
      </c>
      <c r="F259" s="3164">
        <v>1350</v>
      </c>
      <c r="G259" s="3164">
        <v>4650</v>
      </c>
      <c r="I259" s="971"/>
      <c r="J259" s="3193"/>
      <c r="K259" s="3193"/>
      <c r="L259" s="3193"/>
      <c r="M259" s="3193"/>
      <c r="N259" s="3193"/>
      <c r="O259" s="3193"/>
      <c r="P259" s="3193"/>
      <c r="Q259" s="3193"/>
      <c r="R259" s="3193"/>
      <c r="S259" s="3193"/>
      <c r="T259" s="3193"/>
      <c r="U259" s="3193"/>
    </row>
    <row r="260" spans="1:21" s="960" customFormat="1" ht="14.25" customHeight="1">
      <c r="A260" s="3158" t="s">
        <v>1155</v>
      </c>
      <c r="B260" s="3158" t="s">
        <v>2938</v>
      </c>
      <c r="C260" s="3158">
        <v>6920</v>
      </c>
      <c r="D260" s="3158">
        <v>6880</v>
      </c>
      <c r="E260" s="3158">
        <v>8380</v>
      </c>
      <c r="F260" s="3164">
        <v>1160</v>
      </c>
      <c r="G260" s="3164">
        <v>4220</v>
      </c>
      <c r="I260" s="971"/>
      <c r="J260" s="3193"/>
      <c r="K260" s="3193"/>
      <c r="L260" s="3193"/>
      <c r="M260" s="3193"/>
      <c r="N260" s="3193"/>
      <c r="O260" s="3193"/>
      <c r="P260" s="3193"/>
      <c r="Q260" s="3193"/>
      <c r="R260" s="3193"/>
      <c r="S260" s="3193"/>
      <c r="T260" s="3193"/>
      <c r="U260" s="3193"/>
    </row>
    <row r="261" spans="1:21" s="960" customFormat="1" ht="14.25" customHeight="1">
      <c r="A261" s="3158" t="s">
        <v>1155</v>
      </c>
      <c r="B261" s="3158" t="s">
        <v>2939</v>
      </c>
      <c r="C261" s="3158">
        <v>6850</v>
      </c>
      <c r="D261" s="3158">
        <v>6810</v>
      </c>
      <c r="E261" s="3158">
        <v>8290</v>
      </c>
      <c r="F261" s="3164">
        <v>1130</v>
      </c>
      <c r="G261" s="3164">
        <v>4180</v>
      </c>
      <c r="I261" s="971"/>
      <c r="J261" s="3193"/>
      <c r="K261" s="3193"/>
      <c r="L261" s="3193"/>
      <c r="M261" s="3193"/>
      <c r="N261" s="3193"/>
      <c r="O261" s="3193"/>
      <c r="P261" s="3193"/>
      <c r="Q261" s="3193"/>
      <c r="R261" s="3193"/>
      <c r="S261" s="3193"/>
      <c r="T261" s="3193"/>
      <c r="U261" s="3193"/>
    </row>
    <row r="262" spans="1:21" s="960" customFormat="1" ht="14.25" customHeight="1">
      <c r="A262" s="3158" t="s">
        <v>1155</v>
      </c>
      <c r="B262" s="3158" t="s">
        <v>2940</v>
      </c>
      <c r="C262" s="3158">
        <v>5860</v>
      </c>
      <c r="D262" s="3158">
        <v>5820</v>
      </c>
      <c r="E262" s="3158">
        <v>7640</v>
      </c>
      <c r="F262" s="3164">
        <v>1070</v>
      </c>
      <c r="G262" s="3166">
        <v>3570</v>
      </c>
      <c r="I262" s="971"/>
      <c r="J262" s="3193"/>
      <c r="K262" s="3193"/>
      <c r="L262" s="3193"/>
      <c r="M262" s="3193"/>
      <c r="N262" s="3193"/>
      <c r="O262" s="3193"/>
      <c r="P262" s="3193"/>
      <c r="Q262" s="3193"/>
      <c r="R262" s="3193"/>
      <c r="S262" s="3193"/>
      <c r="T262" s="3193"/>
      <c r="U262" s="3193"/>
    </row>
    <row r="263" spans="1:21" s="960" customFormat="1" ht="14.25" customHeight="1">
      <c r="A263" s="3158" t="s">
        <v>1155</v>
      </c>
      <c r="B263" s="3158" t="s">
        <v>2941</v>
      </c>
      <c r="C263" s="3158">
        <v>5870</v>
      </c>
      <c r="D263" s="3158">
        <v>5840</v>
      </c>
      <c r="E263" s="3158">
        <v>7270</v>
      </c>
      <c r="F263" s="3164">
        <v>1190</v>
      </c>
      <c r="G263" s="3164">
        <v>3580</v>
      </c>
      <c r="I263" s="971"/>
      <c r="J263" s="3193"/>
      <c r="K263" s="3193"/>
      <c r="L263" s="3193"/>
      <c r="M263" s="3193"/>
      <c r="N263" s="3193"/>
      <c r="O263" s="3193"/>
      <c r="P263" s="3193"/>
      <c r="Q263" s="3193"/>
      <c r="R263" s="3193"/>
      <c r="S263" s="3193"/>
      <c r="T263" s="3193"/>
      <c r="U263" s="3193"/>
    </row>
    <row r="264" spans="1:21" s="960" customFormat="1" ht="14.25" customHeight="1">
      <c r="A264" s="3158" t="s">
        <v>1155</v>
      </c>
      <c r="B264" s="3158" t="s">
        <v>1148</v>
      </c>
      <c r="C264" s="3158">
        <v>6190</v>
      </c>
      <c r="D264" s="3158">
        <v>6150</v>
      </c>
      <c r="E264" s="3158">
        <v>7660</v>
      </c>
      <c r="F264" s="3164">
        <v>1160</v>
      </c>
      <c r="G264" s="3164">
        <v>3770</v>
      </c>
      <c r="I264" s="971"/>
      <c r="J264" s="3193"/>
      <c r="K264" s="3193"/>
      <c r="L264" s="3193"/>
      <c r="M264" s="3193"/>
      <c r="N264" s="3193"/>
      <c r="O264" s="3193"/>
      <c r="P264" s="3193"/>
      <c r="Q264" s="3193"/>
      <c r="R264" s="3193"/>
      <c r="S264" s="3193"/>
      <c r="T264" s="3193"/>
      <c r="U264" s="3193"/>
    </row>
    <row r="265" spans="1:21" s="960" customFormat="1" ht="14.25" customHeight="1">
      <c r="A265" s="3158" t="s">
        <v>1155</v>
      </c>
      <c r="B265" s="3158" t="s">
        <v>2942</v>
      </c>
      <c r="C265" s="3158"/>
      <c r="D265" s="3158"/>
      <c r="E265" s="3158"/>
      <c r="F265" s="3164">
        <v>1500</v>
      </c>
      <c r="G265" s="3164"/>
      <c r="I265" s="971"/>
      <c r="J265" s="3193"/>
      <c r="K265" s="3193"/>
      <c r="L265" s="3193"/>
      <c r="M265" s="3193"/>
      <c r="N265" s="3193"/>
      <c r="O265" s="3193"/>
      <c r="P265" s="3193"/>
      <c r="Q265" s="3193"/>
      <c r="R265" s="3193"/>
      <c r="S265" s="3193"/>
      <c r="T265" s="3193"/>
      <c r="U265" s="3193"/>
    </row>
    <row r="266" spans="1:21" s="960" customFormat="1" ht="14.25" customHeight="1">
      <c r="A266" s="3158" t="s">
        <v>1155</v>
      </c>
      <c r="B266" s="3158" t="s">
        <v>2943</v>
      </c>
      <c r="C266" s="3158"/>
      <c r="D266" s="3158"/>
      <c r="E266" s="3158"/>
      <c r="F266" s="3164">
        <v>1500</v>
      </c>
      <c r="G266" s="3164"/>
      <c r="I266" s="971"/>
      <c r="J266" s="3193"/>
      <c r="K266" s="3193"/>
      <c r="L266" s="3193"/>
      <c r="M266" s="3193"/>
      <c r="N266" s="3193"/>
      <c r="O266" s="3193"/>
      <c r="P266" s="3193"/>
      <c r="Q266" s="3193"/>
      <c r="R266" s="3193"/>
      <c r="S266" s="3193"/>
      <c r="T266" s="3193"/>
      <c r="U266" s="3193"/>
    </row>
    <row r="267" spans="1:21" s="960" customFormat="1" ht="14.25" customHeight="1">
      <c r="A267" s="3158" t="s">
        <v>1155</v>
      </c>
      <c r="B267" s="3158" t="s">
        <v>2944</v>
      </c>
      <c r="C267" s="3158"/>
      <c r="D267" s="3158"/>
      <c r="E267" s="3158"/>
      <c r="F267" s="3164">
        <v>1500</v>
      </c>
      <c r="G267" s="3166"/>
      <c r="I267" s="971"/>
      <c r="J267" s="3193"/>
      <c r="K267" s="3193"/>
      <c r="L267" s="3193"/>
      <c r="M267" s="3193"/>
      <c r="N267" s="3193"/>
      <c r="O267" s="3193"/>
      <c r="P267" s="3193"/>
      <c r="Q267" s="3193"/>
      <c r="R267" s="3193"/>
      <c r="S267" s="3193"/>
      <c r="T267" s="3193"/>
      <c r="U267" s="3193"/>
    </row>
    <row r="268" spans="1:21" s="960" customFormat="1" ht="14.25" customHeight="1">
      <c r="A268" s="3158" t="s">
        <v>1155</v>
      </c>
      <c r="B268" s="3158" t="s">
        <v>2945</v>
      </c>
      <c r="C268" s="3158"/>
      <c r="D268" s="3158"/>
      <c r="E268" s="3158"/>
      <c r="F268" s="3164">
        <v>1290</v>
      </c>
      <c r="G268" s="3164"/>
      <c r="I268" s="971"/>
      <c r="J268" s="3193"/>
      <c r="K268" s="3193"/>
      <c r="L268" s="3193"/>
      <c r="M268" s="3193"/>
      <c r="N268" s="3193"/>
      <c r="O268" s="3193"/>
      <c r="P268" s="3193"/>
      <c r="Q268" s="3193"/>
      <c r="R268" s="3193"/>
      <c r="S268" s="3193"/>
      <c r="T268" s="3193"/>
      <c r="U268" s="3193"/>
    </row>
    <row r="269" spans="1:21" s="960" customFormat="1" ht="14.25" customHeight="1">
      <c r="A269" s="3158" t="s">
        <v>1155</v>
      </c>
      <c r="B269" s="3158" t="s">
        <v>2946</v>
      </c>
      <c r="C269" s="3158"/>
      <c r="D269" s="3158"/>
      <c r="E269" s="3158"/>
      <c r="F269" s="3164">
        <v>1150</v>
      </c>
      <c r="G269" s="3164"/>
      <c r="I269" s="971"/>
      <c r="J269" s="3193"/>
      <c r="K269" s="3193"/>
      <c r="L269" s="3193"/>
      <c r="M269" s="3193"/>
      <c r="N269" s="3193"/>
      <c r="O269" s="3193"/>
      <c r="P269" s="3193"/>
      <c r="Q269" s="3193"/>
      <c r="R269" s="3193"/>
      <c r="S269" s="3193"/>
      <c r="T269" s="3193"/>
      <c r="U269" s="3193"/>
    </row>
    <row r="270" spans="1:21" s="960" customFormat="1" ht="14.25" customHeight="1">
      <c r="A270" s="3158" t="s">
        <v>1155</v>
      </c>
      <c r="B270" s="3158" t="s">
        <v>2947</v>
      </c>
      <c r="C270" s="3158"/>
      <c r="D270" s="3158"/>
      <c r="E270" s="3158"/>
      <c r="F270" s="3164">
        <v>1380</v>
      </c>
      <c r="G270" s="3164"/>
      <c r="I270" s="971"/>
      <c r="J270" s="3193"/>
      <c r="K270" s="3193"/>
      <c r="L270" s="3193"/>
      <c r="M270" s="3193"/>
      <c r="N270" s="3193"/>
      <c r="O270" s="3193"/>
      <c r="P270" s="3193"/>
      <c r="Q270" s="3193"/>
      <c r="R270" s="3193"/>
      <c r="S270" s="3193"/>
      <c r="T270" s="3193"/>
      <c r="U270" s="3193"/>
    </row>
    <row r="271" spans="1:21" s="960" customFormat="1" ht="14.25" customHeight="1">
      <c r="A271" s="3158" t="s">
        <v>1155</v>
      </c>
      <c r="B271" s="3158" t="s">
        <v>2948</v>
      </c>
      <c r="C271" s="3158"/>
      <c r="D271" s="3158"/>
      <c r="E271" s="3158"/>
      <c r="F271" s="3164">
        <v>1460</v>
      </c>
      <c r="G271" s="3164"/>
      <c r="I271" s="971"/>
      <c r="J271" s="3193"/>
      <c r="K271" s="3193"/>
      <c r="L271" s="3193"/>
      <c r="M271" s="3193"/>
      <c r="N271" s="3193"/>
      <c r="O271" s="3193"/>
      <c r="P271" s="3193"/>
      <c r="Q271" s="3193"/>
      <c r="R271" s="3193"/>
      <c r="S271" s="3193"/>
      <c r="T271" s="3193"/>
      <c r="U271" s="3193"/>
    </row>
    <row r="272" spans="1:21" s="960" customFormat="1" ht="14.25" customHeight="1">
      <c r="A272" s="3158" t="s">
        <v>1155</v>
      </c>
      <c r="B272" s="3158" t="s">
        <v>2949</v>
      </c>
      <c r="C272" s="3167"/>
      <c r="D272" s="3167"/>
      <c r="E272" s="3167"/>
      <c r="F272" s="3166">
        <v>1460</v>
      </c>
      <c r="G272" s="3164"/>
      <c r="I272" s="971"/>
      <c r="J272" s="3193"/>
      <c r="K272" s="3193"/>
      <c r="L272" s="3193"/>
      <c r="M272" s="3193"/>
      <c r="N272" s="3193"/>
      <c r="O272" s="3193"/>
      <c r="P272" s="3193"/>
      <c r="Q272" s="3193"/>
      <c r="R272" s="3193"/>
      <c r="S272" s="3193"/>
      <c r="T272" s="3193"/>
      <c r="U272" s="3193"/>
    </row>
    <row r="273" spans="1:21" s="960" customFormat="1" ht="14.25" customHeight="1">
      <c r="A273" s="3158" t="s">
        <v>1155</v>
      </c>
      <c r="B273" s="3158" t="s">
        <v>2950</v>
      </c>
      <c r="C273" s="3158"/>
      <c r="D273" s="3158"/>
      <c r="E273" s="3158"/>
      <c r="F273" s="3164">
        <v>1490</v>
      </c>
      <c r="G273" s="3164"/>
      <c r="I273" s="971"/>
      <c r="J273" s="3193"/>
      <c r="K273" s="3193"/>
      <c r="L273" s="3193"/>
      <c r="M273" s="3193"/>
      <c r="N273" s="3193"/>
      <c r="O273" s="3193"/>
      <c r="P273" s="3193"/>
      <c r="Q273" s="3193"/>
      <c r="R273" s="3193"/>
      <c r="S273" s="3193"/>
      <c r="T273" s="3193"/>
      <c r="U273" s="3193"/>
    </row>
    <row r="274" spans="1:21" s="960" customFormat="1" ht="14.25" customHeight="1">
      <c r="A274" s="3158" t="s">
        <v>1155</v>
      </c>
      <c r="B274" s="3158" t="s">
        <v>2951</v>
      </c>
      <c r="C274" s="3158"/>
      <c r="D274" s="3158"/>
      <c r="E274" s="3158"/>
      <c r="F274" s="3164">
        <v>1490</v>
      </c>
      <c r="G274" s="3164"/>
      <c r="I274" s="971"/>
      <c r="J274" s="3193"/>
      <c r="K274" s="3193"/>
      <c r="L274" s="3193"/>
      <c r="M274" s="3193"/>
      <c r="N274" s="3193"/>
      <c r="O274" s="3193"/>
      <c r="P274" s="3193"/>
      <c r="Q274" s="3193"/>
      <c r="R274" s="3193"/>
      <c r="S274" s="3193"/>
      <c r="T274" s="3193"/>
      <c r="U274" s="3193"/>
    </row>
    <row r="275" spans="1:21" s="960" customFormat="1" ht="14.25" customHeight="1">
      <c r="A275" s="3158" t="s">
        <v>1155</v>
      </c>
      <c r="B275" s="3158" t="s">
        <v>2952</v>
      </c>
      <c r="C275" s="3158"/>
      <c r="D275" s="3158"/>
      <c r="E275" s="3158"/>
      <c r="F275" s="3164">
        <v>1220</v>
      </c>
      <c r="G275" s="3164"/>
      <c r="I275" s="971"/>
      <c r="J275" s="3193"/>
      <c r="K275" s="3193"/>
      <c r="L275" s="3193"/>
      <c r="M275" s="3193"/>
      <c r="N275" s="3193"/>
      <c r="O275" s="3193"/>
      <c r="P275" s="3193"/>
      <c r="Q275" s="3193"/>
      <c r="R275" s="3193"/>
      <c r="S275" s="3193"/>
      <c r="T275" s="3193"/>
      <c r="U275" s="3193"/>
    </row>
    <row r="276" spans="1:21" s="960" customFormat="1" ht="14.25" customHeight="1" thickBot="1">
      <c r="A276" s="3173" t="s">
        <v>1155</v>
      </c>
      <c r="B276" s="3161" t="s">
        <v>2953</v>
      </c>
      <c r="C276" s="3161"/>
      <c r="D276" s="3161"/>
      <c r="E276" s="3161"/>
      <c r="F276" s="3162">
        <v>1380</v>
      </c>
      <c r="G276" s="3174"/>
      <c r="I276" s="971"/>
      <c r="J276" s="3193"/>
      <c r="K276" s="3193"/>
      <c r="L276" s="3193"/>
      <c r="M276" s="3193"/>
      <c r="N276" s="3193"/>
      <c r="O276" s="3193"/>
      <c r="P276" s="3193"/>
      <c r="Q276" s="3193"/>
      <c r="R276" s="3193"/>
      <c r="S276" s="3193"/>
      <c r="T276" s="3193"/>
      <c r="U276" s="3193"/>
    </row>
    <row r="277" spans="1:21" s="960" customFormat="1" ht="14.25" customHeight="1">
      <c r="A277" s="3172" t="s">
        <v>1156</v>
      </c>
      <c r="B277" s="1216" t="s">
        <v>2954</v>
      </c>
      <c r="C277" s="1216">
        <v>5790</v>
      </c>
      <c r="D277" s="1216">
        <v>5740</v>
      </c>
      <c r="E277" s="1216">
        <v>6730</v>
      </c>
      <c r="F277" s="3159">
        <v>1110</v>
      </c>
      <c r="G277" s="3159">
        <v>3460</v>
      </c>
      <c r="I277" s="971"/>
      <c r="J277" s="3193"/>
      <c r="K277" s="3193"/>
      <c r="L277" s="3193"/>
      <c r="M277" s="3193"/>
      <c r="N277" s="3193"/>
      <c r="O277" s="3193"/>
      <c r="P277" s="3193"/>
      <c r="Q277" s="3193"/>
      <c r="R277" s="3193"/>
      <c r="S277" s="3193"/>
      <c r="T277" s="3193"/>
      <c r="U277" s="3193"/>
    </row>
    <row r="278" spans="1:21" s="960" customFormat="1" ht="14.25" customHeight="1">
      <c r="A278" s="3158" t="s">
        <v>1156</v>
      </c>
      <c r="B278" s="3158" t="s">
        <v>980</v>
      </c>
      <c r="C278" s="3158">
        <v>5740</v>
      </c>
      <c r="D278" s="3158">
        <v>5670</v>
      </c>
      <c r="E278" s="3158">
        <v>6680</v>
      </c>
      <c r="F278" s="3164">
        <v>1070</v>
      </c>
      <c r="G278" s="3164">
        <v>3420</v>
      </c>
      <c r="I278" s="971"/>
      <c r="J278" s="3193"/>
      <c r="K278" s="3193"/>
      <c r="L278" s="3193"/>
      <c r="M278" s="3193"/>
      <c r="N278" s="3193"/>
      <c r="O278" s="3193"/>
      <c r="P278" s="3193"/>
      <c r="Q278" s="3193"/>
      <c r="R278" s="3193"/>
      <c r="S278" s="3193"/>
      <c r="T278" s="3193"/>
      <c r="U278" s="3193"/>
    </row>
    <row r="279" spans="1:21" s="960" customFormat="1" ht="14.25" customHeight="1">
      <c r="A279" s="3158" t="s">
        <v>1156</v>
      </c>
      <c r="B279" s="3158" t="s">
        <v>2955</v>
      </c>
      <c r="C279" s="3158">
        <v>4760</v>
      </c>
      <c r="D279" s="3158">
        <v>4720</v>
      </c>
      <c r="E279" s="3158">
        <v>5540</v>
      </c>
      <c r="F279" s="3164">
        <v>810</v>
      </c>
      <c r="G279" s="3164">
        <v>2850</v>
      </c>
      <c r="I279" s="971"/>
      <c r="J279" s="3193"/>
      <c r="K279" s="3193"/>
      <c r="L279" s="3193"/>
      <c r="M279" s="3193"/>
      <c r="N279" s="3193"/>
      <c r="O279" s="3193"/>
      <c r="P279" s="3193"/>
      <c r="Q279" s="3193"/>
      <c r="R279" s="3193"/>
      <c r="S279" s="3193"/>
      <c r="T279" s="3193"/>
      <c r="U279" s="3193"/>
    </row>
    <row r="280" spans="1:21" s="960" customFormat="1" ht="14.25" customHeight="1">
      <c r="A280" s="3158" t="s">
        <v>1156</v>
      </c>
      <c r="B280" s="3158" t="s">
        <v>2956</v>
      </c>
      <c r="C280" s="3158">
        <v>4010</v>
      </c>
      <c r="D280" s="3158">
        <v>3950</v>
      </c>
      <c r="E280" s="3158">
        <v>4710</v>
      </c>
      <c r="F280" s="3164">
        <v>800</v>
      </c>
      <c r="G280" s="3164">
        <v>2390</v>
      </c>
      <c r="I280" s="971"/>
      <c r="J280" s="3193"/>
      <c r="K280" s="3193"/>
      <c r="L280" s="3193"/>
      <c r="M280" s="3193"/>
      <c r="N280" s="3193"/>
      <c r="O280" s="3193"/>
      <c r="P280" s="3193"/>
      <c r="Q280" s="3193"/>
      <c r="R280" s="3193"/>
      <c r="S280" s="3193"/>
      <c r="T280" s="3193"/>
      <c r="U280" s="3193"/>
    </row>
    <row r="281" spans="1:21" s="960" customFormat="1" ht="14.25" customHeight="1">
      <c r="A281" s="3158" t="s">
        <v>1156</v>
      </c>
      <c r="B281" s="3158" t="s">
        <v>2957</v>
      </c>
      <c r="C281" s="3158">
        <v>4480</v>
      </c>
      <c r="D281" s="3158">
        <v>4420</v>
      </c>
      <c r="E281" s="3158">
        <v>5230</v>
      </c>
      <c r="F281" s="3164">
        <v>870</v>
      </c>
      <c r="G281" s="3164">
        <v>2660</v>
      </c>
      <c r="I281" s="971"/>
      <c r="J281" s="3193"/>
      <c r="K281" s="3193"/>
      <c r="L281" s="3193"/>
      <c r="M281" s="3193"/>
      <c r="N281" s="3193"/>
      <c r="O281" s="3193"/>
      <c r="P281" s="3193"/>
      <c r="Q281" s="3193"/>
      <c r="R281" s="3193"/>
      <c r="S281" s="3193"/>
      <c r="T281" s="3193"/>
      <c r="U281" s="3193"/>
    </row>
    <row r="282" spans="1:21" s="960" customFormat="1" ht="14.25" customHeight="1">
      <c r="A282" s="3158" t="s">
        <v>1156</v>
      </c>
      <c r="B282" s="3158" t="s">
        <v>2958</v>
      </c>
      <c r="C282" s="3158">
        <v>5360</v>
      </c>
      <c r="D282" s="3158">
        <v>5300</v>
      </c>
      <c r="E282" s="3158">
        <v>6190</v>
      </c>
      <c r="F282" s="3164">
        <v>950</v>
      </c>
      <c r="G282" s="3164">
        <v>3190</v>
      </c>
      <c r="I282" s="971"/>
      <c r="J282" s="3193"/>
      <c r="K282" s="3193"/>
      <c r="L282" s="3193"/>
      <c r="M282" s="3193"/>
      <c r="N282" s="3193"/>
      <c r="O282" s="3193"/>
      <c r="P282" s="3193"/>
      <c r="Q282" s="3193"/>
      <c r="R282" s="3193"/>
      <c r="S282" s="3193"/>
      <c r="T282" s="3193"/>
      <c r="U282" s="3193"/>
    </row>
    <row r="283" spans="1:21" s="960" customFormat="1" ht="14.25" customHeight="1">
      <c r="A283" s="3158" t="s">
        <v>1156</v>
      </c>
      <c r="B283" s="3158" t="s">
        <v>1021</v>
      </c>
      <c r="C283" s="3158">
        <v>4950</v>
      </c>
      <c r="D283" s="3158">
        <v>4900</v>
      </c>
      <c r="E283" s="3158">
        <v>5720</v>
      </c>
      <c r="F283" s="3164">
        <v>920</v>
      </c>
      <c r="G283" s="3164">
        <v>2950</v>
      </c>
      <c r="I283" s="971"/>
      <c r="J283" s="3193"/>
      <c r="K283" s="3193"/>
      <c r="L283" s="3193"/>
      <c r="M283" s="3193"/>
      <c r="N283" s="3193"/>
      <c r="O283" s="3193"/>
      <c r="P283" s="3193"/>
      <c r="Q283" s="3193"/>
      <c r="R283" s="3193"/>
      <c r="S283" s="3193"/>
      <c r="T283" s="3193"/>
      <c r="U283" s="3193"/>
    </row>
    <row r="284" spans="1:21" s="960" customFormat="1" ht="14.25" customHeight="1">
      <c r="A284" s="3158" t="s">
        <v>1156</v>
      </c>
      <c r="B284" s="3158" t="s">
        <v>1029</v>
      </c>
      <c r="C284" s="3158">
        <v>5610</v>
      </c>
      <c r="D284" s="3158">
        <v>5560</v>
      </c>
      <c r="E284" s="3158">
        <v>6520</v>
      </c>
      <c r="F284" s="3164">
        <v>1030</v>
      </c>
      <c r="G284" s="3164">
        <v>3360</v>
      </c>
      <c r="I284" s="971"/>
      <c r="J284" s="3193"/>
      <c r="K284" s="3193"/>
      <c r="L284" s="3193"/>
      <c r="M284" s="3193"/>
      <c r="N284" s="3193"/>
      <c r="O284" s="3193"/>
      <c r="P284" s="3193"/>
      <c r="Q284" s="3193"/>
      <c r="R284" s="3193"/>
      <c r="S284" s="3193"/>
      <c r="T284" s="3193"/>
      <c r="U284" s="3193"/>
    </row>
    <row r="285" spans="1:21" s="960" customFormat="1" ht="14.25" customHeight="1">
      <c r="A285" s="3158" t="s">
        <v>1156</v>
      </c>
      <c r="B285" s="3158" t="s">
        <v>1039</v>
      </c>
      <c r="C285" s="3158">
        <v>5340</v>
      </c>
      <c r="D285" s="3158">
        <v>5290</v>
      </c>
      <c r="E285" s="3158">
        <v>6170</v>
      </c>
      <c r="F285" s="3164">
        <v>1080</v>
      </c>
      <c r="G285" s="3164">
        <v>3180</v>
      </c>
      <c r="I285" s="971"/>
      <c r="J285" s="3193"/>
      <c r="K285" s="3193"/>
      <c r="L285" s="3193"/>
      <c r="M285" s="3193"/>
      <c r="N285" s="3193"/>
      <c r="O285" s="3193"/>
      <c r="P285" s="3193"/>
      <c r="Q285" s="3193"/>
      <c r="R285" s="3193"/>
      <c r="S285" s="3193"/>
      <c r="T285" s="3193"/>
      <c r="U285" s="3193"/>
    </row>
    <row r="286" spans="1:21" s="960" customFormat="1" ht="14.25" customHeight="1">
      <c r="A286" s="3158" t="s">
        <v>1156</v>
      </c>
      <c r="B286" s="3158" t="s">
        <v>1046</v>
      </c>
      <c r="C286" s="3158">
        <v>4890</v>
      </c>
      <c r="D286" s="3158">
        <v>4840</v>
      </c>
      <c r="E286" s="3158">
        <v>5640</v>
      </c>
      <c r="F286" s="3164">
        <v>960</v>
      </c>
      <c r="G286" s="3164">
        <v>2910</v>
      </c>
      <c r="I286" s="971"/>
      <c r="J286" s="3193"/>
      <c r="K286" s="3193"/>
      <c r="L286" s="3193"/>
      <c r="M286" s="3193"/>
      <c r="N286" s="3193"/>
      <c r="O286" s="3193"/>
      <c r="P286" s="3193"/>
      <c r="Q286" s="3193"/>
      <c r="R286" s="3193"/>
      <c r="S286" s="3193"/>
      <c r="T286" s="3193"/>
      <c r="U286" s="3193"/>
    </row>
    <row r="287" spans="1:21" s="960" customFormat="1" ht="14.25" customHeight="1">
      <c r="A287" s="3158" t="s">
        <v>1156</v>
      </c>
      <c r="B287" s="3158" t="s">
        <v>2959</v>
      </c>
      <c r="C287" s="3158">
        <v>4960</v>
      </c>
      <c r="D287" s="3158">
        <v>4920</v>
      </c>
      <c r="E287" s="3158">
        <v>5730</v>
      </c>
      <c r="F287" s="3164">
        <v>930</v>
      </c>
      <c r="G287" s="3164">
        <v>2960</v>
      </c>
      <c r="I287" s="971"/>
      <c r="J287" s="3193"/>
      <c r="K287" s="3193"/>
      <c r="L287" s="3193"/>
      <c r="M287" s="3193"/>
      <c r="N287" s="3193"/>
      <c r="O287" s="3193"/>
      <c r="P287" s="3193"/>
      <c r="Q287" s="3193"/>
      <c r="R287" s="3193"/>
      <c r="S287" s="3193"/>
      <c r="T287" s="3193"/>
      <c r="U287" s="3193"/>
    </row>
    <row r="288" spans="1:21" s="960" customFormat="1" ht="14.25" customHeight="1">
      <c r="A288" s="3158" t="s">
        <v>1156</v>
      </c>
      <c r="B288" s="3158" t="s">
        <v>1067</v>
      </c>
      <c r="C288" s="3158">
        <v>4350</v>
      </c>
      <c r="D288" s="3158">
        <v>4300</v>
      </c>
      <c r="E288" s="3158">
        <v>4900</v>
      </c>
      <c r="F288" s="3164">
        <v>820</v>
      </c>
      <c r="G288" s="3164">
        <v>2590</v>
      </c>
      <c r="I288" s="971"/>
      <c r="J288" s="3193"/>
      <c r="K288" s="3193"/>
      <c r="L288" s="3193"/>
      <c r="M288" s="3193"/>
      <c r="N288" s="3193"/>
      <c r="O288" s="3193"/>
      <c r="P288" s="3193"/>
      <c r="Q288" s="3193"/>
      <c r="R288" s="3193"/>
      <c r="S288" s="3193"/>
      <c r="T288" s="3193"/>
      <c r="U288" s="3193"/>
    </row>
    <row r="289" spans="1:21" s="960" customFormat="1" ht="14.25" customHeight="1">
      <c r="A289" s="3158" t="s">
        <v>1156</v>
      </c>
      <c r="B289" s="3158" t="s">
        <v>2960</v>
      </c>
      <c r="C289" s="3158">
        <v>5230</v>
      </c>
      <c r="D289" s="3158">
        <v>5170</v>
      </c>
      <c r="E289" s="3158">
        <v>6060</v>
      </c>
      <c r="F289" s="3158">
        <v>900</v>
      </c>
      <c r="G289" s="3158">
        <v>3120</v>
      </c>
      <c r="H289" s="957"/>
      <c r="I289" s="971"/>
      <c r="J289" s="3193"/>
      <c r="K289" s="3193"/>
      <c r="L289" s="3193"/>
      <c r="M289" s="3193"/>
      <c r="N289" s="3193"/>
      <c r="O289" s="3193"/>
      <c r="P289" s="3193"/>
      <c r="Q289" s="3193"/>
      <c r="R289" s="3193"/>
      <c r="S289" s="3193"/>
      <c r="T289" s="3193"/>
      <c r="U289" s="3193"/>
    </row>
    <row r="290" spans="1:21" s="960" customFormat="1" ht="14.25" customHeight="1">
      <c r="A290" s="1216" t="s">
        <v>1156</v>
      </c>
      <c r="B290" s="1216" t="s">
        <v>1090</v>
      </c>
      <c r="C290" s="1216">
        <v>5550</v>
      </c>
      <c r="D290" s="1216">
        <v>5500</v>
      </c>
      <c r="E290" s="1216">
        <v>6440</v>
      </c>
      <c r="F290" s="3159">
        <v>960</v>
      </c>
      <c r="G290" s="3175">
        <v>3320</v>
      </c>
      <c r="I290" s="971"/>
      <c r="J290" s="3193"/>
      <c r="K290" s="3193"/>
      <c r="L290" s="3193"/>
      <c r="M290" s="3193"/>
      <c r="N290" s="3193"/>
      <c r="O290" s="3193"/>
      <c r="P290" s="3193"/>
      <c r="Q290" s="3193"/>
      <c r="R290" s="3193"/>
      <c r="S290" s="3193"/>
      <c r="T290" s="3193"/>
      <c r="U290" s="3193"/>
    </row>
    <row r="291" spans="1:21" s="960" customFormat="1" ht="14.25" customHeight="1">
      <c r="A291" s="3158" t="s">
        <v>1156</v>
      </c>
      <c r="B291" s="3158" t="s">
        <v>1098</v>
      </c>
      <c r="C291" s="3158">
        <v>5440</v>
      </c>
      <c r="D291" s="3158">
        <v>5400</v>
      </c>
      <c r="E291" s="3158">
        <v>6320</v>
      </c>
      <c r="F291" s="3164">
        <v>930</v>
      </c>
      <c r="G291" s="3166">
        <v>3250</v>
      </c>
      <c r="I291" s="971"/>
      <c r="J291" s="3193"/>
      <c r="K291" s="3193"/>
      <c r="L291" s="3193"/>
      <c r="M291" s="3193"/>
      <c r="N291" s="3193"/>
      <c r="O291" s="3193"/>
      <c r="P291" s="3193"/>
      <c r="Q291" s="3193"/>
      <c r="R291" s="3193"/>
      <c r="S291" s="3193"/>
      <c r="T291" s="3193"/>
      <c r="U291" s="3193"/>
    </row>
    <row r="292" spans="1:21" s="960" customFormat="1" ht="14.25" customHeight="1">
      <c r="A292" s="3158" t="s">
        <v>1156</v>
      </c>
      <c r="B292" s="3158" t="s">
        <v>1104</v>
      </c>
      <c r="C292" s="3158">
        <v>5400</v>
      </c>
      <c r="D292" s="3158">
        <v>5360</v>
      </c>
      <c r="E292" s="3158">
        <v>6270</v>
      </c>
      <c r="F292" s="3164">
        <v>1040</v>
      </c>
      <c r="G292" s="3164">
        <v>3230</v>
      </c>
      <c r="I292" s="971"/>
      <c r="J292" s="3193"/>
      <c r="K292" s="3193"/>
      <c r="L292" s="3193"/>
      <c r="M292" s="3193"/>
      <c r="N292" s="3193"/>
      <c r="O292" s="3193"/>
      <c r="P292" s="3193"/>
      <c r="Q292" s="3193"/>
      <c r="R292" s="3193"/>
      <c r="S292" s="3193"/>
      <c r="T292" s="3193"/>
      <c r="U292" s="3193"/>
    </row>
    <row r="293" spans="1:21" s="960" customFormat="1" ht="14.25" customHeight="1">
      <c r="A293" s="3158" t="s">
        <v>1156</v>
      </c>
      <c r="B293" s="3158" t="s">
        <v>2961</v>
      </c>
      <c r="C293" s="3158">
        <v>5320</v>
      </c>
      <c r="D293" s="3158">
        <v>5270</v>
      </c>
      <c r="E293" s="3158">
        <v>6160</v>
      </c>
      <c r="F293" s="3164">
        <v>990</v>
      </c>
      <c r="G293" s="3164">
        <v>3170</v>
      </c>
      <c r="I293" s="971"/>
      <c r="J293" s="3193"/>
      <c r="K293" s="3193"/>
      <c r="L293" s="3193"/>
      <c r="M293" s="3193"/>
      <c r="N293" s="3193"/>
      <c r="O293" s="3193"/>
      <c r="P293" s="3193"/>
      <c r="Q293" s="3193"/>
      <c r="R293" s="3193"/>
      <c r="S293" s="3193"/>
      <c r="T293" s="3193"/>
      <c r="U293" s="3193"/>
    </row>
    <row r="294" spans="1:21" s="960" customFormat="1" ht="14.25" customHeight="1">
      <c r="A294" s="3158" t="s">
        <v>1156</v>
      </c>
      <c r="B294" s="3158" t="s">
        <v>2962</v>
      </c>
      <c r="C294" s="3158">
        <v>5260</v>
      </c>
      <c r="D294" s="3158">
        <v>5210</v>
      </c>
      <c r="E294" s="3158">
        <v>6100</v>
      </c>
      <c r="F294" s="3164">
        <v>950</v>
      </c>
      <c r="G294" s="3164">
        <v>3150</v>
      </c>
      <c r="I294" s="971"/>
      <c r="J294" s="3193"/>
      <c r="K294" s="3193"/>
      <c r="L294" s="3193"/>
      <c r="M294" s="3193"/>
      <c r="N294" s="3193"/>
      <c r="O294" s="3193"/>
      <c r="P294" s="3193"/>
      <c r="Q294" s="3193"/>
      <c r="R294" s="3193"/>
      <c r="S294" s="3193"/>
      <c r="T294" s="3193"/>
      <c r="U294" s="3193"/>
    </row>
    <row r="295" spans="1:21" s="960" customFormat="1" ht="14.25" customHeight="1">
      <c r="A295" s="3158" t="s">
        <v>1156</v>
      </c>
      <c r="B295" s="3158" t="s">
        <v>1139</v>
      </c>
      <c r="C295" s="3158">
        <v>5610</v>
      </c>
      <c r="D295" s="3158">
        <v>5570</v>
      </c>
      <c r="E295" s="3158">
        <v>6530</v>
      </c>
      <c r="F295" s="3164">
        <v>960</v>
      </c>
      <c r="G295" s="3164">
        <v>3360</v>
      </c>
      <c r="I295" s="971"/>
      <c r="J295" s="3193"/>
      <c r="K295" s="3193"/>
      <c r="L295" s="3193"/>
      <c r="M295" s="3193"/>
      <c r="N295" s="3193"/>
      <c r="O295" s="3193"/>
      <c r="P295" s="3193"/>
      <c r="Q295" s="3193"/>
      <c r="R295" s="3193"/>
      <c r="S295" s="3193"/>
      <c r="T295" s="3193"/>
      <c r="U295" s="3193"/>
    </row>
    <row r="296" spans="1:21" s="960" customFormat="1" ht="14.25" customHeight="1">
      <c r="A296" s="3158" t="s">
        <v>1156</v>
      </c>
      <c r="B296" s="3158" t="s">
        <v>1142</v>
      </c>
      <c r="C296" s="3158">
        <v>5540</v>
      </c>
      <c r="D296" s="3158">
        <v>5490</v>
      </c>
      <c r="E296" s="3158">
        <v>6430</v>
      </c>
      <c r="F296" s="3164">
        <v>980</v>
      </c>
      <c r="G296" s="3164">
        <v>3310</v>
      </c>
      <c r="I296" s="971"/>
      <c r="J296" s="3193"/>
      <c r="K296" s="3193"/>
      <c r="L296" s="3193"/>
      <c r="M296" s="3193"/>
      <c r="N296" s="3193"/>
      <c r="O296" s="3193"/>
      <c r="P296" s="3193"/>
      <c r="Q296" s="3193"/>
      <c r="R296" s="3193"/>
      <c r="S296" s="3193"/>
      <c r="T296" s="3193"/>
      <c r="U296" s="3193"/>
    </row>
    <row r="297" spans="1:21" s="960" customFormat="1" ht="14.25" customHeight="1">
      <c r="A297" s="3158" t="s">
        <v>1156</v>
      </c>
      <c r="B297" s="3158" t="s">
        <v>1144</v>
      </c>
      <c r="C297" s="3158">
        <v>5480</v>
      </c>
      <c r="D297" s="3158">
        <v>5420</v>
      </c>
      <c r="E297" s="3158">
        <v>6370</v>
      </c>
      <c r="F297" s="3164">
        <v>990</v>
      </c>
      <c r="G297" s="3164">
        <v>3270</v>
      </c>
      <c r="I297" s="971"/>
      <c r="J297" s="3193"/>
      <c r="K297" s="3193"/>
      <c r="L297" s="3193"/>
      <c r="M297" s="3193"/>
      <c r="N297" s="3193"/>
      <c r="O297" s="3193"/>
      <c r="P297" s="3193"/>
      <c r="Q297" s="3193"/>
      <c r="R297" s="3193"/>
      <c r="S297" s="3193"/>
      <c r="T297" s="3193"/>
      <c r="U297" s="3193"/>
    </row>
    <row r="298" spans="1:21" s="960" customFormat="1" ht="14.25" customHeight="1">
      <c r="A298" s="3158" t="s">
        <v>1156</v>
      </c>
      <c r="B298" s="3158" t="s">
        <v>1147</v>
      </c>
      <c r="C298" s="3158">
        <v>5090</v>
      </c>
      <c r="D298" s="3158">
        <v>5050</v>
      </c>
      <c r="E298" s="3158">
        <v>5910</v>
      </c>
      <c r="F298" s="3164">
        <v>900</v>
      </c>
      <c r="G298" s="3164">
        <v>3040</v>
      </c>
      <c r="I298" s="971"/>
      <c r="J298" s="3193"/>
      <c r="K298" s="3193"/>
      <c r="L298" s="3193"/>
      <c r="M298" s="3193"/>
      <c r="N298" s="3193"/>
      <c r="O298" s="3193"/>
      <c r="P298" s="3193"/>
      <c r="Q298" s="3193"/>
      <c r="R298" s="3193"/>
      <c r="S298" s="3193"/>
      <c r="T298" s="3193"/>
      <c r="U298" s="3193"/>
    </row>
    <row r="299" spans="1:21" s="960" customFormat="1" ht="14.25" customHeight="1">
      <c r="A299" s="3158" t="s">
        <v>1156</v>
      </c>
      <c r="B299" s="3158" t="s">
        <v>2963</v>
      </c>
      <c r="C299" s="3158">
        <v>5430</v>
      </c>
      <c r="D299" s="3158">
        <v>5380</v>
      </c>
      <c r="E299" s="3158">
        <v>6280</v>
      </c>
      <c r="F299" s="3164">
        <v>1000</v>
      </c>
      <c r="G299" s="3166">
        <v>3240</v>
      </c>
      <c r="I299" s="971"/>
      <c r="J299" s="3193"/>
      <c r="K299" s="3193"/>
      <c r="L299" s="3193"/>
      <c r="M299" s="3193"/>
      <c r="N299" s="3193"/>
      <c r="O299" s="3193"/>
      <c r="P299" s="3193"/>
      <c r="Q299" s="3193"/>
      <c r="R299" s="3193"/>
      <c r="S299" s="3193"/>
      <c r="T299" s="3193"/>
      <c r="U299" s="3193"/>
    </row>
    <row r="300" spans="1:21" s="960" customFormat="1" ht="14.25" customHeight="1">
      <c r="A300" s="3158" t="s">
        <v>1156</v>
      </c>
      <c r="B300" s="3158" t="s">
        <v>1119</v>
      </c>
      <c r="C300" s="3158">
        <v>4740</v>
      </c>
      <c r="D300" s="3158">
        <v>4680</v>
      </c>
      <c r="E300" s="3158">
        <v>5450</v>
      </c>
      <c r="F300" s="3164">
        <v>900</v>
      </c>
      <c r="G300" s="3164">
        <v>2830</v>
      </c>
      <c r="I300" s="971"/>
      <c r="J300" s="3193"/>
      <c r="K300" s="3193"/>
      <c r="L300" s="3193"/>
      <c r="M300" s="3193"/>
      <c r="N300" s="3193"/>
      <c r="O300" s="3193"/>
      <c r="P300" s="3193"/>
      <c r="Q300" s="3193"/>
      <c r="R300" s="3193"/>
      <c r="S300" s="3193"/>
      <c r="T300" s="3193"/>
      <c r="U300" s="3193"/>
    </row>
    <row r="301" spans="1:21" s="960" customFormat="1" ht="14.25" customHeight="1">
      <c r="A301" s="3158" t="s">
        <v>1156</v>
      </c>
      <c r="B301" s="3158" t="s">
        <v>1125</v>
      </c>
      <c r="C301" s="3158">
        <v>4870</v>
      </c>
      <c r="D301" s="3158">
        <v>4810</v>
      </c>
      <c r="E301" s="3158">
        <v>5560</v>
      </c>
      <c r="F301" s="3164">
        <v>990</v>
      </c>
      <c r="G301" s="3166">
        <v>2910</v>
      </c>
      <c r="I301" s="971"/>
      <c r="J301" s="3193"/>
      <c r="K301" s="3193"/>
      <c r="L301" s="3193"/>
      <c r="M301" s="3193"/>
      <c r="N301" s="3193"/>
      <c r="O301" s="3193"/>
      <c r="P301" s="3193"/>
      <c r="Q301" s="3193"/>
      <c r="R301" s="3193"/>
      <c r="S301" s="3193"/>
      <c r="T301" s="3193"/>
      <c r="U301" s="3193"/>
    </row>
    <row r="302" spans="1:21" s="960" customFormat="1" ht="14.25" customHeight="1">
      <c r="A302" s="3158" t="s">
        <v>1156</v>
      </c>
      <c r="B302" s="3158" t="s">
        <v>2964</v>
      </c>
      <c r="C302" s="3158">
        <v>5520</v>
      </c>
      <c r="D302" s="3158">
        <v>5470</v>
      </c>
      <c r="E302" s="3158">
        <v>6410</v>
      </c>
      <c r="F302" s="3164">
        <v>950</v>
      </c>
      <c r="G302" s="3164">
        <v>3300</v>
      </c>
      <c r="I302" s="971"/>
      <c r="J302" s="3193"/>
      <c r="K302" s="3193"/>
      <c r="L302" s="3193"/>
      <c r="M302" s="3193"/>
      <c r="N302" s="3193"/>
      <c r="O302" s="3193"/>
      <c r="P302" s="3193"/>
      <c r="Q302" s="3193"/>
      <c r="R302" s="3193"/>
      <c r="S302" s="3193"/>
      <c r="T302" s="3193"/>
      <c r="U302" s="3193"/>
    </row>
    <row r="303" spans="1:21" s="960" customFormat="1" ht="14.25" customHeight="1">
      <c r="A303" s="3158" t="s">
        <v>1156</v>
      </c>
      <c r="B303" s="3158" t="s">
        <v>2965</v>
      </c>
      <c r="C303" s="3158">
        <v>5630</v>
      </c>
      <c r="D303" s="3158">
        <v>5590</v>
      </c>
      <c r="E303" s="3158">
        <v>6550</v>
      </c>
      <c r="F303" s="3164">
        <v>1010</v>
      </c>
      <c r="G303" s="3164">
        <v>3370</v>
      </c>
      <c r="I303" s="971"/>
      <c r="J303" s="3193"/>
      <c r="K303" s="3193"/>
      <c r="L303" s="3193"/>
      <c r="M303" s="3193"/>
      <c r="N303" s="3193"/>
      <c r="O303" s="3193"/>
      <c r="P303" s="3193"/>
      <c r="Q303" s="3193"/>
      <c r="R303" s="3193"/>
      <c r="S303" s="3193"/>
      <c r="T303" s="3193"/>
      <c r="U303" s="3193"/>
    </row>
    <row r="304" spans="1:21" s="960" customFormat="1" ht="14.25" customHeight="1">
      <c r="A304" s="3158" t="s">
        <v>1156</v>
      </c>
      <c r="B304" s="3158" t="s">
        <v>2966</v>
      </c>
      <c r="C304" s="3158">
        <v>5680</v>
      </c>
      <c r="D304" s="3158">
        <v>5620</v>
      </c>
      <c r="E304" s="3158">
        <v>6620</v>
      </c>
      <c r="F304" s="3164">
        <v>1050</v>
      </c>
      <c r="G304" s="3166">
        <v>3390</v>
      </c>
      <c r="I304" s="971"/>
      <c r="J304" s="3193"/>
      <c r="K304" s="3193"/>
      <c r="L304" s="3193"/>
      <c r="M304" s="3193"/>
      <c r="N304" s="3193"/>
      <c r="O304" s="3193"/>
      <c r="P304" s="3193"/>
      <c r="Q304" s="3193"/>
      <c r="R304" s="3193"/>
      <c r="S304" s="3193"/>
      <c r="T304" s="3193"/>
      <c r="U304" s="3193"/>
    </row>
    <row r="305" spans="1:21" s="960" customFormat="1" ht="14.25" customHeight="1">
      <c r="A305" s="3158" t="s">
        <v>1156</v>
      </c>
      <c r="B305" s="3158" t="s">
        <v>2967</v>
      </c>
      <c r="C305" s="3158">
        <v>5590</v>
      </c>
      <c r="D305" s="3158">
        <v>5530</v>
      </c>
      <c r="E305" s="3158">
        <v>6460</v>
      </c>
      <c r="F305" s="3164">
        <v>900</v>
      </c>
      <c r="G305" s="3164">
        <v>3340</v>
      </c>
      <c r="I305" s="971"/>
      <c r="J305" s="3193"/>
      <c r="K305" s="3193"/>
      <c r="L305" s="3193"/>
      <c r="M305" s="3193"/>
      <c r="N305" s="3193"/>
      <c r="O305" s="3193"/>
      <c r="P305" s="3193"/>
      <c r="Q305" s="3193"/>
      <c r="R305" s="3193"/>
      <c r="S305" s="3193"/>
      <c r="T305" s="3193"/>
      <c r="U305" s="3193"/>
    </row>
    <row r="306" spans="1:21" s="960" customFormat="1" ht="14.25" customHeight="1">
      <c r="A306" s="3158" t="s">
        <v>1156</v>
      </c>
      <c r="B306" s="3158" t="s">
        <v>2968</v>
      </c>
      <c r="C306" s="3158">
        <v>5560</v>
      </c>
      <c r="D306" s="3158">
        <v>5510</v>
      </c>
      <c r="E306" s="3158">
        <v>6440</v>
      </c>
      <c r="F306" s="3164">
        <v>900</v>
      </c>
      <c r="G306" s="3166">
        <v>3320</v>
      </c>
      <c r="I306" s="971"/>
      <c r="J306" s="3193"/>
      <c r="K306" s="3193"/>
      <c r="L306" s="3193"/>
      <c r="M306" s="3193"/>
      <c r="N306" s="3193"/>
      <c r="O306" s="3193"/>
      <c r="P306" s="3193"/>
      <c r="Q306" s="3193"/>
      <c r="R306" s="3193"/>
      <c r="S306" s="3193"/>
      <c r="T306" s="3193"/>
      <c r="U306" s="3193"/>
    </row>
    <row r="307" spans="1:21" s="960" customFormat="1" ht="14.25" customHeight="1">
      <c r="A307" s="3158" t="s">
        <v>1156</v>
      </c>
      <c r="B307" s="3158" t="s">
        <v>2969</v>
      </c>
      <c r="C307" s="3158">
        <v>5650</v>
      </c>
      <c r="D307" s="3158">
        <v>5600</v>
      </c>
      <c r="E307" s="3158">
        <v>6590</v>
      </c>
      <c r="F307" s="3164">
        <v>930</v>
      </c>
      <c r="G307" s="3164">
        <v>3380</v>
      </c>
      <c r="I307" s="971"/>
      <c r="J307" s="3193"/>
      <c r="K307" s="3193"/>
      <c r="L307" s="3193"/>
      <c r="M307" s="3193"/>
      <c r="N307" s="3193"/>
      <c r="O307" s="3193"/>
      <c r="P307" s="3193"/>
      <c r="Q307" s="3193"/>
      <c r="R307" s="3193"/>
      <c r="S307" s="3193"/>
      <c r="T307" s="3193"/>
      <c r="U307" s="3193"/>
    </row>
    <row r="308" spans="1:21" s="960" customFormat="1" ht="14.25" customHeight="1">
      <c r="A308" s="3158" t="s">
        <v>1156</v>
      </c>
      <c r="B308" s="3158" t="s">
        <v>2970</v>
      </c>
      <c r="C308" s="3158">
        <v>5620</v>
      </c>
      <c r="D308" s="3158">
        <v>5580</v>
      </c>
      <c r="E308" s="3158">
        <v>6540</v>
      </c>
      <c r="F308" s="3164">
        <v>910</v>
      </c>
      <c r="G308" s="3164">
        <v>3370</v>
      </c>
      <c r="I308" s="971"/>
      <c r="J308" s="3193"/>
      <c r="K308" s="3193"/>
      <c r="L308" s="3193"/>
      <c r="M308" s="3193"/>
      <c r="N308" s="3193"/>
      <c r="O308" s="3193"/>
      <c r="P308" s="3193"/>
      <c r="Q308" s="3193"/>
      <c r="R308" s="3193"/>
      <c r="S308" s="3193"/>
      <c r="T308" s="3193"/>
      <c r="U308" s="3193"/>
    </row>
    <row r="309" spans="1:21" s="960" customFormat="1" ht="14.25" customHeight="1">
      <c r="A309" s="3158" t="s">
        <v>1156</v>
      </c>
      <c r="B309" s="3158" t="s">
        <v>2971</v>
      </c>
      <c r="C309" s="3158">
        <v>5060</v>
      </c>
      <c r="D309" s="3158">
        <v>5020</v>
      </c>
      <c r="E309" s="3158">
        <v>6370</v>
      </c>
      <c r="F309" s="3164">
        <v>800</v>
      </c>
      <c r="G309" s="3166">
        <v>3020</v>
      </c>
      <c r="I309" s="971"/>
      <c r="J309" s="3193"/>
      <c r="K309" s="3193"/>
      <c r="L309" s="3193"/>
      <c r="M309" s="3193"/>
      <c r="N309" s="3193"/>
      <c r="O309" s="3193"/>
      <c r="P309" s="3193"/>
      <c r="Q309" s="3193"/>
      <c r="R309" s="3193"/>
      <c r="S309" s="3193"/>
      <c r="T309" s="3193"/>
      <c r="U309" s="3193"/>
    </row>
    <row r="310" spans="1:21" s="960" customFormat="1" ht="14.25" customHeight="1">
      <c r="A310" s="3158" t="s">
        <v>1156</v>
      </c>
      <c r="B310" s="3158" t="s">
        <v>2972</v>
      </c>
      <c r="C310" s="3158">
        <v>5150</v>
      </c>
      <c r="D310" s="3158">
        <v>5110</v>
      </c>
      <c r="E310" s="3158">
        <v>6500</v>
      </c>
      <c r="F310" s="3164">
        <v>880</v>
      </c>
      <c r="G310" s="3164">
        <v>3080</v>
      </c>
      <c r="I310" s="971"/>
      <c r="J310" s="3193"/>
      <c r="K310" s="3193"/>
      <c r="L310" s="3193"/>
      <c r="M310" s="3193"/>
      <c r="N310" s="3193"/>
      <c r="O310" s="3193"/>
      <c r="P310" s="3193"/>
      <c r="Q310" s="3193"/>
      <c r="R310" s="3193"/>
      <c r="S310" s="3193"/>
      <c r="T310" s="3193"/>
      <c r="U310" s="3193"/>
    </row>
    <row r="311" spans="1:21" s="960" customFormat="1" ht="14.25" customHeight="1">
      <c r="A311" s="3158" t="s">
        <v>1156</v>
      </c>
      <c r="B311" s="3158" t="s">
        <v>2973</v>
      </c>
      <c r="C311" s="3158">
        <v>4750</v>
      </c>
      <c r="D311" s="3158">
        <v>4710</v>
      </c>
      <c r="E311" s="3158">
        <v>5510</v>
      </c>
      <c r="F311" s="3164">
        <v>880</v>
      </c>
      <c r="G311" s="3164">
        <v>2840</v>
      </c>
      <c r="I311" s="971"/>
      <c r="J311" s="3193"/>
      <c r="K311" s="3193"/>
      <c r="L311" s="3193"/>
      <c r="M311" s="3193"/>
      <c r="N311" s="3193"/>
      <c r="O311" s="3193"/>
      <c r="P311" s="3193"/>
      <c r="Q311" s="3193"/>
      <c r="R311" s="3193"/>
      <c r="S311" s="3193"/>
      <c r="T311" s="3193"/>
      <c r="U311" s="3193"/>
    </row>
    <row r="312" spans="1:21" s="960" customFormat="1" ht="14.25" customHeight="1">
      <c r="A312" s="3158" t="s">
        <v>1156</v>
      </c>
      <c r="B312" s="3158" t="s">
        <v>2974</v>
      </c>
      <c r="C312" s="3158">
        <v>4690</v>
      </c>
      <c r="D312" s="3158">
        <v>4640</v>
      </c>
      <c r="E312" s="3158">
        <v>5420</v>
      </c>
      <c r="F312" s="3164">
        <v>800</v>
      </c>
      <c r="G312" s="3164">
        <v>2800</v>
      </c>
      <c r="I312" s="971"/>
      <c r="J312" s="3193"/>
      <c r="K312" s="3193"/>
      <c r="L312" s="3193"/>
      <c r="M312" s="3193"/>
      <c r="N312" s="3193"/>
      <c r="O312" s="3193"/>
      <c r="P312" s="3193"/>
      <c r="Q312" s="3193"/>
      <c r="R312" s="3193"/>
      <c r="S312" s="3193"/>
      <c r="T312" s="3193"/>
      <c r="U312" s="3193"/>
    </row>
    <row r="313" spans="1:21" s="960" customFormat="1" ht="14.25" customHeight="1">
      <c r="A313" s="3158" t="s">
        <v>1156</v>
      </c>
      <c r="B313" s="3158" t="s">
        <v>2975</v>
      </c>
      <c r="C313" s="3158">
        <v>4810</v>
      </c>
      <c r="D313" s="3158">
        <v>4760</v>
      </c>
      <c r="E313" s="3158">
        <v>5550</v>
      </c>
      <c r="F313" s="3164">
        <v>920</v>
      </c>
      <c r="G313" s="3164">
        <v>2870</v>
      </c>
      <c r="I313" s="971"/>
      <c r="J313" s="3193"/>
      <c r="K313" s="3193"/>
      <c r="L313" s="3193"/>
      <c r="M313" s="3193"/>
      <c r="N313" s="3193"/>
      <c r="O313" s="3193"/>
      <c r="P313" s="3193"/>
      <c r="Q313" s="3193"/>
      <c r="R313" s="3193"/>
      <c r="S313" s="3193"/>
      <c r="T313" s="3193"/>
      <c r="U313" s="3193"/>
    </row>
    <row r="314" spans="1:21" s="960" customFormat="1" ht="14.25" customHeight="1">
      <c r="A314" s="3158" t="s">
        <v>1156</v>
      </c>
      <c r="B314" s="3158" t="s">
        <v>2976</v>
      </c>
      <c r="C314" s="3158"/>
      <c r="D314" s="3158"/>
      <c r="E314" s="3158"/>
      <c r="F314" s="3164">
        <v>1020</v>
      </c>
      <c r="G314" s="3164"/>
      <c r="I314" s="971"/>
      <c r="J314" s="3193"/>
      <c r="K314" s="3193"/>
      <c r="L314" s="3193"/>
      <c r="M314" s="3193"/>
      <c r="N314" s="3193"/>
      <c r="O314" s="3193"/>
      <c r="P314" s="3193"/>
      <c r="Q314" s="3193"/>
      <c r="R314" s="3193"/>
      <c r="S314" s="3193"/>
      <c r="T314" s="3193"/>
      <c r="U314" s="3193"/>
    </row>
    <row r="315" spans="1:21" s="960" customFormat="1" ht="14.25" customHeight="1">
      <c r="A315" s="3158" t="s">
        <v>1156</v>
      </c>
      <c r="B315" s="3158" t="s">
        <v>2977</v>
      </c>
      <c r="C315" s="3158"/>
      <c r="D315" s="3158"/>
      <c r="E315" s="3158"/>
      <c r="F315" s="3164">
        <v>1050</v>
      </c>
      <c r="G315" s="3164"/>
      <c r="I315" s="971"/>
      <c r="J315" s="3193"/>
      <c r="K315" s="3193"/>
      <c r="L315" s="3193"/>
      <c r="M315" s="3193"/>
      <c r="N315" s="3193"/>
      <c r="O315" s="3193"/>
      <c r="P315" s="3193"/>
      <c r="Q315" s="3193"/>
      <c r="R315" s="3193"/>
      <c r="S315" s="3193"/>
      <c r="T315" s="3193"/>
      <c r="U315" s="3193"/>
    </row>
    <row r="316" spans="1:21" s="960" customFormat="1" ht="14.25" customHeight="1">
      <c r="A316" s="3158" t="s">
        <v>1156</v>
      </c>
      <c r="B316" s="3158" t="s">
        <v>2978</v>
      </c>
      <c r="C316" s="3158"/>
      <c r="D316" s="3158"/>
      <c r="E316" s="3158"/>
      <c r="F316" s="3164">
        <v>900</v>
      </c>
      <c r="G316" s="3171"/>
      <c r="I316" s="971"/>
      <c r="J316" s="3193"/>
      <c r="K316" s="3193"/>
      <c r="L316" s="3193"/>
      <c r="M316" s="3193"/>
      <c r="N316" s="3193"/>
      <c r="O316" s="3193"/>
      <c r="P316" s="3193"/>
      <c r="Q316" s="3193"/>
      <c r="R316" s="3193"/>
      <c r="S316" s="3193"/>
      <c r="T316" s="3193"/>
      <c r="U316" s="3193"/>
    </row>
    <row r="317" spans="1:21" s="960" customFormat="1" ht="14.25" customHeight="1">
      <c r="A317" s="1216" t="s">
        <v>1156</v>
      </c>
      <c r="B317" s="1216" t="s">
        <v>2979</v>
      </c>
      <c r="C317" s="1216"/>
      <c r="D317" s="1216"/>
      <c r="E317" s="1216"/>
      <c r="F317" s="3159">
        <v>920</v>
      </c>
      <c r="G317" s="3159"/>
      <c r="I317" s="957"/>
      <c r="J317" s="3193"/>
      <c r="K317" s="3193"/>
      <c r="L317" s="3193"/>
      <c r="M317" s="3193"/>
      <c r="N317" s="3193"/>
      <c r="O317" s="3193"/>
      <c r="P317" s="3193"/>
      <c r="Q317" s="3193"/>
      <c r="R317" s="3193"/>
      <c r="S317" s="3193"/>
      <c r="T317" s="3193"/>
      <c r="U317" s="3193"/>
    </row>
    <row r="318" spans="1:21" s="960" customFormat="1" ht="14.25" customHeight="1">
      <c r="A318" s="3158" t="s">
        <v>1156</v>
      </c>
      <c r="B318" s="3158" t="s">
        <v>2980</v>
      </c>
      <c r="C318" s="3158"/>
      <c r="D318" s="3158"/>
      <c r="E318" s="3158"/>
      <c r="F318" s="3164">
        <v>1080</v>
      </c>
      <c r="G318" s="3166"/>
      <c r="I318" s="957"/>
      <c r="J318" s="3193"/>
      <c r="K318" s="3193"/>
      <c r="L318" s="3193"/>
      <c r="M318" s="3193"/>
      <c r="N318" s="3193"/>
      <c r="O318" s="3193"/>
      <c r="P318" s="3193"/>
      <c r="Q318" s="3193"/>
      <c r="R318" s="3193"/>
      <c r="S318" s="3193"/>
      <c r="T318" s="3193"/>
      <c r="U318" s="3193"/>
    </row>
    <row r="319" spans="1:21" s="960" customFormat="1" ht="14.25" customHeight="1">
      <c r="A319" s="3158" t="s">
        <v>1156</v>
      </c>
      <c r="B319" s="3158" t="s">
        <v>2981</v>
      </c>
      <c r="C319" s="3158"/>
      <c r="D319" s="3158"/>
      <c r="E319" s="3158"/>
      <c r="F319" s="3164">
        <v>1020</v>
      </c>
      <c r="G319" s="3164"/>
      <c r="I319" s="957"/>
      <c r="J319" s="3193"/>
      <c r="K319" s="3193"/>
      <c r="L319" s="3193"/>
      <c r="M319" s="3193"/>
      <c r="N319" s="3193"/>
      <c r="O319" s="3193"/>
      <c r="P319" s="3193"/>
      <c r="Q319" s="3193"/>
      <c r="R319" s="3193"/>
      <c r="S319" s="3193"/>
      <c r="T319" s="3193"/>
      <c r="U319" s="3193"/>
    </row>
    <row r="320" spans="1:21" s="960" customFormat="1" ht="14.25" customHeight="1">
      <c r="A320" s="3158" t="s">
        <v>1156</v>
      </c>
      <c r="B320" s="3158" t="s">
        <v>2982</v>
      </c>
      <c r="C320" s="3158"/>
      <c r="D320" s="3158"/>
      <c r="E320" s="3158"/>
      <c r="F320" s="3164">
        <v>1050</v>
      </c>
      <c r="G320" s="3166"/>
      <c r="I320" s="957"/>
      <c r="J320" s="3193"/>
      <c r="K320" s="3193"/>
      <c r="L320" s="3193"/>
      <c r="M320" s="3193"/>
      <c r="N320" s="3193"/>
      <c r="O320" s="3193"/>
      <c r="P320" s="3193"/>
      <c r="Q320" s="3193"/>
      <c r="R320" s="3193"/>
      <c r="S320" s="3193"/>
      <c r="T320" s="3193"/>
      <c r="U320" s="3193"/>
    </row>
    <row r="321" spans="1:21" s="960" customFormat="1" ht="14.25" customHeight="1">
      <c r="A321" s="3158" t="s">
        <v>1156</v>
      </c>
      <c r="B321" s="3158" t="s">
        <v>2983</v>
      </c>
      <c r="C321" s="3158"/>
      <c r="D321" s="3158"/>
      <c r="E321" s="3158"/>
      <c r="F321" s="3164">
        <v>960</v>
      </c>
      <c r="G321" s="3166"/>
      <c r="I321" s="957"/>
      <c r="J321" s="3193"/>
      <c r="K321" s="3193"/>
      <c r="L321" s="3193"/>
      <c r="M321" s="3193"/>
      <c r="N321" s="3193"/>
      <c r="O321" s="3193"/>
      <c r="P321" s="3193"/>
      <c r="Q321" s="3193"/>
      <c r="R321" s="3193"/>
      <c r="S321" s="3193"/>
      <c r="T321" s="3193"/>
      <c r="U321" s="3193"/>
    </row>
    <row r="322" spans="1:21" s="960" customFormat="1" ht="14.25" customHeight="1">
      <c r="A322" s="3158" t="s">
        <v>1156</v>
      </c>
      <c r="B322" s="3158" t="s">
        <v>2984</v>
      </c>
      <c r="C322" s="3158"/>
      <c r="D322" s="3158"/>
      <c r="E322" s="3158"/>
      <c r="F322" s="3164">
        <v>960</v>
      </c>
      <c r="G322" s="3164"/>
      <c r="I322" s="957"/>
      <c r="J322" s="3193"/>
      <c r="K322" s="3193"/>
      <c r="L322" s="3193"/>
      <c r="M322" s="3193"/>
      <c r="N322" s="3193"/>
      <c r="O322" s="3193"/>
      <c r="P322" s="3193"/>
      <c r="Q322" s="3193"/>
      <c r="R322" s="3193"/>
      <c r="S322" s="3193"/>
      <c r="T322" s="3193"/>
      <c r="U322" s="3193"/>
    </row>
    <row r="323" spans="1:21" s="960" customFormat="1" ht="14.25" customHeight="1">
      <c r="A323" s="3158" t="s">
        <v>1156</v>
      </c>
      <c r="B323" s="3158" t="s">
        <v>2985</v>
      </c>
      <c r="C323" s="3158"/>
      <c r="D323" s="3158"/>
      <c r="E323" s="3158"/>
      <c r="F323" s="3164">
        <v>880</v>
      </c>
      <c r="G323" s="3166"/>
      <c r="I323" s="957"/>
      <c r="J323" s="3193"/>
      <c r="K323" s="3193"/>
      <c r="L323" s="3193"/>
      <c r="M323" s="3193"/>
      <c r="N323" s="3193"/>
      <c r="O323" s="3193"/>
      <c r="P323" s="3193"/>
      <c r="Q323" s="3193"/>
      <c r="R323" s="3193"/>
      <c r="S323" s="3193"/>
      <c r="T323" s="3193"/>
      <c r="U323" s="3193"/>
    </row>
    <row r="324" spans="1:21" s="960" customFormat="1" ht="14.25" customHeight="1">
      <c r="A324" s="3158" t="s">
        <v>1156</v>
      </c>
      <c r="B324" s="3158" t="s">
        <v>2986</v>
      </c>
      <c r="C324" s="3158"/>
      <c r="D324" s="3158"/>
      <c r="E324" s="3158"/>
      <c r="F324" s="3164">
        <v>930</v>
      </c>
      <c r="G324" s="3166"/>
      <c r="I324" s="957"/>
      <c r="J324" s="3193"/>
      <c r="K324" s="3193"/>
      <c r="L324" s="3193"/>
      <c r="M324" s="3193"/>
      <c r="N324" s="3193"/>
      <c r="O324" s="3193"/>
      <c r="P324" s="3193"/>
      <c r="Q324" s="3193"/>
      <c r="R324" s="3193"/>
      <c r="S324" s="3193"/>
      <c r="T324" s="3193"/>
      <c r="U324" s="3193"/>
    </row>
    <row r="325" spans="1:21" s="960" customFormat="1" ht="14.25" customHeight="1">
      <c r="A325" s="3158" t="s">
        <v>1156</v>
      </c>
      <c r="B325" s="3158" t="s">
        <v>2987</v>
      </c>
      <c r="C325" s="3158"/>
      <c r="D325" s="3158"/>
      <c r="E325" s="3158"/>
      <c r="F325" s="3164">
        <v>900</v>
      </c>
      <c r="G325" s="3164"/>
      <c r="I325" s="957"/>
      <c r="J325" s="3193"/>
      <c r="K325" s="3193"/>
      <c r="L325" s="3193"/>
      <c r="M325" s="3193"/>
      <c r="N325" s="3193"/>
      <c r="O325" s="3193"/>
      <c r="P325" s="3193"/>
      <c r="Q325" s="3193"/>
      <c r="R325" s="3193"/>
      <c r="S325" s="3193"/>
      <c r="T325" s="3193"/>
      <c r="U325" s="3193"/>
    </row>
    <row r="326" spans="1:21" s="960" customFormat="1" ht="14.25" customHeight="1" thickBot="1">
      <c r="A326" s="3173" t="s">
        <v>1156</v>
      </c>
      <c r="B326" s="3161" t="s">
        <v>2988</v>
      </c>
      <c r="C326" s="3161"/>
      <c r="D326" s="3161"/>
      <c r="E326" s="3161"/>
      <c r="F326" s="3162">
        <v>790</v>
      </c>
      <c r="G326" s="3177"/>
      <c r="I326" s="957"/>
      <c r="J326" s="3193"/>
      <c r="K326" s="3193"/>
      <c r="L326" s="3193"/>
      <c r="M326" s="3193"/>
      <c r="N326" s="3193"/>
      <c r="O326" s="3193"/>
      <c r="P326" s="3193"/>
      <c r="Q326" s="3193"/>
      <c r="R326" s="3193"/>
      <c r="S326" s="3193"/>
      <c r="T326" s="3193"/>
      <c r="U326" s="3193"/>
    </row>
    <row r="327" spans="1:21" s="960" customFormat="1" ht="14.25" customHeight="1">
      <c r="A327" s="3172" t="s">
        <v>1157</v>
      </c>
      <c r="B327" s="2406" t="s">
        <v>2989</v>
      </c>
      <c r="C327" s="2406">
        <v>3750</v>
      </c>
      <c r="D327" s="2406">
        <v>3710</v>
      </c>
      <c r="E327" s="2406">
        <v>4080</v>
      </c>
      <c r="F327" s="3180">
        <v>860</v>
      </c>
      <c r="G327" s="3180">
        <v>2210</v>
      </c>
      <c r="I327" s="957"/>
      <c r="J327" s="3193"/>
      <c r="K327" s="3193"/>
      <c r="L327" s="3193"/>
      <c r="M327" s="3193"/>
      <c r="N327" s="3193"/>
      <c r="O327" s="3193"/>
      <c r="P327" s="3193"/>
      <c r="Q327" s="3193"/>
      <c r="R327" s="3193"/>
      <c r="S327" s="3193"/>
      <c r="T327" s="3193"/>
      <c r="U327" s="3193"/>
    </row>
    <row r="328" spans="1:21" s="960" customFormat="1" ht="14.25" customHeight="1">
      <c r="A328" s="3158" t="s">
        <v>1157</v>
      </c>
      <c r="B328" s="3158" t="s">
        <v>981</v>
      </c>
      <c r="C328" s="3158">
        <v>3330</v>
      </c>
      <c r="D328" s="3158">
        <v>3290</v>
      </c>
      <c r="E328" s="3158">
        <v>3610</v>
      </c>
      <c r="F328" s="3158">
        <v>850</v>
      </c>
      <c r="G328" s="3158">
        <v>1960</v>
      </c>
      <c r="H328" s="957"/>
      <c r="I328" s="957"/>
      <c r="J328" s="3193"/>
      <c r="K328" s="3193"/>
      <c r="L328" s="3193"/>
      <c r="M328" s="3193"/>
      <c r="N328" s="3193"/>
      <c r="O328" s="3193"/>
      <c r="P328" s="3193"/>
      <c r="Q328" s="3193"/>
      <c r="R328" s="3193"/>
      <c r="S328" s="3193"/>
      <c r="T328" s="3193"/>
      <c r="U328" s="3193"/>
    </row>
    <row r="329" spans="1:21" s="960" customFormat="1" ht="14.25" customHeight="1">
      <c r="A329" s="3158" t="s">
        <v>1157</v>
      </c>
      <c r="B329" s="3158" t="s">
        <v>2990</v>
      </c>
      <c r="C329" s="3158">
        <v>2730</v>
      </c>
      <c r="D329" s="3158">
        <v>2690</v>
      </c>
      <c r="E329" s="3158">
        <v>3100</v>
      </c>
      <c r="F329" s="3158">
        <v>660</v>
      </c>
      <c r="G329" s="3158">
        <v>1610</v>
      </c>
      <c r="H329" s="957"/>
      <c r="I329" s="957"/>
      <c r="J329" s="3193"/>
      <c r="K329" s="3193"/>
      <c r="L329" s="3193"/>
      <c r="M329" s="3193"/>
      <c r="N329" s="3193"/>
      <c r="O329" s="3193"/>
      <c r="P329" s="3193"/>
      <c r="Q329" s="3193"/>
      <c r="R329" s="3193"/>
      <c r="S329" s="3193"/>
      <c r="T329" s="3193"/>
      <c r="U329" s="3193"/>
    </row>
    <row r="330" spans="1:21" s="960" customFormat="1" ht="14.25" customHeight="1">
      <c r="A330" s="3158" t="s">
        <v>1157</v>
      </c>
      <c r="B330" s="3158" t="s">
        <v>2991</v>
      </c>
      <c r="C330" s="3158">
        <v>3270</v>
      </c>
      <c r="D330" s="3158">
        <v>3240</v>
      </c>
      <c r="E330" s="3158">
        <v>3560</v>
      </c>
      <c r="F330" s="3158">
        <v>680</v>
      </c>
      <c r="G330" s="3167">
        <v>1940</v>
      </c>
      <c r="H330" s="957"/>
      <c r="I330" s="957"/>
      <c r="J330" s="3193"/>
      <c r="K330" s="3193"/>
      <c r="L330" s="3193"/>
      <c r="M330" s="3193"/>
      <c r="N330" s="3193"/>
      <c r="O330" s="3193"/>
      <c r="P330" s="3193"/>
      <c r="Q330" s="3193"/>
      <c r="R330" s="3193"/>
      <c r="S330" s="3193"/>
      <c r="T330" s="3193"/>
      <c r="U330" s="3193"/>
    </row>
    <row r="331" spans="1:21" s="960" customFormat="1" ht="14.25" customHeight="1">
      <c r="A331" s="3158" t="s">
        <v>1157</v>
      </c>
      <c r="B331" s="3158" t="s">
        <v>1008</v>
      </c>
      <c r="C331" s="3158">
        <v>3770</v>
      </c>
      <c r="D331" s="3158">
        <v>3740</v>
      </c>
      <c r="E331" s="3158">
        <v>4110</v>
      </c>
      <c r="F331" s="3158">
        <v>730</v>
      </c>
      <c r="G331" s="3158">
        <v>2230</v>
      </c>
      <c r="H331" s="957"/>
      <c r="I331" s="957"/>
      <c r="J331" s="3193"/>
      <c r="K331" s="3193"/>
      <c r="L331" s="3193"/>
      <c r="M331" s="3193"/>
      <c r="N331" s="3193"/>
      <c r="O331" s="3193"/>
      <c r="P331" s="3193"/>
      <c r="Q331" s="3193"/>
      <c r="R331" s="3193"/>
      <c r="S331" s="3193"/>
      <c r="T331" s="3193"/>
      <c r="U331" s="3193"/>
    </row>
    <row r="332" spans="1:21" s="960" customFormat="1" ht="14.25" customHeight="1">
      <c r="A332" s="3158" t="s">
        <v>1157</v>
      </c>
      <c r="B332" s="3158" t="s">
        <v>2992</v>
      </c>
      <c r="C332" s="3158">
        <v>3520</v>
      </c>
      <c r="D332" s="3158">
        <v>3480</v>
      </c>
      <c r="E332" s="3158">
        <v>3830</v>
      </c>
      <c r="F332" s="3158">
        <v>720</v>
      </c>
      <c r="G332" s="3158">
        <v>2090</v>
      </c>
      <c r="H332" s="957"/>
      <c r="I332" s="957"/>
      <c r="J332" s="3193"/>
      <c r="K332" s="3193"/>
      <c r="L332" s="3193"/>
      <c r="M332" s="3193"/>
      <c r="N332" s="3193"/>
      <c r="O332" s="3193"/>
      <c r="P332" s="3193"/>
      <c r="Q332" s="3193"/>
      <c r="R332" s="3193"/>
      <c r="S332" s="3193"/>
      <c r="T332" s="3193"/>
      <c r="U332" s="3193"/>
    </row>
    <row r="333" spans="1:21" s="960" customFormat="1" ht="14.25" customHeight="1">
      <c r="A333" s="3158" t="s">
        <v>1157</v>
      </c>
      <c r="B333" s="3158" t="s">
        <v>2993</v>
      </c>
      <c r="C333" s="3158">
        <v>3840</v>
      </c>
      <c r="D333" s="3158">
        <v>3800</v>
      </c>
      <c r="E333" s="3158">
        <v>4200</v>
      </c>
      <c r="F333" s="3158">
        <v>760</v>
      </c>
      <c r="G333" s="3158">
        <v>2270</v>
      </c>
      <c r="H333" s="957"/>
      <c r="I333" s="957"/>
      <c r="J333" s="3193"/>
      <c r="K333" s="3193"/>
      <c r="L333" s="3193"/>
      <c r="M333" s="3193"/>
      <c r="N333" s="3193"/>
      <c r="O333" s="3193"/>
      <c r="P333" s="3193"/>
      <c r="Q333" s="3193"/>
      <c r="R333" s="3193"/>
      <c r="S333" s="3193"/>
      <c r="T333" s="3193"/>
      <c r="U333" s="3193"/>
    </row>
    <row r="334" spans="1:21" s="960" customFormat="1" ht="14.25" customHeight="1">
      <c r="A334" s="3158" t="s">
        <v>1157</v>
      </c>
      <c r="B334" s="3158" t="s">
        <v>1030</v>
      </c>
      <c r="C334" s="3158">
        <v>3960</v>
      </c>
      <c r="D334" s="3158">
        <v>3910</v>
      </c>
      <c r="E334" s="3158">
        <v>4340</v>
      </c>
      <c r="F334" s="3158">
        <v>780</v>
      </c>
      <c r="G334" s="3158">
        <v>2340</v>
      </c>
      <c r="H334" s="957"/>
      <c r="I334" s="957"/>
      <c r="J334" s="3193"/>
      <c r="K334" s="3193"/>
      <c r="L334" s="3193"/>
      <c r="M334" s="3193"/>
      <c r="N334" s="3193"/>
      <c r="O334" s="3193"/>
      <c r="P334" s="3193"/>
      <c r="Q334" s="3193"/>
      <c r="R334" s="3193"/>
      <c r="S334" s="3193"/>
      <c r="T334" s="3193"/>
      <c r="U334" s="3193"/>
    </row>
    <row r="335" spans="1:21" s="960" customFormat="1" ht="14.25" customHeight="1">
      <c r="A335" s="3158" t="s">
        <v>1157</v>
      </c>
      <c r="B335" s="3158" t="s">
        <v>1040</v>
      </c>
      <c r="C335" s="3158">
        <v>3710</v>
      </c>
      <c r="D335" s="3158">
        <v>3670</v>
      </c>
      <c r="E335" s="3158">
        <v>4030</v>
      </c>
      <c r="F335" s="3158">
        <v>750</v>
      </c>
      <c r="G335" s="3167">
        <v>2200</v>
      </c>
      <c r="H335" s="957"/>
      <c r="I335" s="957"/>
      <c r="J335" s="3193"/>
      <c r="K335" s="3193"/>
      <c r="L335" s="3193"/>
      <c r="M335" s="3193"/>
      <c r="N335" s="3193"/>
      <c r="O335" s="3193"/>
      <c r="P335" s="3193"/>
      <c r="Q335" s="3193"/>
      <c r="R335" s="3193"/>
      <c r="S335" s="3193"/>
      <c r="T335" s="3193"/>
      <c r="U335" s="3193"/>
    </row>
    <row r="336" spans="1:21" s="960" customFormat="1" ht="14.25" customHeight="1">
      <c r="A336" s="3158" t="s">
        <v>1157</v>
      </c>
      <c r="B336" s="3158" t="s">
        <v>2994</v>
      </c>
      <c r="C336" s="3158">
        <v>3570</v>
      </c>
      <c r="D336" s="3158">
        <v>3530</v>
      </c>
      <c r="E336" s="3158">
        <v>3880</v>
      </c>
      <c r="F336" s="3158">
        <v>770</v>
      </c>
      <c r="G336" s="3158">
        <v>2110</v>
      </c>
      <c r="H336" s="957"/>
      <c r="I336" s="957"/>
      <c r="J336" s="3193"/>
      <c r="K336" s="3193"/>
      <c r="L336" s="3193"/>
      <c r="M336" s="3193"/>
      <c r="N336" s="3193"/>
      <c r="O336" s="3193"/>
      <c r="P336" s="3193"/>
      <c r="Q336" s="3193"/>
      <c r="R336" s="3193"/>
      <c r="S336" s="3193"/>
      <c r="T336" s="3193"/>
      <c r="U336" s="3193"/>
    </row>
    <row r="337" spans="1:21" s="960" customFormat="1" ht="14.25" customHeight="1">
      <c r="A337" s="3158" t="s">
        <v>1157</v>
      </c>
      <c r="B337" s="3158" t="s">
        <v>2995</v>
      </c>
      <c r="C337" s="3158">
        <v>3780</v>
      </c>
      <c r="D337" s="3158">
        <v>3750</v>
      </c>
      <c r="E337" s="3158">
        <v>4130</v>
      </c>
      <c r="F337" s="3158">
        <v>750</v>
      </c>
      <c r="G337" s="3158">
        <v>2240</v>
      </c>
      <c r="H337" s="957"/>
      <c r="I337" s="957"/>
      <c r="J337" s="3193"/>
      <c r="K337" s="3193"/>
      <c r="L337" s="3193"/>
      <c r="M337" s="3193"/>
      <c r="N337" s="3193"/>
      <c r="O337" s="3193"/>
      <c r="P337" s="3193"/>
      <c r="Q337" s="3193"/>
      <c r="R337" s="3193"/>
      <c r="S337" s="3193"/>
      <c r="T337" s="3193"/>
      <c r="U337" s="3193"/>
    </row>
    <row r="338" spans="1:21" s="960" customFormat="1" ht="14.25" customHeight="1">
      <c r="A338" s="3158" t="s">
        <v>1157</v>
      </c>
      <c r="B338" s="3158" t="s">
        <v>1068</v>
      </c>
      <c r="C338" s="3158">
        <v>3600</v>
      </c>
      <c r="D338" s="3158">
        <v>3570</v>
      </c>
      <c r="E338" s="3158">
        <v>3920</v>
      </c>
      <c r="F338" s="3158">
        <v>790</v>
      </c>
      <c r="G338" s="3167">
        <v>2140</v>
      </c>
      <c r="H338" s="957"/>
      <c r="I338" s="957"/>
      <c r="J338" s="3193"/>
      <c r="K338" s="3193"/>
      <c r="L338" s="3193"/>
      <c r="M338" s="3193"/>
      <c r="N338" s="3193"/>
      <c r="O338" s="3193"/>
      <c r="P338" s="3193"/>
      <c r="Q338" s="3193"/>
      <c r="R338" s="3193"/>
      <c r="S338" s="3193"/>
      <c r="T338" s="3193"/>
      <c r="U338" s="3193"/>
    </row>
    <row r="339" spans="1:21" s="960" customFormat="1" ht="14.25" customHeight="1">
      <c r="A339" s="3158" t="s">
        <v>1157</v>
      </c>
      <c r="B339" s="3158" t="s">
        <v>1076</v>
      </c>
      <c r="C339" s="3158">
        <v>3540</v>
      </c>
      <c r="D339" s="3158">
        <v>3500</v>
      </c>
      <c r="E339" s="3158">
        <v>3850</v>
      </c>
      <c r="F339" s="3158">
        <v>780</v>
      </c>
      <c r="G339" s="3167">
        <v>2100</v>
      </c>
      <c r="H339" s="957"/>
      <c r="I339" s="957"/>
      <c r="J339" s="3193"/>
      <c r="K339" s="3193"/>
      <c r="L339" s="3193"/>
      <c r="M339" s="3193"/>
      <c r="N339" s="3193"/>
      <c r="O339" s="3193"/>
      <c r="P339" s="3193"/>
      <c r="Q339" s="3193"/>
      <c r="R339" s="3193"/>
      <c r="S339" s="3193"/>
      <c r="T339" s="3193"/>
      <c r="U339" s="3193"/>
    </row>
    <row r="340" spans="1:21" s="960" customFormat="1" ht="14.25" customHeight="1">
      <c r="A340" s="3158" t="s">
        <v>1157</v>
      </c>
      <c r="B340" s="3158" t="s">
        <v>2996</v>
      </c>
      <c r="C340" s="3158">
        <v>3850</v>
      </c>
      <c r="D340" s="3158">
        <v>3810</v>
      </c>
      <c r="E340" s="3158">
        <v>4210</v>
      </c>
      <c r="F340" s="3158">
        <v>750</v>
      </c>
      <c r="G340" s="3167">
        <v>2280</v>
      </c>
      <c r="H340" s="957"/>
      <c r="I340" s="957"/>
      <c r="J340" s="3193"/>
      <c r="K340" s="3193"/>
      <c r="L340" s="3193"/>
      <c r="M340" s="3193"/>
      <c r="N340" s="3193"/>
      <c r="O340" s="3193"/>
      <c r="P340" s="3193"/>
      <c r="Q340" s="3193"/>
      <c r="R340" s="3193"/>
      <c r="S340" s="3193"/>
      <c r="T340" s="3193"/>
      <c r="U340" s="3193"/>
    </row>
    <row r="341" spans="1:21" s="960" customFormat="1" ht="14.25" customHeight="1">
      <c r="A341" s="3158" t="s">
        <v>1157</v>
      </c>
      <c r="B341" s="3158" t="s">
        <v>1054</v>
      </c>
      <c r="C341" s="3158">
        <v>3780</v>
      </c>
      <c r="D341" s="3158">
        <v>3750</v>
      </c>
      <c r="E341" s="3158">
        <v>4140</v>
      </c>
      <c r="F341" s="3158">
        <v>720</v>
      </c>
      <c r="G341" s="3158">
        <v>2240</v>
      </c>
      <c r="H341" s="957"/>
      <c r="I341" s="957"/>
      <c r="J341" s="3193"/>
      <c r="K341" s="3193"/>
      <c r="L341" s="3193"/>
      <c r="M341" s="3193"/>
      <c r="N341" s="3193"/>
      <c r="O341" s="3193"/>
      <c r="P341" s="3193"/>
      <c r="Q341" s="3193"/>
      <c r="R341" s="3193"/>
      <c r="S341" s="3193"/>
      <c r="T341" s="3193"/>
      <c r="U341" s="3193"/>
    </row>
    <row r="342" spans="1:21" s="960" customFormat="1" ht="14.25" customHeight="1">
      <c r="A342" s="3158" t="s">
        <v>1157</v>
      </c>
      <c r="B342" s="3158" t="s">
        <v>2997</v>
      </c>
      <c r="C342" s="3158">
        <v>3670</v>
      </c>
      <c r="D342" s="3158">
        <v>3620</v>
      </c>
      <c r="E342" s="3158">
        <v>3990</v>
      </c>
      <c r="F342" s="3158">
        <v>760</v>
      </c>
      <c r="G342" s="3158">
        <v>2170</v>
      </c>
      <c r="H342" s="957"/>
      <c r="I342" s="957"/>
      <c r="J342" s="3193"/>
      <c r="K342" s="3193"/>
      <c r="L342" s="3193"/>
      <c r="M342" s="3193"/>
      <c r="N342" s="3193"/>
      <c r="O342" s="3193"/>
      <c r="P342" s="3193"/>
      <c r="Q342" s="3193"/>
      <c r="R342" s="3193"/>
      <c r="S342" s="3193"/>
      <c r="T342" s="3193"/>
      <c r="U342" s="3193"/>
    </row>
    <row r="343" spans="1:21" s="960" customFormat="1" ht="14.25" customHeight="1">
      <c r="A343" s="3158" t="s">
        <v>1157</v>
      </c>
      <c r="B343" s="3158" t="s">
        <v>1105</v>
      </c>
      <c r="C343" s="3158">
        <v>3760</v>
      </c>
      <c r="D343" s="3158">
        <v>3720</v>
      </c>
      <c r="E343" s="3158">
        <v>4090</v>
      </c>
      <c r="F343" s="3158">
        <v>780</v>
      </c>
      <c r="G343" s="3158">
        <v>2220</v>
      </c>
      <c r="H343" s="957"/>
      <c r="I343" s="957"/>
      <c r="J343" s="3193"/>
      <c r="K343" s="3193"/>
      <c r="L343" s="3193"/>
      <c r="M343" s="3193"/>
      <c r="N343" s="3193"/>
      <c r="O343" s="3193"/>
      <c r="P343" s="3193"/>
      <c r="Q343" s="3193"/>
      <c r="R343" s="3193"/>
      <c r="S343" s="3193"/>
      <c r="T343" s="3193"/>
      <c r="U343" s="3193"/>
    </row>
    <row r="344" spans="1:21" s="960" customFormat="1" ht="14.25" customHeight="1">
      <c r="A344" s="3158" t="s">
        <v>1157</v>
      </c>
      <c r="B344" s="3158" t="s">
        <v>1113</v>
      </c>
      <c r="C344" s="3158">
        <v>3680</v>
      </c>
      <c r="D344" s="3158">
        <v>3640</v>
      </c>
      <c r="E344" s="3158">
        <v>4010</v>
      </c>
      <c r="F344" s="3158">
        <v>750</v>
      </c>
      <c r="G344" s="3158">
        <v>2180</v>
      </c>
      <c r="H344" s="957"/>
      <c r="I344" s="957"/>
      <c r="J344" s="3193"/>
      <c r="K344" s="3193"/>
      <c r="L344" s="3193"/>
      <c r="M344" s="3193"/>
      <c r="N344" s="3193"/>
      <c r="O344" s="3193"/>
      <c r="P344" s="3193"/>
      <c r="Q344" s="3193"/>
      <c r="R344" s="3193"/>
      <c r="S344" s="3193"/>
      <c r="T344" s="3193"/>
      <c r="U344" s="3193"/>
    </row>
    <row r="345" spans="1:21">
      <c r="A345" s="3167" t="s">
        <v>1157</v>
      </c>
      <c r="B345" s="3167" t="s">
        <v>2998</v>
      </c>
      <c r="C345" s="3167">
        <v>3190</v>
      </c>
      <c r="D345" s="3167">
        <v>3140</v>
      </c>
      <c r="E345" s="3167">
        <v>3450</v>
      </c>
      <c r="F345" s="3167">
        <v>720</v>
      </c>
      <c r="G345" s="3167">
        <v>1880</v>
      </c>
      <c r="H345" s="957"/>
    </row>
    <row r="346" spans="1:21">
      <c r="A346" s="3167" t="s">
        <v>1157</v>
      </c>
      <c r="B346" s="3167" t="s">
        <v>2999</v>
      </c>
      <c r="C346" s="3167">
        <v>3630</v>
      </c>
      <c r="D346" s="3167">
        <v>3590</v>
      </c>
      <c r="E346" s="3167">
        <v>3940</v>
      </c>
      <c r="F346" s="3167">
        <v>730</v>
      </c>
      <c r="G346" s="3167">
        <v>2150</v>
      </c>
      <c r="H346" s="957"/>
    </row>
    <row r="347" spans="1:21">
      <c r="A347" s="3167" t="s">
        <v>1157</v>
      </c>
      <c r="B347" s="3167" t="s">
        <v>1091</v>
      </c>
      <c r="C347" s="3167">
        <v>3860</v>
      </c>
      <c r="D347" s="3167">
        <v>3820</v>
      </c>
      <c r="E347" s="3167">
        <v>4220</v>
      </c>
      <c r="F347" s="3167">
        <v>750</v>
      </c>
      <c r="G347" s="3167">
        <v>2280</v>
      </c>
      <c r="H347" s="957"/>
    </row>
    <row r="348" spans="1:21">
      <c r="A348" s="3167" t="s">
        <v>1157</v>
      </c>
      <c r="B348" s="3167" t="s">
        <v>3000</v>
      </c>
      <c r="C348" s="3167">
        <v>4000</v>
      </c>
      <c r="D348" s="3167">
        <v>3950</v>
      </c>
      <c r="E348" s="3167">
        <v>4430</v>
      </c>
      <c r="F348" s="3167">
        <v>760</v>
      </c>
      <c r="G348" s="3167">
        <v>2360</v>
      </c>
      <c r="H348" s="957"/>
    </row>
    <row r="349" spans="1:21">
      <c r="A349" s="3167" t="s">
        <v>1157</v>
      </c>
      <c r="B349" s="3167" t="s">
        <v>3001</v>
      </c>
      <c r="C349" s="3167">
        <v>3820</v>
      </c>
      <c r="D349" s="3167">
        <v>3780</v>
      </c>
      <c r="E349" s="3167">
        <v>4170</v>
      </c>
      <c r="F349" s="3167">
        <v>710</v>
      </c>
      <c r="G349" s="3167">
        <v>2260</v>
      </c>
      <c r="H349" s="957"/>
    </row>
    <row r="350" spans="1:21">
      <c r="A350" s="3167" t="s">
        <v>1157</v>
      </c>
      <c r="B350" s="3167" t="s">
        <v>3002</v>
      </c>
      <c r="C350" s="3167">
        <v>3760</v>
      </c>
      <c r="D350" s="3167">
        <v>3730</v>
      </c>
      <c r="E350" s="3167">
        <v>4100</v>
      </c>
      <c r="F350" s="3167">
        <v>800</v>
      </c>
      <c r="G350" s="3167">
        <v>2230</v>
      </c>
      <c r="H350" s="957"/>
    </row>
    <row r="351" spans="1:21">
      <c r="A351" s="3167" t="s">
        <v>1157</v>
      </c>
      <c r="B351" s="3167" t="s">
        <v>3003</v>
      </c>
      <c r="C351" s="3167">
        <v>3610</v>
      </c>
      <c r="D351" s="3167">
        <v>3580</v>
      </c>
      <c r="E351" s="3167">
        <v>3930</v>
      </c>
      <c r="F351" s="3167">
        <v>700</v>
      </c>
      <c r="G351" s="3167">
        <v>2140</v>
      </c>
      <c r="H351" s="957"/>
    </row>
    <row r="352" spans="1:21">
      <c r="A352" s="3167" t="s">
        <v>1157</v>
      </c>
      <c r="B352" s="3167" t="s">
        <v>3004</v>
      </c>
      <c r="C352" s="3167">
        <v>3670</v>
      </c>
      <c r="D352" s="3167">
        <v>3630</v>
      </c>
      <c r="E352" s="3167">
        <v>4000</v>
      </c>
      <c r="F352" s="3167">
        <v>750</v>
      </c>
      <c r="G352" s="3167">
        <v>2180</v>
      </c>
      <c r="H352" s="957"/>
    </row>
    <row r="353" spans="1:8">
      <c r="A353" s="3167" t="s">
        <v>1157</v>
      </c>
      <c r="B353" s="3167" t="s">
        <v>3005</v>
      </c>
      <c r="C353" s="3167">
        <v>3190</v>
      </c>
      <c r="D353" s="3167">
        <v>3150</v>
      </c>
      <c r="E353" s="3167">
        <v>3640</v>
      </c>
      <c r="F353" s="3167">
        <v>630</v>
      </c>
      <c r="G353" s="3167">
        <v>1890</v>
      </c>
      <c r="H353" s="957"/>
    </row>
    <row r="354" spans="1:8">
      <c r="A354" s="3167" t="s">
        <v>1157</v>
      </c>
      <c r="B354" s="3167" t="s">
        <v>1129</v>
      </c>
      <c r="C354" s="3167">
        <v>3450</v>
      </c>
      <c r="D354" s="3167">
        <v>3420</v>
      </c>
      <c r="E354" s="3167">
        <v>3960</v>
      </c>
      <c r="F354" s="3167">
        <v>660</v>
      </c>
      <c r="G354" s="3167">
        <v>2050</v>
      </c>
      <c r="H354" s="957"/>
    </row>
    <row r="355" spans="1:8">
      <c r="A355" s="3167" t="s">
        <v>1157</v>
      </c>
      <c r="B355" s="3167" t="s">
        <v>3006</v>
      </c>
      <c r="C355" s="3167">
        <v>3650</v>
      </c>
      <c r="D355" s="3167">
        <v>3610</v>
      </c>
      <c r="E355" s="3167">
        <v>4200</v>
      </c>
      <c r="F355" s="3167">
        <v>640</v>
      </c>
      <c r="G355" s="3167">
        <v>2160</v>
      </c>
      <c r="H355" s="957"/>
    </row>
    <row r="356" spans="1:8">
      <c r="A356" s="3167" t="s">
        <v>1157</v>
      </c>
      <c r="B356" s="3167" t="s">
        <v>3007</v>
      </c>
      <c r="C356" s="3167">
        <v>3260</v>
      </c>
      <c r="D356" s="3167">
        <v>3230</v>
      </c>
      <c r="E356" s="3167">
        <v>3740</v>
      </c>
      <c r="F356" s="3167">
        <v>600</v>
      </c>
      <c r="G356" s="3167">
        <v>1930</v>
      </c>
      <c r="H356" s="957"/>
    </row>
    <row r="357" spans="1:8" ht="14.25" thickBot="1">
      <c r="A357" s="3182" t="s">
        <v>1157</v>
      </c>
      <c r="B357" s="3182" t="s">
        <v>3008</v>
      </c>
      <c r="C357" s="3182">
        <v>3690</v>
      </c>
      <c r="D357" s="3182">
        <v>3650</v>
      </c>
      <c r="E357" s="3182">
        <v>4020</v>
      </c>
      <c r="F357" s="3182">
        <v>700</v>
      </c>
      <c r="G357" s="3182">
        <v>2190</v>
      </c>
      <c r="H357" s="957"/>
    </row>
    <row r="358" spans="1:8">
      <c r="A358" s="3183" t="s">
        <v>2760</v>
      </c>
      <c r="B358" s="3184" t="s">
        <v>3009</v>
      </c>
      <c r="C358" s="3184">
        <v>2080</v>
      </c>
      <c r="D358" s="3184">
        <v>2040</v>
      </c>
      <c r="E358" s="3184">
        <v>2010</v>
      </c>
      <c r="F358" s="3184">
        <v>530</v>
      </c>
      <c r="G358" s="3185">
        <v>1230</v>
      </c>
      <c r="H358" s="957"/>
    </row>
    <row r="359" spans="1:8">
      <c r="A359" s="3186" t="s">
        <v>2760</v>
      </c>
      <c r="B359" s="3167" t="s">
        <v>3010</v>
      </c>
      <c r="C359" s="3167">
        <v>1850</v>
      </c>
      <c r="D359" s="3167">
        <v>1820</v>
      </c>
      <c r="E359" s="3167">
        <v>1780</v>
      </c>
      <c r="F359" s="3167">
        <v>520</v>
      </c>
      <c r="G359" s="3179">
        <v>1100</v>
      </c>
      <c r="H359" s="957"/>
    </row>
    <row r="360" spans="1:8">
      <c r="A360" s="3186" t="s">
        <v>2760</v>
      </c>
      <c r="B360" s="3167" t="s">
        <v>3011</v>
      </c>
      <c r="C360" s="3167">
        <v>2020</v>
      </c>
      <c r="D360" s="3167">
        <v>1990</v>
      </c>
      <c r="E360" s="3167">
        <v>1950</v>
      </c>
      <c r="F360" s="3167">
        <v>500</v>
      </c>
      <c r="G360" s="3179">
        <v>1200</v>
      </c>
      <c r="H360" s="957"/>
    </row>
    <row r="361" spans="1:8">
      <c r="A361" s="3186" t="s">
        <v>2760</v>
      </c>
      <c r="B361" s="3167" t="s">
        <v>999</v>
      </c>
      <c r="C361" s="3167">
        <v>2260</v>
      </c>
      <c r="D361" s="3167">
        <v>2220</v>
      </c>
      <c r="E361" s="3167">
        <v>2180</v>
      </c>
      <c r="F361" s="3167">
        <v>580</v>
      </c>
      <c r="G361" s="3179">
        <v>1340</v>
      </c>
      <c r="H361" s="957"/>
    </row>
    <row r="362" spans="1:8">
      <c r="A362" s="3186" t="s">
        <v>2760</v>
      </c>
      <c r="B362" s="3167" t="s">
        <v>3012</v>
      </c>
      <c r="C362" s="3167">
        <v>2650</v>
      </c>
      <c r="D362" s="3167">
        <v>2610</v>
      </c>
      <c r="E362" s="3167">
        <v>2570</v>
      </c>
      <c r="F362" s="3167">
        <v>630</v>
      </c>
      <c r="G362" s="3179">
        <v>1570</v>
      </c>
      <c r="H362" s="957"/>
    </row>
    <row r="363" spans="1:8">
      <c r="A363" s="3186" t="s">
        <v>2760</v>
      </c>
      <c r="B363" s="3167" t="s">
        <v>3013</v>
      </c>
      <c r="C363" s="3167">
        <v>2390</v>
      </c>
      <c r="D363" s="3167">
        <v>2360</v>
      </c>
      <c r="E363" s="3167">
        <v>2320</v>
      </c>
      <c r="F363" s="3167">
        <v>600</v>
      </c>
      <c r="G363" s="3179">
        <v>1420</v>
      </c>
      <c r="H363" s="957"/>
    </row>
    <row r="364" spans="1:8">
      <c r="A364" s="3186" t="s">
        <v>2760</v>
      </c>
      <c r="B364" s="3167" t="s">
        <v>3014</v>
      </c>
      <c r="C364" s="3167">
        <v>2050</v>
      </c>
      <c r="D364" s="3167">
        <v>2030</v>
      </c>
      <c r="E364" s="3167">
        <v>1990</v>
      </c>
      <c r="F364" s="3167">
        <v>550</v>
      </c>
      <c r="G364" s="3179">
        <v>1220</v>
      </c>
      <c r="H364" s="957"/>
    </row>
    <row r="365" spans="1:8">
      <c r="A365" s="3186" t="s">
        <v>2760</v>
      </c>
      <c r="B365" s="3167" t="s">
        <v>1047</v>
      </c>
      <c r="C365" s="3167">
        <v>2140</v>
      </c>
      <c r="D365" s="3167">
        <v>2100</v>
      </c>
      <c r="E365" s="3167">
        <v>2060</v>
      </c>
      <c r="F365" s="3167">
        <v>540</v>
      </c>
      <c r="G365" s="3179">
        <v>1270</v>
      </c>
      <c r="H365" s="957"/>
    </row>
    <row r="366" spans="1:8">
      <c r="A366" s="3186" t="s">
        <v>2760</v>
      </c>
      <c r="B366" s="3167" t="s">
        <v>3015</v>
      </c>
      <c r="C366" s="3167">
        <v>2410</v>
      </c>
      <c r="D366" s="3167">
        <v>2370</v>
      </c>
      <c r="E366" s="3167">
        <v>2330</v>
      </c>
      <c r="F366" s="3167">
        <v>570</v>
      </c>
      <c r="G366" s="3179">
        <v>1440</v>
      </c>
      <c r="H366" s="957"/>
    </row>
    <row r="367" spans="1:8">
      <c r="A367" s="3186" t="s">
        <v>2760</v>
      </c>
      <c r="B367" s="3167" t="s">
        <v>3016</v>
      </c>
      <c r="C367" s="3167">
        <v>2300</v>
      </c>
      <c r="D367" s="3167">
        <v>2260</v>
      </c>
      <c r="E367" s="3167">
        <v>2220</v>
      </c>
      <c r="F367" s="3167">
        <v>560</v>
      </c>
      <c r="G367" s="3179">
        <v>1370</v>
      </c>
      <c r="H367" s="957"/>
    </row>
    <row r="368" spans="1:8">
      <c r="A368" s="3186" t="s">
        <v>2760</v>
      </c>
      <c r="B368" s="3167" t="s">
        <v>3017</v>
      </c>
      <c r="C368" s="3167">
        <v>2430</v>
      </c>
      <c r="D368" s="3167">
        <v>2390</v>
      </c>
      <c r="E368" s="3167">
        <v>2350</v>
      </c>
      <c r="F368" s="3167">
        <v>570</v>
      </c>
      <c r="G368" s="3179">
        <v>1450</v>
      </c>
      <c r="H368" s="957"/>
    </row>
    <row r="369" spans="1:8">
      <c r="A369" s="3186" t="s">
        <v>2760</v>
      </c>
      <c r="B369" s="3167" t="s">
        <v>1061</v>
      </c>
      <c r="C369" s="3167">
        <v>2320</v>
      </c>
      <c r="D369" s="3167">
        <v>2290</v>
      </c>
      <c r="E369" s="3167">
        <v>2250</v>
      </c>
      <c r="F369" s="3167">
        <v>550</v>
      </c>
      <c r="G369" s="3179">
        <v>1380</v>
      </c>
      <c r="H369" s="957"/>
    </row>
    <row r="370" spans="1:8">
      <c r="A370" s="3186" t="s">
        <v>2760</v>
      </c>
      <c r="B370" s="3167" t="s">
        <v>1069</v>
      </c>
      <c r="C370" s="3167">
        <v>2190</v>
      </c>
      <c r="D370" s="3167">
        <v>2170</v>
      </c>
      <c r="E370" s="3167">
        <v>2130</v>
      </c>
      <c r="F370" s="3167">
        <v>530</v>
      </c>
      <c r="G370" s="3179">
        <v>1310</v>
      </c>
      <c r="H370" s="957"/>
    </row>
    <row r="371" spans="1:8">
      <c r="A371" s="3186" t="s">
        <v>2760</v>
      </c>
      <c r="B371" s="3167" t="s">
        <v>1077</v>
      </c>
      <c r="C371" s="3167">
        <v>2460</v>
      </c>
      <c r="D371" s="3167">
        <v>2420</v>
      </c>
      <c r="E371" s="3167">
        <v>2370</v>
      </c>
      <c r="F371" s="3167">
        <v>560</v>
      </c>
      <c r="G371" s="3179">
        <v>1470</v>
      </c>
      <c r="H371" s="957"/>
    </row>
    <row r="372" spans="1:8">
      <c r="A372" s="3186" t="s">
        <v>2760</v>
      </c>
      <c r="B372" s="3167" t="s">
        <v>3018</v>
      </c>
      <c r="C372" s="3167">
        <v>2250</v>
      </c>
      <c r="D372" s="3167">
        <v>2210</v>
      </c>
      <c r="E372" s="3167">
        <v>2180</v>
      </c>
      <c r="F372" s="3167">
        <v>550</v>
      </c>
      <c r="G372" s="3179">
        <v>1340</v>
      </c>
      <c r="H372" s="957"/>
    </row>
    <row r="373" spans="1:8">
      <c r="A373" s="3186" t="s">
        <v>2760</v>
      </c>
      <c r="B373" s="3167" t="s">
        <v>1106</v>
      </c>
      <c r="C373" s="3167">
        <v>2210</v>
      </c>
      <c r="D373" s="3167">
        <v>2190</v>
      </c>
      <c r="E373" s="3167">
        <v>2150</v>
      </c>
      <c r="F373" s="3167">
        <v>530</v>
      </c>
      <c r="G373" s="3179">
        <v>1320</v>
      </c>
      <c r="H373" s="957"/>
    </row>
    <row r="374" spans="1:8">
      <c r="A374" s="3186" t="s">
        <v>2760</v>
      </c>
      <c r="B374" s="3167" t="s">
        <v>1114</v>
      </c>
      <c r="C374" s="3167">
        <v>2320</v>
      </c>
      <c r="D374" s="3167">
        <v>2280</v>
      </c>
      <c r="E374" s="3167">
        <v>2230</v>
      </c>
      <c r="F374" s="3167">
        <v>580</v>
      </c>
      <c r="G374" s="3179">
        <v>1380</v>
      </c>
      <c r="H374" s="957"/>
    </row>
    <row r="375" spans="1:8">
      <c r="A375" s="3186" t="s">
        <v>2760</v>
      </c>
      <c r="B375" s="3167" t="s">
        <v>3019</v>
      </c>
      <c r="C375" s="3167">
        <v>2090</v>
      </c>
      <c r="D375" s="3167">
        <v>2050</v>
      </c>
      <c r="E375" s="3167">
        <v>2020</v>
      </c>
      <c r="F375" s="3167">
        <v>520</v>
      </c>
      <c r="G375" s="3179">
        <v>1240</v>
      </c>
      <c r="H375" s="957"/>
    </row>
    <row r="376" spans="1:8">
      <c r="A376" s="3186" t="s">
        <v>2760</v>
      </c>
      <c r="B376" s="3167" t="s">
        <v>1126</v>
      </c>
      <c r="C376" s="3167">
        <v>2010</v>
      </c>
      <c r="D376" s="3167">
        <v>1980</v>
      </c>
      <c r="E376" s="3167">
        <v>1940</v>
      </c>
      <c r="F376" s="3167">
        <v>540</v>
      </c>
      <c r="G376" s="3179">
        <v>1190</v>
      </c>
      <c r="H376" s="957"/>
    </row>
    <row r="377" spans="1:8" ht="14.25" thickBot="1">
      <c r="A377" s="3188" t="s">
        <v>2760</v>
      </c>
      <c r="B377" s="3182" t="s">
        <v>3020</v>
      </c>
      <c r="C377" s="3182">
        <v>1930</v>
      </c>
      <c r="D377" s="3182">
        <v>1890</v>
      </c>
      <c r="E377" s="3182">
        <v>1860</v>
      </c>
      <c r="F377" s="3182">
        <v>530</v>
      </c>
      <c r="G377" s="3189">
        <v>1150</v>
      </c>
      <c r="H377" s="957"/>
    </row>
    <row r="378" spans="1:8">
      <c r="A378" s="3183" t="s">
        <v>2761</v>
      </c>
      <c r="B378" s="3184" t="s">
        <v>3021</v>
      </c>
      <c r="C378" s="3184">
        <v>1520</v>
      </c>
      <c r="D378" s="3184">
        <v>1490</v>
      </c>
      <c r="E378" s="3184">
        <v>1460</v>
      </c>
      <c r="F378" s="3184">
        <v>460</v>
      </c>
      <c r="G378" s="3185">
        <v>940</v>
      </c>
      <c r="H378" s="957"/>
    </row>
    <row r="379" spans="1:8">
      <c r="A379" s="3186" t="s">
        <v>2761</v>
      </c>
      <c r="B379" s="3167" t="s">
        <v>3022</v>
      </c>
      <c r="C379" s="3167">
        <v>1500</v>
      </c>
      <c r="D379" s="3167">
        <v>1470</v>
      </c>
      <c r="E379" s="3167">
        <v>1430</v>
      </c>
      <c r="F379" s="3167">
        <v>460</v>
      </c>
      <c r="G379" s="3179">
        <v>920</v>
      </c>
      <c r="H379" s="957"/>
    </row>
    <row r="380" spans="1:8">
      <c r="A380" s="3186" t="s">
        <v>2761</v>
      </c>
      <c r="B380" s="3167" t="s">
        <v>3023</v>
      </c>
      <c r="C380" s="3167">
        <v>1620</v>
      </c>
      <c r="D380" s="3167">
        <v>1590</v>
      </c>
      <c r="E380" s="3167">
        <v>1560</v>
      </c>
      <c r="F380" s="3167">
        <v>480</v>
      </c>
      <c r="G380" s="3179">
        <v>1000</v>
      </c>
      <c r="H380" s="957"/>
    </row>
    <row r="381" spans="1:8">
      <c r="A381" s="3186" t="s">
        <v>2761</v>
      </c>
      <c r="B381" s="3167" t="s">
        <v>3024</v>
      </c>
      <c r="C381" s="3167">
        <v>1460</v>
      </c>
      <c r="D381" s="3167">
        <v>1430</v>
      </c>
      <c r="E381" s="3167">
        <v>1390</v>
      </c>
      <c r="F381" s="3167">
        <v>450</v>
      </c>
      <c r="G381" s="3179">
        <v>900</v>
      </c>
      <c r="H381" s="957"/>
    </row>
    <row r="382" spans="1:8">
      <c r="A382" s="3186" t="s">
        <v>2761</v>
      </c>
      <c r="B382" s="3167" t="s">
        <v>3025</v>
      </c>
      <c r="C382" s="3167">
        <v>1310</v>
      </c>
      <c r="D382" s="3167">
        <v>1280</v>
      </c>
      <c r="E382" s="3167">
        <v>1250</v>
      </c>
      <c r="F382" s="3167">
        <v>440</v>
      </c>
      <c r="G382" s="3179">
        <v>800</v>
      </c>
      <c r="H382" s="957"/>
    </row>
    <row r="383" spans="1:8">
      <c r="A383" s="3186" t="s">
        <v>2761</v>
      </c>
      <c r="B383" s="3167" t="s">
        <v>3026</v>
      </c>
      <c r="C383" s="3167">
        <v>1260</v>
      </c>
      <c r="D383" s="3167">
        <v>1230</v>
      </c>
      <c r="E383" s="3167">
        <v>1200</v>
      </c>
      <c r="F383" s="3167">
        <v>420</v>
      </c>
      <c r="G383" s="3179">
        <v>770</v>
      </c>
      <c r="H383" s="957"/>
    </row>
    <row r="384" spans="1:8" ht="14.25" thickBot="1">
      <c r="A384" s="3187" t="s">
        <v>2761</v>
      </c>
      <c r="B384" s="3181" t="s">
        <v>3027</v>
      </c>
      <c r="C384" s="3181">
        <v>1170</v>
      </c>
      <c r="D384" s="3181">
        <v>1140</v>
      </c>
      <c r="E384" s="3181">
        <v>1120</v>
      </c>
      <c r="F384" s="3181">
        <v>400</v>
      </c>
      <c r="G384" s="3177">
        <v>710</v>
      </c>
      <c r="H384" s="95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17"/>
  <sheetViews>
    <sheetView workbookViewId="0">
      <selection sqref="A1:XFD1048576"/>
    </sheetView>
  </sheetViews>
  <sheetFormatPr defaultRowHeight="13.5"/>
  <sheetData>
    <row r="1" spans="1:6">
      <c r="A1" s="3665" t="s">
        <v>3190</v>
      </c>
      <c r="B1" s="3665"/>
      <c r="C1" s="3665"/>
      <c r="D1" s="3665"/>
      <c r="E1" s="3665"/>
      <c r="F1" s="3666"/>
    </row>
    <row r="2" spans="1:6">
      <c r="A2" s="3232" t="s">
        <v>3191</v>
      </c>
      <c r="B2" s="1490"/>
      <c r="C2" s="1490"/>
      <c r="D2" s="1490"/>
      <c r="E2" s="1490"/>
      <c r="F2" s="1490"/>
    </row>
    <row r="3" spans="1:6">
      <c r="A3" s="3232" t="s">
        <v>3192</v>
      </c>
      <c r="B3" s="1490"/>
      <c r="C3" s="1490"/>
      <c r="D3" s="1490"/>
      <c r="E3" s="1490"/>
      <c r="F3" s="3233" t="s">
        <v>3193</v>
      </c>
    </row>
    <row r="4" spans="1:6">
      <c r="A4" s="3234" t="s">
        <v>3188</v>
      </c>
      <c r="B4" s="3234" t="s">
        <v>2736</v>
      </c>
      <c r="C4" s="3234" t="s">
        <v>1212</v>
      </c>
      <c r="D4" s="3234" t="s">
        <v>3189</v>
      </c>
      <c r="E4" s="3234" t="s">
        <v>905</v>
      </c>
      <c r="F4" s="3234" t="s">
        <v>3194</v>
      </c>
    </row>
    <row r="5" spans="1:6">
      <c r="A5" s="3235" t="s">
        <v>2759</v>
      </c>
      <c r="B5" s="3234"/>
      <c r="C5" s="3234"/>
      <c r="D5" s="3234"/>
      <c r="E5" s="3234"/>
      <c r="F5" s="3236"/>
    </row>
    <row r="6" spans="1:6">
      <c r="A6" s="3235" t="s">
        <v>990</v>
      </c>
      <c r="B6" s="3237">
        <v>35380</v>
      </c>
      <c r="C6" s="3237">
        <v>35180</v>
      </c>
      <c r="D6" s="3237">
        <v>35030</v>
      </c>
      <c r="E6" s="3237">
        <v>13780</v>
      </c>
      <c r="F6" s="3237">
        <v>25980</v>
      </c>
    </row>
    <row r="7" spans="1:6">
      <c r="A7" s="3235" t="s">
        <v>1031</v>
      </c>
      <c r="B7" s="3237">
        <v>29960</v>
      </c>
      <c r="C7" s="3237">
        <v>29800</v>
      </c>
      <c r="D7" s="3237">
        <v>29690</v>
      </c>
      <c r="E7" s="3237">
        <v>10100</v>
      </c>
      <c r="F7" s="3237">
        <v>21690</v>
      </c>
    </row>
    <row r="8" spans="1:6">
      <c r="A8" s="3235" t="s">
        <v>1145</v>
      </c>
      <c r="B8" s="3237">
        <v>24480</v>
      </c>
      <c r="C8" s="3237">
        <v>24380</v>
      </c>
      <c r="D8" s="3237">
        <v>25590</v>
      </c>
      <c r="E8" s="3237">
        <v>7010</v>
      </c>
      <c r="F8" s="3237">
        <v>17060</v>
      </c>
    </row>
    <row r="9" spans="1:6">
      <c r="A9" s="3235" t="s">
        <v>853</v>
      </c>
      <c r="B9" s="3237">
        <v>19370</v>
      </c>
      <c r="C9" s="3237">
        <v>19290</v>
      </c>
      <c r="D9" s="3237">
        <v>21280</v>
      </c>
      <c r="E9" s="3237">
        <v>4910</v>
      </c>
      <c r="F9" s="3237">
        <v>13090</v>
      </c>
    </row>
    <row r="10" spans="1:6">
      <c r="A10" s="3235" t="s">
        <v>1152</v>
      </c>
      <c r="B10" s="3237">
        <v>15050</v>
      </c>
      <c r="C10" s="3237">
        <v>14980</v>
      </c>
      <c r="D10" s="3237">
        <v>17300</v>
      </c>
      <c r="E10" s="3237">
        <v>3450</v>
      </c>
      <c r="F10" s="3237">
        <v>9900</v>
      </c>
    </row>
    <row r="11" spans="1:6">
      <c r="A11" s="3235" t="s">
        <v>1153</v>
      </c>
      <c r="B11" s="3237">
        <v>11550</v>
      </c>
      <c r="C11" s="3237">
        <v>11490</v>
      </c>
      <c r="D11" s="3237">
        <v>13850</v>
      </c>
      <c r="E11" s="3237">
        <v>2400</v>
      </c>
      <c r="F11" s="3237">
        <v>7390</v>
      </c>
    </row>
    <row r="12" spans="1:6">
      <c r="A12" s="3235" t="s">
        <v>1154</v>
      </c>
      <c r="B12" s="3237">
        <v>8630</v>
      </c>
      <c r="C12" s="3237">
        <v>8580</v>
      </c>
      <c r="D12" s="3237">
        <v>10740</v>
      </c>
      <c r="E12" s="3237">
        <v>1720</v>
      </c>
      <c r="F12" s="3237">
        <v>5420</v>
      </c>
    </row>
    <row r="13" spans="1:6">
      <c r="A13" s="3235" t="s">
        <v>1155</v>
      </c>
      <c r="B13" s="3237">
        <v>6620</v>
      </c>
      <c r="C13" s="3237">
        <v>6580</v>
      </c>
      <c r="D13" s="3237">
        <v>7830</v>
      </c>
      <c r="E13" s="3237">
        <v>1260</v>
      </c>
      <c r="F13" s="3237">
        <v>4040</v>
      </c>
    </row>
    <row r="14" spans="1:6">
      <c r="A14" s="3235" t="s">
        <v>1156</v>
      </c>
      <c r="B14" s="3237">
        <v>4900</v>
      </c>
      <c r="C14" s="3237">
        <v>4860</v>
      </c>
      <c r="D14" s="3237">
        <v>5540</v>
      </c>
      <c r="E14" s="3237">
        <v>950</v>
      </c>
      <c r="F14" s="3237">
        <v>2930</v>
      </c>
    </row>
    <row r="15" spans="1:6">
      <c r="A15" s="3235" t="s">
        <v>1157</v>
      </c>
      <c r="B15" s="3237">
        <v>3380</v>
      </c>
      <c r="C15" s="3237">
        <v>3340</v>
      </c>
      <c r="D15" s="3237">
        <v>3630</v>
      </c>
      <c r="E15" s="3237">
        <v>730</v>
      </c>
      <c r="F15" s="3237">
        <v>1990</v>
      </c>
    </row>
    <row r="16" spans="1:6">
      <c r="A16" s="3235" t="s">
        <v>2760</v>
      </c>
      <c r="B16" s="3237">
        <v>2230</v>
      </c>
      <c r="C16" s="3237">
        <v>2200</v>
      </c>
      <c r="D16" s="3237">
        <v>2180</v>
      </c>
      <c r="E16" s="3237">
        <v>570</v>
      </c>
      <c r="F16" s="3237">
        <v>1330</v>
      </c>
    </row>
    <row r="17" spans="1:6">
      <c r="A17" s="3235" t="s">
        <v>2761</v>
      </c>
      <c r="B17" s="3237">
        <v>1390</v>
      </c>
      <c r="C17" s="3237">
        <v>1360</v>
      </c>
      <c r="D17" s="3237">
        <v>1340</v>
      </c>
      <c r="E17" s="3237">
        <v>450</v>
      </c>
      <c r="F17" s="3237">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460"/>
  <sheetViews>
    <sheetView topLeftCell="A341" zoomScale="70" zoomScaleNormal="70" workbookViewId="0">
      <selection activeCell="A341" sqref="A1:XFD1048576"/>
    </sheetView>
  </sheetViews>
  <sheetFormatPr defaultColWidth="9" defaultRowHeight="13.5"/>
  <cols>
    <col min="1" max="1" width="9" style="939"/>
    <col min="2" max="16384" width="9" style="921"/>
  </cols>
  <sheetData>
    <row r="1" spans="1:14" ht="14.25">
      <c r="A1" s="3085" t="s">
        <v>2773</v>
      </c>
      <c r="B1" s="920"/>
      <c r="C1" s="920"/>
      <c r="D1" s="920"/>
      <c r="E1" s="920"/>
      <c r="F1" s="920"/>
      <c r="G1" s="920"/>
      <c r="H1" s="920"/>
      <c r="I1" s="920"/>
      <c r="J1" s="920"/>
      <c r="K1" s="920"/>
      <c r="L1" s="920"/>
      <c r="M1" s="920"/>
      <c r="N1" s="920"/>
    </row>
    <row r="2" spans="1:14">
      <c r="A2" s="922" t="s">
        <v>1550</v>
      </c>
      <c r="B2" s="923" t="s">
        <v>990</v>
      </c>
      <c r="C2" s="923" t="s">
        <v>1031</v>
      </c>
      <c r="D2" s="923" t="s">
        <v>1145</v>
      </c>
      <c r="E2" s="923" t="s">
        <v>853</v>
      </c>
      <c r="F2" s="923" t="s">
        <v>1152</v>
      </c>
      <c r="G2" s="923" t="s">
        <v>1153</v>
      </c>
      <c r="H2" s="924" t="s">
        <v>1154</v>
      </c>
      <c r="I2" s="924" t="s">
        <v>1155</v>
      </c>
      <c r="J2" s="925" t="s">
        <v>1156</v>
      </c>
      <c r="K2" s="925" t="s">
        <v>1157</v>
      </c>
      <c r="L2" s="925" t="s">
        <v>2760</v>
      </c>
      <c r="M2" s="925" t="s">
        <v>2761</v>
      </c>
    </row>
    <row r="3" spans="1:14">
      <c r="A3" s="922">
        <v>1</v>
      </c>
      <c r="B3" s="931">
        <v>1.2574000000000001</v>
      </c>
      <c r="C3" s="931">
        <v>1.2574000000000001</v>
      </c>
      <c r="D3" s="931">
        <v>1.2299</v>
      </c>
      <c r="E3" s="931">
        <v>1.2299</v>
      </c>
      <c r="F3" s="931">
        <v>1.2299</v>
      </c>
      <c r="G3" s="931">
        <v>1.2299</v>
      </c>
      <c r="H3" s="931">
        <v>1.2299</v>
      </c>
      <c r="I3" s="931">
        <v>1.2333000000000001</v>
      </c>
      <c r="J3" s="931">
        <v>1.2333000000000001</v>
      </c>
      <c r="K3" s="931">
        <v>1.2333000000000001</v>
      </c>
      <c r="L3" s="931">
        <v>1.2333000000000001</v>
      </c>
      <c r="M3" s="931">
        <v>1.2333000000000001</v>
      </c>
    </row>
    <row r="4" spans="1:14">
      <c r="A4" s="922">
        <v>1.1000000000000001</v>
      </c>
      <c r="B4" s="931">
        <v>1.2283999999999999</v>
      </c>
      <c r="C4" s="931">
        <v>1.2283999999999999</v>
      </c>
      <c r="D4" s="931">
        <v>1.1984999999999999</v>
      </c>
      <c r="E4" s="931">
        <v>1.1984999999999999</v>
      </c>
      <c r="F4" s="931">
        <v>1.1984999999999999</v>
      </c>
      <c r="G4" s="931">
        <v>1.1984999999999999</v>
      </c>
      <c r="H4" s="931">
        <v>1.1984999999999999</v>
      </c>
      <c r="I4" s="931">
        <v>1.1899</v>
      </c>
      <c r="J4" s="931">
        <v>1.1899</v>
      </c>
      <c r="K4" s="931">
        <v>1.1899</v>
      </c>
      <c r="L4" s="931">
        <v>1.1899</v>
      </c>
      <c r="M4" s="931">
        <v>1.1899</v>
      </c>
    </row>
    <row r="5" spans="1:14">
      <c r="A5" s="922">
        <v>1.2</v>
      </c>
      <c r="B5" s="931">
        <v>1.2031000000000001</v>
      </c>
      <c r="C5" s="931">
        <v>1.2031000000000001</v>
      </c>
      <c r="D5" s="931">
        <v>1.1711</v>
      </c>
      <c r="E5" s="931">
        <v>1.1711</v>
      </c>
      <c r="F5" s="931">
        <v>1.1711</v>
      </c>
      <c r="G5" s="931">
        <v>1.1711</v>
      </c>
      <c r="H5" s="931">
        <v>1.1711</v>
      </c>
      <c r="I5" s="931">
        <v>1.1528</v>
      </c>
      <c r="J5" s="931">
        <v>1.1528</v>
      </c>
      <c r="K5" s="931">
        <v>1.1528</v>
      </c>
      <c r="L5" s="931">
        <v>1.1528</v>
      </c>
      <c r="M5" s="931">
        <v>1.1528</v>
      </c>
    </row>
    <row r="6" spans="1:14">
      <c r="A6" s="922">
        <v>1.3</v>
      </c>
      <c r="B6" s="931">
        <v>1.1811</v>
      </c>
      <c r="C6" s="931">
        <v>1.1811</v>
      </c>
      <c r="D6" s="931">
        <v>1.1472</v>
      </c>
      <c r="E6" s="931">
        <v>1.1472</v>
      </c>
      <c r="F6" s="931">
        <v>1.1472</v>
      </c>
      <c r="G6" s="931">
        <v>1.1472</v>
      </c>
      <c r="H6" s="931">
        <v>1.1472</v>
      </c>
      <c r="I6" s="931">
        <v>1.1214</v>
      </c>
      <c r="J6" s="931">
        <v>1.1214</v>
      </c>
      <c r="K6" s="931">
        <v>1.1214</v>
      </c>
      <c r="L6" s="931">
        <v>1.1214</v>
      </c>
      <c r="M6" s="931">
        <v>1.1214</v>
      </c>
    </row>
    <row r="7" spans="1:14">
      <c r="A7" s="922">
        <v>1.4</v>
      </c>
      <c r="B7" s="931">
        <v>1.1619999999999999</v>
      </c>
      <c r="C7" s="931">
        <v>1.1619999999999999</v>
      </c>
      <c r="D7" s="931">
        <v>1.1265000000000001</v>
      </c>
      <c r="E7" s="931">
        <v>1.1265000000000001</v>
      </c>
      <c r="F7" s="931">
        <v>1.1265000000000001</v>
      </c>
      <c r="G7" s="931">
        <v>1.1265000000000001</v>
      </c>
      <c r="H7" s="931">
        <v>1.1265000000000001</v>
      </c>
      <c r="I7" s="931">
        <v>1.0948</v>
      </c>
      <c r="J7" s="931">
        <v>1.0948</v>
      </c>
      <c r="K7" s="931">
        <v>1.0948</v>
      </c>
      <c r="L7" s="931">
        <v>1.0948</v>
      </c>
      <c r="M7" s="931">
        <v>1.0948</v>
      </c>
    </row>
    <row r="8" spans="1:14">
      <c r="A8" s="922">
        <v>1.5</v>
      </c>
      <c r="B8" s="931">
        <v>1.1453</v>
      </c>
      <c r="C8" s="931">
        <v>1.1453</v>
      </c>
      <c r="D8" s="931">
        <v>1.1084000000000001</v>
      </c>
      <c r="E8" s="931">
        <v>1.1084000000000001</v>
      </c>
      <c r="F8" s="931">
        <v>1.1084000000000001</v>
      </c>
      <c r="G8" s="931">
        <v>1.1084000000000001</v>
      </c>
      <c r="H8" s="931">
        <v>1.1084000000000001</v>
      </c>
      <c r="I8" s="931">
        <v>1.0725</v>
      </c>
      <c r="J8" s="931">
        <v>1.0725</v>
      </c>
      <c r="K8" s="931">
        <v>1.0725</v>
      </c>
      <c r="L8" s="931">
        <v>1.0725</v>
      </c>
      <c r="M8" s="931">
        <v>1.0725</v>
      </c>
    </row>
    <row r="9" spans="1:14">
      <c r="A9" s="922">
        <v>1.6</v>
      </c>
      <c r="B9" s="931">
        <v>1.1306</v>
      </c>
      <c r="C9" s="931">
        <v>1.1306</v>
      </c>
      <c r="D9" s="931">
        <v>1.0924</v>
      </c>
      <c r="E9" s="931">
        <v>1.0924</v>
      </c>
      <c r="F9" s="931">
        <v>1.0924</v>
      </c>
      <c r="G9" s="931">
        <v>1.0924</v>
      </c>
      <c r="H9" s="931">
        <v>1.0924</v>
      </c>
      <c r="I9" s="931">
        <v>1.0538000000000001</v>
      </c>
      <c r="J9" s="931">
        <v>1.0538000000000001</v>
      </c>
      <c r="K9" s="931">
        <v>1.0538000000000001</v>
      </c>
      <c r="L9" s="931">
        <v>1.0538000000000001</v>
      </c>
      <c r="M9" s="931">
        <v>1.0538000000000001</v>
      </c>
    </row>
    <row r="10" spans="1:14">
      <c r="A10" s="922">
        <v>1.7</v>
      </c>
      <c r="B10" s="931">
        <v>1.1175999999999999</v>
      </c>
      <c r="C10" s="931">
        <v>1.1175999999999999</v>
      </c>
      <c r="D10" s="931">
        <v>1.0783</v>
      </c>
      <c r="E10" s="931">
        <v>1.0783</v>
      </c>
      <c r="F10" s="931">
        <v>1.0783</v>
      </c>
      <c r="G10" s="931">
        <v>1.0783</v>
      </c>
      <c r="H10" s="931">
        <v>1.0783</v>
      </c>
      <c r="I10" s="931">
        <v>1.0379</v>
      </c>
      <c r="J10" s="931">
        <v>1.0379</v>
      </c>
      <c r="K10" s="931">
        <v>1.0379</v>
      </c>
      <c r="L10" s="931">
        <v>1.0379</v>
      </c>
      <c r="M10" s="931">
        <v>1.0379</v>
      </c>
    </row>
    <row r="11" spans="1:14">
      <c r="A11" s="922">
        <v>1.8</v>
      </c>
      <c r="B11" s="931">
        <v>1.1057999999999999</v>
      </c>
      <c r="C11" s="931">
        <v>1.1057999999999999</v>
      </c>
      <c r="D11" s="931">
        <v>1.0653999999999999</v>
      </c>
      <c r="E11" s="931">
        <v>1.0653999999999999</v>
      </c>
      <c r="F11" s="931">
        <v>1.0653999999999999</v>
      </c>
      <c r="G11" s="931">
        <v>1.0653999999999999</v>
      </c>
      <c r="H11" s="931">
        <v>1.0653999999999999</v>
      </c>
      <c r="I11" s="931">
        <v>1.0241</v>
      </c>
      <c r="J11" s="931">
        <v>1.0241</v>
      </c>
      <c r="K11" s="931">
        <v>1.0241</v>
      </c>
      <c r="L11" s="931">
        <v>1.0241</v>
      </c>
      <c r="M11" s="931">
        <v>1.0241</v>
      </c>
    </row>
    <row r="12" spans="1:14">
      <c r="A12" s="922">
        <v>1.9</v>
      </c>
      <c r="B12" s="931">
        <v>1.0949</v>
      </c>
      <c r="C12" s="931">
        <v>1.0949</v>
      </c>
      <c r="D12" s="931">
        <v>1.0537000000000001</v>
      </c>
      <c r="E12" s="931">
        <v>1.0537000000000001</v>
      </c>
      <c r="F12" s="931">
        <v>1.0537000000000001</v>
      </c>
      <c r="G12" s="931">
        <v>1.0537000000000001</v>
      </c>
      <c r="H12" s="931">
        <v>1.0537000000000001</v>
      </c>
      <c r="I12" s="931">
        <v>1.0117</v>
      </c>
      <c r="J12" s="931">
        <v>1.0117</v>
      </c>
      <c r="K12" s="931">
        <v>1.0117</v>
      </c>
      <c r="L12" s="931">
        <v>1.0117</v>
      </c>
      <c r="M12" s="931">
        <v>1.0117</v>
      </c>
    </row>
    <row r="13" spans="1:14">
      <c r="A13" s="922">
        <v>2</v>
      </c>
      <c r="B13" s="931">
        <v>1.0847</v>
      </c>
      <c r="C13" s="931">
        <v>1.0847</v>
      </c>
      <c r="D13" s="931">
        <v>1.0427</v>
      </c>
      <c r="E13" s="931">
        <v>1.0427</v>
      </c>
      <c r="F13" s="931">
        <v>1.0427</v>
      </c>
      <c r="G13" s="931">
        <v>1.0427</v>
      </c>
      <c r="H13" s="931">
        <v>1.0427</v>
      </c>
      <c r="I13" s="931">
        <v>1</v>
      </c>
      <c r="J13" s="931">
        <v>1</v>
      </c>
      <c r="K13" s="931">
        <v>1</v>
      </c>
      <c r="L13" s="931">
        <v>1</v>
      </c>
      <c r="M13" s="931">
        <v>1</v>
      </c>
    </row>
    <row r="14" spans="1:14">
      <c r="A14" s="922">
        <v>2.1</v>
      </c>
      <c r="B14" s="931">
        <v>1.0749</v>
      </c>
      <c r="C14" s="931">
        <v>1.0749</v>
      </c>
      <c r="D14" s="931">
        <v>1.0327999999999999</v>
      </c>
      <c r="E14" s="931">
        <v>1.0327999999999999</v>
      </c>
      <c r="F14" s="931">
        <v>1.0327999999999999</v>
      </c>
      <c r="G14" s="931">
        <v>1.0327999999999999</v>
      </c>
      <c r="H14" s="931">
        <v>1.0327999999999999</v>
      </c>
      <c r="I14" s="931">
        <v>0.98819999999999997</v>
      </c>
      <c r="J14" s="931">
        <v>0.98819999999999997</v>
      </c>
      <c r="K14" s="931">
        <v>0.98819999999999997</v>
      </c>
      <c r="L14" s="931">
        <v>0.98819999999999997</v>
      </c>
      <c r="M14" s="931">
        <v>0.98819999999999997</v>
      </c>
    </row>
    <row r="15" spans="1:14">
      <c r="A15" s="922">
        <v>2.2000000000000002</v>
      </c>
      <c r="B15" s="931">
        <v>1.0663</v>
      </c>
      <c r="C15" s="931">
        <v>1.0663</v>
      </c>
      <c r="D15" s="931">
        <v>1.0237000000000001</v>
      </c>
      <c r="E15" s="931">
        <v>1.0237000000000001</v>
      </c>
      <c r="F15" s="931">
        <v>1.0237000000000001</v>
      </c>
      <c r="G15" s="931">
        <v>1.0237000000000001</v>
      </c>
      <c r="H15" s="931">
        <v>1.0237000000000001</v>
      </c>
      <c r="I15" s="931">
        <v>0.9768</v>
      </c>
      <c r="J15" s="931">
        <v>0.9768</v>
      </c>
      <c r="K15" s="931">
        <v>0.9768</v>
      </c>
      <c r="L15" s="931">
        <v>0.9768</v>
      </c>
      <c r="M15" s="931">
        <v>0.9768</v>
      </c>
    </row>
    <row r="16" spans="1:14">
      <c r="A16" s="922">
        <v>2.2999999999999998</v>
      </c>
      <c r="B16" s="931">
        <v>1.0584</v>
      </c>
      <c r="C16" s="931">
        <v>1.0584</v>
      </c>
      <c r="D16" s="931">
        <v>1.0152000000000001</v>
      </c>
      <c r="E16" s="931">
        <v>1.0152000000000001</v>
      </c>
      <c r="F16" s="931">
        <v>1.0152000000000001</v>
      </c>
      <c r="G16" s="931">
        <v>1.0152000000000001</v>
      </c>
      <c r="H16" s="931">
        <v>1.0152000000000001</v>
      </c>
      <c r="I16" s="931">
        <v>0.96609999999999996</v>
      </c>
      <c r="J16" s="931">
        <v>0.96609999999999996</v>
      </c>
      <c r="K16" s="931">
        <v>0.96609999999999996</v>
      </c>
      <c r="L16" s="931">
        <v>0.96609999999999996</v>
      </c>
      <c r="M16" s="931">
        <v>0.96609999999999996</v>
      </c>
    </row>
    <row r="17" spans="1:13">
      <c r="A17" s="922">
        <v>2.4</v>
      </c>
      <c r="B17" s="931">
        <v>1.0511999999999999</v>
      </c>
      <c r="C17" s="931">
        <v>1.0511999999999999</v>
      </c>
      <c r="D17" s="931">
        <v>1.0074000000000001</v>
      </c>
      <c r="E17" s="931">
        <v>1.0074000000000001</v>
      </c>
      <c r="F17" s="931">
        <v>1.0074000000000001</v>
      </c>
      <c r="G17" s="931">
        <v>1.0074000000000001</v>
      </c>
      <c r="H17" s="931">
        <v>1.0074000000000001</v>
      </c>
      <c r="I17" s="931">
        <v>0.95579999999999998</v>
      </c>
      <c r="J17" s="931">
        <v>0.95579999999999998</v>
      </c>
      <c r="K17" s="931">
        <v>0.95579999999999998</v>
      </c>
      <c r="L17" s="931">
        <v>0.95579999999999998</v>
      </c>
      <c r="M17" s="931">
        <v>0.95579999999999998</v>
      </c>
    </row>
    <row r="18" spans="1:13">
      <c r="A18" s="922">
        <v>2.5</v>
      </c>
      <c r="B18" s="931">
        <v>1.0445</v>
      </c>
      <c r="C18" s="931">
        <v>1.0445</v>
      </c>
      <c r="D18" s="931">
        <v>1</v>
      </c>
      <c r="E18" s="931">
        <v>1</v>
      </c>
      <c r="F18" s="931">
        <v>1</v>
      </c>
      <c r="G18" s="931">
        <v>1</v>
      </c>
      <c r="H18" s="931">
        <v>1</v>
      </c>
      <c r="I18" s="931">
        <v>0.94620000000000004</v>
      </c>
      <c r="J18" s="931">
        <v>0.94620000000000004</v>
      </c>
      <c r="K18" s="931">
        <v>0.94620000000000004</v>
      </c>
      <c r="L18" s="931">
        <v>0.94620000000000004</v>
      </c>
      <c r="M18" s="931">
        <v>0.94620000000000004</v>
      </c>
    </row>
    <row r="19" spans="1:13">
      <c r="A19" s="922">
        <v>2.6</v>
      </c>
      <c r="B19" s="931">
        <v>1.0386</v>
      </c>
      <c r="C19" s="931">
        <v>1.0386</v>
      </c>
      <c r="D19" s="931">
        <v>0.99350000000000005</v>
      </c>
      <c r="E19" s="931">
        <v>0.99350000000000005</v>
      </c>
      <c r="F19" s="931">
        <v>0.99350000000000005</v>
      </c>
      <c r="G19" s="931">
        <v>0.99350000000000005</v>
      </c>
      <c r="H19" s="931">
        <v>0.99350000000000005</v>
      </c>
      <c r="I19" s="931">
        <v>0.93710000000000004</v>
      </c>
      <c r="J19" s="931">
        <v>0.93710000000000004</v>
      </c>
      <c r="K19" s="931">
        <v>0.93710000000000004</v>
      </c>
      <c r="L19" s="931">
        <v>0.93710000000000004</v>
      </c>
      <c r="M19" s="931">
        <v>0.93710000000000004</v>
      </c>
    </row>
    <row r="20" spans="1:13">
      <c r="A20" s="922">
        <v>2.7</v>
      </c>
      <c r="B20" s="931">
        <v>1.0331999999999999</v>
      </c>
      <c r="C20" s="931">
        <v>1.0331999999999999</v>
      </c>
      <c r="D20" s="931">
        <v>0.98770000000000002</v>
      </c>
      <c r="E20" s="931">
        <v>0.98770000000000002</v>
      </c>
      <c r="F20" s="931">
        <v>0.98770000000000002</v>
      </c>
      <c r="G20" s="931">
        <v>0.98770000000000002</v>
      </c>
      <c r="H20" s="931">
        <v>0.98770000000000002</v>
      </c>
      <c r="I20" s="931">
        <v>0.92859999999999998</v>
      </c>
      <c r="J20" s="931">
        <v>0.92859999999999998</v>
      </c>
      <c r="K20" s="931">
        <v>0.92859999999999998</v>
      </c>
      <c r="L20" s="931">
        <v>0.92859999999999998</v>
      </c>
      <c r="M20" s="931">
        <v>0.92859999999999998</v>
      </c>
    </row>
    <row r="21" spans="1:13">
      <c r="A21" s="922">
        <v>2.8</v>
      </c>
      <c r="B21" s="931">
        <v>1.0282</v>
      </c>
      <c r="C21" s="931">
        <v>1.0282</v>
      </c>
      <c r="D21" s="931">
        <v>0.98260000000000003</v>
      </c>
      <c r="E21" s="931">
        <v>0.98260000000000003</v>
      </c>
      <c r="F21" s="931">
        <v>0.98260000000000003</v>
      </c>
      <c r="G21" s="931">
        <v>0.98260000000000003</v>
      </c>
      <c r="H21" s="931">
        <v>0.98260000000000003</v>
      </c>
      <c r="I21" s="931">
        <v>0.92069999999999996</v>
      </c>
      <c r="J21" s="931">
        <v>0.92069999999999996</v>
      </c>
      <c r="K21" s="931">
        <v>0.92069999999999996</v>
      </c>
      <c r="L21" s="931">
        <v>0.92069999999999996</v>
      </c>
      <c r="M21" s="931">
        <v>0.92069999999999996</v>
      </c>
    </row>
    <row r="22" spans="1:13">
      <c r="A22" s="922">
        <v>2.9</v>
      </c>
      <c r="B22" s="931">
        <v>1.0235000000000001</v>
      </c>
      <c r="C22" s="931">
        <v>1.0235000000000001</v>
      </c>
      <c r="D22" s="931">
        <v>0.97770000000000001</v>
      </c>
      <c r="E22" s="931">
        <v>0.97770000000000001</v>
      </c>
      <c r="F22" s="931">
        <v>0.97770000000000001</v>
      </c>
      <c r="G22" s="931">
        <v>0.97770000000000001</v>
      </c>
      <c r="H22" s="931">
        <v>0.97770000000000001</v>
      </c>
      <c r="I22" s="931">
        <v>0.9133</v>
      </c>
      <c r="J22" s="931">
        <v>0.9133</v>
      </c>
      <c r="K22" s="931">
        <v>0.9133</v>
      </c>
      <c r="L22" s="931">
        <v>0.9133</v>
      </c>
      <c r="M22" s="931">
        <v>0.9133</v>
      </c>
    </row>
    <row r="23" spans="1:13">
      <c r="A23" s="938">
        <v>3</v>
      </c>
      <c r="B23" s="931">
        <v>1.0190999999999999</v>
      </c>
      <c r="C23" s="931">
        <v>1.0190999999999999</v>
      </c>
      <c r="D23" s="931">
        <v>0.97299999999999998</v>
      </c>
      <c r="E23" s="931">
        <v>0.97299999999999998</v>
      </c>
      <c r="F23" s="931">
        <v>0.97299999999999998</v>
      </c>
      <c r="G23" s="931">
        <v>0.97299999999999998</v>
      </c>
      <c r="H23" s="931">
        <v>0.97299999999999998</v>
      </c>
      <c r="I23" s="931">
        <v>0.90629999999999999</v>
      </c>
      <c r="J23" s="931">
        <v>0.90629999999999999</v>
      </c>
      <c r="K23" s="931">
        <v>0.90629999999999999</v>
      </c>
      <c r="L23" s="931">
        <v>0.90629999999999999</v>
      </c>
      <c r="M23" s="931">
        <v>0.90629999999999999</v>
      </c>
    </row>
    <row r="24" spans="1:13">
      <c r="A24" s="938">
        <v>3.1</v>
      </c>
      <c r="B24" s="931">
        <v>1.0148999999999999</v>
      </c>
      <c r="C24" s="931">
        <v>1.0148999999999999</v>
      </c>
      <c r="D24" s="931">
        <v>0.96840000000000004</v>
      </c>
      <c r="E24" s="931">
        <v>0.96840000000000004</v>
      </c>
      <c r="F24" s="931">
        <v>0.96840000000000004</v>
      </c>
      <c r="G24" s="931">
        <v>0.96840000000000004</v>
      </c>
      <c r="H24" s="931">
        <v>0.96840000000000004</v>
      </c>
      <c r="I24" s="931">
        <v>0.89959999999999996</v>
      </c>
      <c r="J24" s="931">
        <v>0.89959999999999996</v>
      </c>
      <c r="K24" s="931">
        <v>0.89959999999999996</v>
      </c>
      <c r="L24" s="931">
        <v>0.89959999999999996</v>
      </c>
      <c r="M24" s="931">
        <v>0.89959999999999996</v>
      </c>
    </row>
    <row r="25" spans="1:13">
      <c r="A25" s="938">
        <v>3.2</v>
      </c>
      <c r="B25" s="931">
        <v>1.0108999999999999</v>
      </c>
      <c r="C25" s="931">
        <v>1.0108999999999999</v>
      </c>
      <c r="D25" s="931">
        <v>0.96399999999999997</v>
      </c>
      <c r="E25" s="931">
        <v>0.96399999999999997</v>
      </c>
      <c r="F25" s="931">
        <v>0.96399999999999997</v>
      </c>
      <c r="G25" s="931">
        <v>0.96399999999999997</v>
      </c>
      <c r="H25" s="931">
        <v>0.96399999999999997</v>
      </c>
      <c r="I25" s="931">
        <v>0.89319999999999999</v>
      </c>
      <c r="J25" s="931">
        <v>0.89319999999999999</v>
      </c>
      <c r="K25" s="931">
        <v>0.89319999999999999</v>
      </c>
      <c r="L25" s="931">
        <v>0.89319999999999999</v>
      </c>
      <c r="M25" s="931">
        <v>0.89319999999999999</v>
      </c>
    </row>
    <row r="26" spans="1:13">
      <c r="A26" s="938">
        <v>3.3</v>
      </c>
      <c r="B26" s="931">
        <v>1.0071000000000001</v>
      </c>
      <c r="C26" s="931">
        <v>1.0071000000000001</v>
      </c>
      <c r="D26" s="931">
        <v>0.95979999999999999</v>
      </c>
      <c r="E26" s="931">
        <v>0.95979999999999999</v>
      </c>
      <c r="F26" s="931">
        <v>0.95979999999999999</v>
      </c>
      <c r="G26" s="931">
        <v>0.95979999999999999</v>
      </c>
      <c r="H26" s="931">
        <v>0.95979999999999999</v>
      </c>
      <c r="I26" s="931">
        <v>0.8871</v>
      </c>
      <c r="J26" s="931">
        <v>0.8871</v>
      </c>
      <c r="K26" s="931">
        <v>0.8871</v>
      </c>
      <c r="L26" s="931">
        <v>0.8871</v>
      </c>
      <c r="M26" s="931">
        <v>0.8871</v>
      </c>
    </row>
    <row r="27" spans="1:13">
      <c r="A27" s="938">
        <v>3.4</v>
      </c>
      <c r="B27" s="931">
        <v>1.0035000000000001</v>
      </c>
      <c r="C27" s="931">
        <v>1.0035000000000001</v>
      </c>
      <c r="D27" s="931">
        <v>0.95579999999999998</v>
      </c>
      <c r="E27" s="931">
        <v>0.95579999999999998</v>
      </c>
      <c r="F27" s="931">
        <v>0.95579999999999998</v>
      </c>
      <c r="G27" s="931">
        <v>0.95579999999999998</v>
      </c>
      <c r="H27" s="931">
        <v>0.95579999999999998</v>
      </c>
      <c r="I27" s="931">
        <v>0.88119999999999998</v>
      </c>
      <c r="J27" s="931">
        <v>0.88119999999999998</v>
      </c>
      <c r="K27" s="931">
        <v>0.88119999999999998</v>
      </c>
      <c r="L27" s="931">
        <v>0.88119999999999998</v>
      </c>
      <c r="M27" s="931">
        <v>0.88119999999999998</v>
      </c>
    </row>
    <row r="28" spans="1:13">
      <c r="A28" s="938">
        <v>3.5</v>
      </c>
      <c r="B28" s="931">
        <v>1</v>
      </c>
      <c r="C28" s="931">
        <v>1</v>
      </c>
      <c r="D28" s="931">
        <v>0.95199999999999996</v>
      </c>
      <c r="E28" s="931">
        <v>0.95199999999999996</v>
      </c>
      <c r="F28" s="931">
        <v>0.95199999999999996</v>
      </c>
      <c r="G28" s="931">
        <v>0.95199999999999996</v>
      </c>
      <c r="H28" s="931">
        <v>0.95199999999999996</v>
      </c>
      <c r="I28" s="931">
        <v>0.87549999999999994</v>
      </c>
      <c r="J28" s="931">
        <v>0.87549999999999994</v>
      </c>
      <c r="K28" s="931">
        <v>0.87549999999999994</v>
      </c>
      <c r="L28" s="931">
        <v>0.87549999999999994</v>
      </c>
      <c r="M28" s="931">
        <v>0.87549999999999994</v>
      </c>
    </row>
    <row r="29" spans="1:13">
      <c r="A29" s="938">
        <v>3.6</v>
      </c>
      <c r="B29" s="931">
        <v>0.99660000000000004</v>
      </c>
      <c r="C29" s="931">
        <v>0.99660000000000004</v>
      </c>
      <c r="D29" s="931">
        <v>0.94840000000000002</v>
      </c>
      <c r="E29" s="931">
        <v>0.94840000000000002</v>
      </c>
      <c r="F29" s="931">
        <v>0.94840000000000002</v>
      </c>
      <c r="G29" s="931">
        <v>0.94840000000000002</v>
      </c>
      <c r="H29" s="931">
        <v>0.94840000000000002</v>
      </c>
      <c r="I29" s="931">
        <v>0.87</v>
      </c>
      <c r="J29" s="931">
        <v>0.87</v>
      </c>
      <c r="K29" s="931">
        <v>0.87</v>
      </c>
      <c r="L29" s="931">
        <v>0.87</v>
      </c>
      <c r="M29" s="931">
        <v>0.87</v>
      </c>
    </row>
    <row r="30" spans="1:13">
      <c r="A30" s="938">
        <v>3.7</v>
      </c>
      <c r="B30" s="931">
        <v>0.99329999999999996</v>
      </c>
      <c r="C30" s="931">
        <v>0.99329999999999996</v>
      </c>
      <c r="D30" s="931">
        <v>0.94499999999999995</v>
      </c>
      <c r="E30" s="931">
        <v>0.94499999999999995</v>
      </c>
      <c r="F30" s="931">
        <v>0.94499999999999995</v>
      </c>
      <c r="G30" s="931">
        <v>0.94499999999999995</v>
      </c>
      <c r="H30" s="931">
        <v>0.94499999999999995</v>
      </c>
      <c r="I30" s="931">
        <v>0.86470000000000002</v>
      </c>
      <c r="J30" s="931">
        <v>0.86470000000000002</v>
      </c>
      <c r="K30" s="931">
        <v>0.86470000000000002</v>
      </c>
      <c r="L30" s="931">
        <v>0.86470000000000002</v>
      </c>
      <c r="M30" s="931">
        <v>0.86470000000000002</v>
      </c>
    </row>
    <row r="31" spans="1:13">
      <c r="A31" s="938">
        <v>3.8</v>
      </c>
      <c r="B31" s="931">
        <v>0.99009999999999998</v>
      </c>
      <c r="C31" s="931">
        <v>0.99009999999999998</v>
      </c>
      <c r="D31" s="931">
        <v>0.94169999999999998</v>
      </c>
      <c r="E31" s="931">
        <v>0.94169999999999998</v>
      </c>
      <c r="F31" s="931">
        <v>0.94169999999999998</v>
      </c>
      <c r="G31" s="931">
        <v>0.94169999999999998</v>
      </c>
      <c r="H31" s="931">
        <v>0.94169999999999998</v>
      </c>
      <c r="I31" s="931">
        <v>0.85960000000000003</v>
      </c>
      <c r="J31" s="931">
        <v>0.85960000000000003</v>
      </c>
      <c r="K31" s="931">
        <v>0.85960000000000003</v>
      </c>
      <c r="L31" s="931">
        <v>0.85960000000000003</v>
      </c>
      <c r="M31" s="931">
        <v>0.85960000000000003</v>
      </c>
    </row>
    <row r="32" spans="1:13">
      <c r="A32" s="938">
        <v>3.9</v>
      </c>
      <c r="B32" s="931">
        <v>0.98699999999999999</v>
      </c>
      <c r="C32" s="931">
        <v>0.98699999999999999</v>
      </c>
      <c r="D32" s="931">
        <v>0.9385</v>
      </c>
      <c r="E32" s="931">
        <v>0.9385</v>
      </c>
      <c r="F32" s="931">
        <v>0.9385</v>
      </c>
      <c r="G32" s="931">
        <v>0.9385</v>
      </c>
      <c r="H32" s="931">
        <v>0.9385</v>
      </c>
      <c r="I32" s="931">
        <v>0.85470000000000002</v>
      </c>
      <c r="J32" s="931">
        <v>0.85470000000000002</v>
      </c>
      <c r="K32" s="931">
        <v>0.85470000000000002</v>
      </c>
      <c r="L32" s="931">
        <v>0.85470000000000002</v>
      </c>
      <c r="M32" s="931">
        <v>0.85470000000000002</v>
      </c>
    </row>
    <row r="33" spans="1:13">
      <c r="A33" s="938">
        <v>4</v>
      </c>
      <c r="B33" s="931">
        <v>0.98399999999999999</v>
      </c>
      <c r="C33" s="931">
        <v>0.98399999999999999</v>
      </c>
      <c r="D33" s="931">
        <v>0.93540000000000001</v>
      </c>
      <c r="E33" s="931">
        <v>0.93540000000000001</v>
      </c>
      <c r="F33" s="931">
        <v>0.93540000000000001</v>
      </c>
      <c r="G33" s="931">
        <v>0.93540000000000001</v>
      </c>
      <c r="H33" s="931">
        <v>0.93540000000000001</v>
      </c>
      <c r="I33" s="931">
        <v>0.84989999999999999</v>
      </c>
      <c r="J33" s="931">
        <v>0.84989999999999999</v>
      </c>
      <c r="K33" s="931">
        <v>0.84989999999999999</v>
      </c>
      <c r="L33" s="931">
        <v>0.84989999999999999</v>
      </c>
      <c r="M33" s="931">
        <v>0.84989999999999999</v>
      </c>
    </row>
    <row r="34" spans="1:13">
      <c r="A34" s="938">
        <v>4.0999999999999996</v>
      </c>
      <c r="B34" s="931">
        <v>0.98109999999999997</v>
      </c>
      <c r="C34" s="931">
        <v>0.98109999999999997</v>
      </c>
      <c r="D34" s="931">
        <v>0.93240000000000001</v>
      </c>
      <c r="E34" s="931">
        <v>0.93240000000000001</v>
      </c>
      <c r="F34" s="931">
        <v>0.93240000000000001</v>
      </c>
      <c r="G34" s="931">
        <v>0.93240000000000001</v>
      </c>
      <c r="H34" s="931">
        <v>0.93240000000000001</v>
      </c>
      <c r="I34" s="931">
        <v>0.84519999999999995</v>
      </c>
      <c r="J34" s="931">
        <v>0.84519999999999995</v>
      </c>
      <c r="K34" s="931">
        <v>0.84519999999999995</v>
      </c>
      <c r="L34" s="931">
        <v>0.84519999999999995</v>
      </c>
      <c r="M34" s="931">
        <v>0.84519999999999995</v>
      </c>
    </row>
    <row r="35" spans="1:13">
      <c r="A35" s="938">
        <v>4.2</v>
      </c>
      <c r="B35" s="931">
        <v>0.97829999999999995</v>
      </c>
      <c r="C35" s="931">
        <v>0.97829999999999995</v>
      </c>
      <c r="D35" s="931">
        <v>0.92949999999999999</v>
      </c>
      <c r="E35" s="931">
        <v>0.92949999999999999</v>
      </c>
      <c r="F35" s="931">
        <v>0.92949999999999999</v>
      </c>
      <c r="G35" s="931">
        <v>0.92949999999999999</v>
      </c>
      <c r="H35" s="931">
        <v>0.92949999999999999</v>
      </c>
      <c r="I35" s="931">
        <v>0.84060000000000001</v>
      </c>
      <c r="J35" s="931">
        <v>0.84060000000000001</v>
      </c>
      <c r="K35" s="931">
        <v>0.84060000000000001</v>
      </c>
      <c r="L35" s="931">
        <v>0.84060000000000001</v>
      </c>
      <c r="M35" s="931">
        <v>0.84060000000000001</v>
      </c>
    </row>
    <row r="36" spans="1:13">
      <c r="A36" s="938">
        <v>4.3</v>
      </c>
      <c r="B36" s="931">
        <v>0.97560000000000002</v>
      </c>
      <c r="C36" s="931">
        <v>0.97560000000000002</v>
      </c>
      <c r="D36" s="931">
        <v>0.92669999999999997</v>
      </c>
      <c r="E36" s="931">
        <v>0.92669999999999997</v>
      </c>
      <c r="F36" s="931">
        <v>0.92669999999999997</v>
      </c>
      <c r="G36" s="931">
        <v>0.92669999999999997</v>
      </c>
      <c r="H36" s="931">
        <v>0.92669999999999997</v>
      </c>
      <c r="I36" s="931">
        <v>0.83609999999999995</v>
      </c>
      <c r="J36" s="931">
        <v>0.83609999999999995</v>
      </c>
      <c r="K36" s="931">
        <v>0.83609999999999995</v>
      </c>
      <c r="L36" s="931">
        <v>0.83609999999999995</v>
      </c>
      <c r="M36" s="931">
        <v>0.83609999999999995</v>
      </c>
    </row>
    <row r="37" spans="1:13">
      <c r="A37" s="938">
        <v>4.4000000000000004</v>
      </c>
      <c r="B37" s="931">
        <v>0.97299999999999998</v>
      </c>
      <c r="C37" s="931">
        <v>0.97299999999999998</v>
      </c>
      <c r="D37" s="931">
        <v>0.92400000000000004</v>
      </c>
      <c r="E37" s="931">
        <v>0.92400000000000004</v>
      </c>
      <c r="F37" s="931">
        <v>0.92400000000000004</v>
      </c>
      <c r="G37" s="931">
        <v>0.92400000000000004</v>
      </c>
      <c r="H37" s="931">
        <v>0.92400000000000004</v>
      </c>
      <c r="I37" s="931">
        <v>0.83169999999999999</v>
      </c>
      <c r="J37" s="931">
        <v>0.83169999999999999</v>
      </c>
      <c r="K37" s="931">
        <v>0.83169999999999999</v>
      </c>
      <c r="L37" s="931">
        <v>0.83169999999999999</v>
      </c>
      <c r="M37" s="931">
        <v>0.83169999999999999</v>
      </c>
    </row>
    <row r="38" spans="1:13">
      <c r="A38" s="938">
        <v>4.5</v>
      </c>
      <c r="B38" s="931">
        <v>0.97050000000000003</v>
      </c>
      <c r="C38" s="931">
        <v>0.97050000000000003</v>
      </c>
      <c r="D38" s="931">
        <v>0.92130000000000001</v>
      </c>
      <c r="E38" s="931">
        <v>0.92130000000000001</v>
      </c>
      <c r="F38" s="931">
        <v>0.92130000000000001</v>
      </c>
      <c r="G38" s="931">
        <v>0.92130000000000001</v>
      </c>
      <c r="H38" s="931">
        <v>0.92130000000000001</v>
      </c>
      <c r="I38" s="931">
        <v>0.82740000000000002</v>
      </c>
      <c r="J38" s="931">
        <v>0.82740000000000002</v>
      </c>
      <c r="K38" s="931">
        <v>0.82740000000000002</v>
      </c>
      <c r="L38" s="931">
        <v>0.82740000000000002</v>
      </c>
      <c r="M38" s="931">
        <v>0.82740000000000002</v>
      </c>
    </row>
    <row r="39" spans="1:13">
      <c r="A39" s="938">
        <v>4.5999999999999996</v>
      </c>
      <c r="B39" s="931">
        <v>0.96809999999999996</v>
      </c>
      <c r="C39" s="931">
        <v>0.96809999999999996</v>
      </c>
      <c r="D39" s="931">
        <v>0.91869999999999996</v>
      </c>
      <c r="E39" s="931">
        <v>0.91869999999999996</v>
      </c>
      <c r="F39" s="931">
        <v>0.91869999999999996</v>
      </c>
      <c r="G39" s="931">
        <v>0.91869999999999996</v>
      </c>
      <c r="H39" s="931">
        <v>0.91869999999999996</v>
      </c>
      <c r="I39" s="931">
        <v>0.82320000000000004</v>
      </c>
      <c r="J39" s="931">
        <v>0.82320000000000004</v>
      </c>
      <c r="K39" s="931">
        <v>0.82320000000000004</v>
      </c>
      <c r="L39" s="931">
        <v>0.82320000000000004</v>
      </c>
      <c r="M39" s="931">
        <v>0.82320000000000004</v>
      </c>
    </row>
    <row r="40" spans="1:13">
      <c r="A40" s="938">
        <v>4.7</v>
      </c>
      <c r="B40" s="931">
        <v>0.96579999999999999</v>
      </c>
      <c r="C40" s="931">
        <v>0.96579999999999999</v>
      </c>
      <c r="D40" s="931">
        <v>0.91610000000000003</v>
      </c>
      <c r="E40" s="931">
        <v>0.91610000000000003</v>
      </c>
      <c r="F40" s="931">
        <v>0.91610000000000003</v>
      </c>
      <c r="G40" s="931">
        <v>0.91610000000000003</v>
      </c>
      <c r="H40" s="931">
        <v>0.91610000000000003</v>
      </c>
      <c r="I40" s="931">
        <v>0.81910000000000005</v>
      </c>
      <c r="J40" s="931">
        <v>0.81910000000000005</v>
      </c>
      <c r="K40" s="931">
        <v>0.81910000000000005</v>
      </c>
      <c r="L40" s="931">
        <v>0.81910000000000005</v>
      </c>
      <c r="M40" s="931">
        <v>0.81910000000000005</v>
      </c>
    </row>
    <row r="41" spans="1:13">
      <c r="A41" s="938">
        <v>4.8</v>
      </c>
      <c r="B41" s="931">
        <v>0.96360000000000001</v>
      </c>
      <c r="C41" s="931">
        <v>0.96360000000000001</v>
      </c>
      <c r="D41" s="931">
        <v>0.91349999999999998</v>
      </c>
      <c r="E41" s="931">
        <v>0.91349999999999998</v>
      </c>
      <c r="F41" s="931">
        <v>0.91349999999999998</v>
      </c>
      <c r="G41" s="931">
        <v>0.91349999999999998</v>
      </c>
      <c r="H41" s="931">
        <v>0.91349999999999998</v>
      </c>
      <c r="I41" s="931">
        <v>0.81510000000000005</v>
      </c>
      <c r="J41" s="931">
        <v>0.81510000000000005</v>
      </c>
      <c r="K41" s="931">
        <v>0.81510000000000005</v>
      </c>
      <c r="L41" s="931">
        <v>0.81510000000000005</v>
      </c>
      <c r="M41" s="931">
        <v>0.81510000000000005</v>
      </c>
    </row>
    <row r="42" spans="1:13">
      <c r="A42" s="938">
        <v>4.9000000000000004</v>
      </c>
      <c r="B42" s="931">
        <v>0.96150000000000002</v>
      </c>
      <c r="C42" s="931">
        <v>0.96150000000000002</v>
      </c>
      <c r="D42" s="931">
        <v>0.91100000000000003</v>
      </c>
      <c r="E42" s="931">
        <v>0.91100000000000003</v>
      </c>
      <c r="F42" s="931">
        <v>0.91100000000000003</v>
      </c>
      <c r="G42" s="931">
        <v>0.91100000000000003</v>
      </c>
      <c r="H42" s="931">
        <v>0.91100000000000003</v>
      </c>
      <c r="I42" s="931">
        <v>0.81110000000000004</v>
      </c>
      <c r="J42" s="931">
        <v>0.81110000000000004</v>
      </c>
      <c r="K42" s="931">
        <v>0.81110000000000004</v>
      </c>
      <c r="L42" s="931">
        <v>0.81110000000000004</v>
      </c>
      <c r="M42" s="931">
        <v>0.81110000000000004</v>
      </c>
    </row>
    <row r="43" spans="1:13">
      <c r="A43" s="938">
        <v>5</v>
      </c>
      <c r="B43" s="931">
        <v>0.95940000000000003</v>
      </c>
      <c r="C43" s="931">
        <v>0.95940000000000003</v>
      </c>
      <c r="D43" s="931">
        <v>0.90849999999999997</v>
      </c>
      <c r="E43" s="931">
        <v>0.90849999999999997</v>
      </c>
      <c r="F43" s="931">
        <v>0.90849999999999997</v>
      </c>
      <c r="G43" s="931">
        <v>0.90849999999999997</v>
      </c>
      <c r="H43" s="931">
        <v>0.90849999999999997</v>
      </c>
      <c r="I43" s="931">
        <v>0.80720000000000003</v>
      </c>
      <c r="J43" s="931">
        <v>0.80720000000000003</v>
      </c>
      <c r="K43" s="931">
        <v>0.80720000000000003</v>
      </c>
      <c r="L43" s="931">
        <v>0.80720000000000003</v>
      </c>
      <c r="M43" s="931">
        <v>0.80720000000000003</v>
      </c>
    </row>
    <row r="44" spans="1:13">
      <c r="A44" s="938">
        <v>5.0999999999999996</v>
      </c>
      <c r="B44" s="931">
        <v>0.95740000000000003</v>
      </c>
      <c r="C44" s="931">
        <v>0.95740000000000003</v>
      </c>
      <c r="D44" s="931">
        <v>0.90600000000000003</v>
      </c>
      <c r="E44" s="931">
        <v>0.90600000000000003</v>
      </c>
      <c r="F44" s="931">
        <v>0.90600000000000003</v>
      </c>
      <c r="G44" s="931">
        <v>0.90600000000000003</v>
      </c>
      <c r="H44" s="931">
        <v>0.90600000000000003</v>
      </c>
      <c r="I44" s="931">
        <v>0.80330000000000001</v>
      </c>
      <c r="J44" s="931">
        <v>0.80330000000000001</v>
      </c>
      <c r="K44" s="931">
        <v>0.80330000000000001</v>
      </c>
      <c r="L44" s="931">
        <v>0.80330000000000001</v>
      </c>
      <c r="M44" s="931">
        <v>0.80330000000000001</v>
      </c>
    </row>
    <row r="45" spans="1:13">
      <c r="A45" s="938">
        <v>5.2</v>
      </c>
      <c r="B45" s="931">
        <v>0.95540000000000003</v>
      </c>
      <c r="C45" s="931">
        <v>0.95540000000000003</v>
      </c>
      <c r="D45" s="931">
        <v>0.90349999999999997</v>
      </c>
      <c r="E45" s="931">
        <v>0.90349999999999997</v>
      </c>
      <c r="F45" s="931">
        <v>0.90349999999999997</v>
      </c>
      <c r="G45" s="931">
        <v>0.90349999999999997</v>
      </c>
      <c r="H45" s="931">
        <v>0.90349999999999997</v>
      </c>
      <c r="I45" s="931">
        <v>0.79949999999999999</v>
      </c>
      <c r="J45" s="931">
        <v>0.79949999999999999</v>
      </c>
      <c r="K45" s="931">
        <v>0.79949999999999999</v>
      </c>
      <c r="L45" s="931">
        <v>0.79949999999999999</v>
      </c>
      <c r="M45" s="931">
        <v>0.79949999999999999</v>
      </c>
    </row>
    <row r="46" spans="1:13">
      <c r="A46" s="938">
        <v>5.3</v>
      </c>
      <c r="B46" s="931">
        <v>0.95350000000000001</v>
      </c>
      <c r="C46" s="931">
        <v>0.95350000000000001</v>
      </c>
      <c r="D46" s="931">
        <v>0.90110000000000001</v>
      </c>
      <c r="E46" s="931">
        <v>0.90110000000000001</v>
      </c>
      <c r="F46" s="931">
        <v>0.90110000000000001</v>
      </c>
      <c r="G46" s="931">
        <v>0.90110000000000001</v>
      </c>
      <c r="H46" s="931">
        <v>0.90110000000000001</v>
      </c>
      <c r="I46" s="931">
        <v>0.79569999999999996</v>
      </c>
      <c r="J46" s="931">
        <v>0.79569999999999996</v>
      </c>
      <c r="K46" s="931">
        <v>0.79569999999999996</v>
      </c>
      <c r="L46" s="931">
        <v>0.79569999999999996</v>
      </c>
      <c r="M46" s="931">
        <v>0.79569999999999996</v>
      </c>
    </row>
    <row r="47" spans="1:13">
      <c r="A47" s="938">
        <v>5.4</v>
      </c>
      <c r="B47" s="931">
        <v>0.9516</v>
      </c>
      <c r="C47" s="931">
        <v>0.9516</v>
      </c>
      <c r="D47" s="931">
        <v>0.89870000000000005</v>
      </c>
      <c r="E47" s="931">
        <v>0.89870000000000005</v>
      </c>
      <c r="F47" s="931">
        <v>0.89870000000000005</v>
      </c>
      <c r="G47" s="931">
        <v>0.89870000000000005</v>
      </c>
      <c r="H47" s="931">
        <v>0.89870000000000005</v>
      </c>
      <c r="I47" s="931">
        <v>0.79200000000000004</v>
      </c>
      <c r="J47" s="931">
        <v>0.79200000000000004</v>
      </c>
      <c r="K47" s="931">
        <v>0.79200000000000004</v>
      </c>
      <c r="L47" s="931">
        <v>0.79200000000000004</v>
      </c>
      <c r="M47" s="931">
        <v>0.79200000000000004</v>
      </c>
    </row>
    <row r="48" spans="1:13">
      <c r="A48" s="938">
        <v>5.5</v>
      </c>
      <c r="B48" s="931">
        <v>0.94979999999999998</v>
      </c>
      <c r="C48" s="931">
        <v>0.94979999999999998</v>
      </c>
      <c r="D48" s="931">
        <v>0.89629999999999999</v>
      </c>
      <c r="E48" s="931">
        <v>0.89629999999999999</v>
      </c>
      <c r="F48" s="931">
        <v>0.89629999999999999</v>
      </c>
      <c r="G48" s="931">
        <v>0.89629999999999999</v>
      </c>
      <c r="H48" s="931">
        <v>0.89629999999999999</v>
      </c>
      <c r="I48" s="931">
        <v>0.7883</v>
      </c>
      <c r="J48" s="931">
        <v>0.7883</v>
      </c>
      <c r="K48" s="931">
        <v>0.7883</v>
      </c>
      <c r="L48" s="931">
        <v>0.7883</v>
      </c>
      <c r="M48" s="931">
        <v>0.7883</v>
      </c>
    </row>
    <row r="49" spans="1:13">
      <c r="A49" s="938">
        <v>5.6</v>
      </c>
      <c r="B49" s="931">
        <v>0.94799999999999995</v>
      </c>
      <c r="C49" s="931">
        <v>0.94799999999999995</v>
      </c>
      <c r="D49" s="931">
        <v>0.89390000000000003</v>
      </c>
      <c r="E49" s="931">
        <v>0.89390000000000003</v>
      </c>
      <c r="F49" s="931">
        <v>0.89390000000000003</v>
      </c>
      <c r="G49" s="931">
        <v>0.89390000000000003</v>
      </c>
      <c r="H49" s="931">
        <v>0.89390000000000003</v>
      </c>
      <c r="I49" s="931">
        <v>0.78469999999999995</v>
      </c>
      <c r="J49" s="931">
        <v>0.78469999999999995</v>
      </c>
      <c r="K49" s="931">
        <v>0.78469999999999995</v>
      </c>
      <c r="L49" s="931">
        <v>0.78469999999999995</v>
      </c>
      <c r="M49" s="931">
        <v>0.78469999999999995</v>
      </c>
    </row>
    <row r="50" spans="1:13">
      <c r="A50" s="938">
        <v>5.7</v>
      </c>
      <c r="B50" s="931">
        <v>0.94620000000000004</v>
      </c>
      <c r="C50" s="931">
        <v>0.94620000000000004</v>
      </c>
      <c r="D50" s="931">
        <v>0.89149999999999996</v>
      </c>
      <c r="E50" s="931">
        <v>0.89149999999999996</v>
      </c>
      <c r="F50" s="931">
        <v>0.89149999999999996</v>
      </c>
      <c r="G50" s="931">
        <v>0.89149999999999996</v>
      </c>
      <c r="H50" s="931">
        <v>0.89149999999999996</v>
      </c>
      <c r="I50" s="931">
        <v>0.78110000000000002</v>
      </c>
      <c r="J50" s="931">
        <v>0.78110000000000002</v>
      </c>
      <c r="K50" s="931">
        <v>0.78110000000000002</v>
      </c>
      <c r="L50" s="931">
        <v>0.78110000000000002</v>
      </c>
      <c r="M50" s="931">
        <v>0.78110000000000002</v>
      </c>
    </row>
    <row r="51" spans="1:13">
      <c r="A51" s="938">
        <v>5.8</v>
      </c>
      <c r="B51" s="931">
        <v>0.94450000000000001</v>
      </c>
      <c r="C51" s="931">
        <v>0.94450000000000001</v>
      </c>
      <c r="D51" s="931">
        <v>0.88919999999999999</v>
      </c>
      <c r="E51" s="931">
        <v>0.88919999999999999</v>
      </c>
      <c r="F51" s="931">
        <v>0.88919999999999999</v>
      </c>
      <c r="G51" s="931">
        <v>0.88919999999999999</v>
      </c>
      <c r="H51" s="931">
        <v>0.88919999999999999</v>
      </c>
      <c r="I51" s="931">
        <v>0.77759999999999996</v>
      </c>
      <c r="J51" s="931">
        <v>0.77759999999999996</v>
      </c>
      <c r="K51" s="931">
        <v>0.77759999999999996</v>
      </c>
      <c r="L51" s="931">
        <v>0.77759999999999996</v>
      </c>
      <c r="M51" s="931">
        <v>0.77759999999999996</v>
      </c>
    </row>
    <row r="52" spans="1:13">
      <c r="A52" s="938">
        <v>5.9</v>
      </c>
      <c r="B52" s="931">
        <v>0.94279999999999997</v>
      </c>
      <c r="C52" s="931">
        <v>0.94279999999999997</v>
      </c>
      <c r="D52" s="931">
        <v>0.88690000000000002</v>
      </c>
      <c r="E52" s="931">
        <v>0.88690000000000002</v>
      </c>
      <c r="F52" s="931">
        <v>0.88690000000000002</v>
      </c>
      <c r="G52" s="931">
        <v>0.88690000000000002</v>
      </c>
      <c r="H52" s="931">
        <v>0.88690000000000002</v>
      </c>
      <c r="I52" s="931">
        <v>0.77410000000000001</v>
      </c>
      <c r="J52" s="931">
        <v>0.77410000000000001</v>
      </c>
      <c r="K52" s="931">
        <v>0.77410000000000001</v>
      </c>
      <c r="L52" s="931">
        <v>0.77410000000000001</v>
      </c>
      <c r="M52" s="931">
        <v>0.77410000000000001</v>
      </c>
    </row>
    <row r="53" spans="1:13">
      <c r="A53" s="922">
        <v>6</v>
      </c>
      <c r="B53" s="931">
        <v>0.94110000000000005</v>
      </c>
      <c r="C53" s="931">
        <v>0.94110000000000005</v>
      </c>
      <c r="D53" s="931">
        <v>0.88460000000000005</v>
      </c>
      <c r="E53" s="931">
        <v>0.88460000000000005</v>
      </c>
      <c r="F53" s="931">
        <v>0.88460000000000005</v>
      </c>
      <c r="G53" s="931">
        <v>0.88460000000000005</v>
      </c>
      <c r="H53" s="931">
        <v>0.88460000000000005</v>
      </c>
      <c r="I53" s="931">
        <v>0.77070000000000005</v>
      </c>
      <c r="J53" s="931">
        <v>0.77070000000000005</v>
      </c>
      <c r="K53" s="931">
        <v>0.77070000000000005</v>
      </c>
      <c r="L53" s="931">
        <v>0.77070000000000005</v>
      </c>
      <c r="M53" s="931">
        <v>0.77070000000000005</v>
      </c>
    </row>
    <row r="54" spans="1:13">
      <c r="A54" s="922">
        <v>6.1</v>
      </c>
      <c r="B54" s="931">
        <v>0.93940000000000001</v>
      </c>
      <c r="C54" s="931">
        <v>0.93940000000000001</v>
      </c>
      <c r="D54" s="931">
        <v>0.88229999999999997</v>
      </c>
      <c r="E54" s="931">
        <v>0.88229999999999997</v>
      </c>
      <c r="F54" s="931">
        <v>0.88229999999999997</v>
      </c>
      <c r="G54" s="931">
        <v>0.88229999999999997</v>
      </c>
      <c r="H54" s="931">
        <v>0.88229999999999997</v>
      </c>
      <c r="I54" s="931">
        <v>0.76729999999999998</v>
      </c>
      <c r="J54" s="931">
        <v>0.76729999999999998</v>
      </c>
      <c r="K54" s="931">
        <v>0.76729999999999998</v>
      </c>
      <c r="L54" s="931">
        <v>0.76729999999999998</v>
      </c>
      <c r="M54" s="931">
        <v>0.76729999999999998</v>
      </c>
    </row>
    <row r="55" spans="1:13">
      <c r="A55" s="922">
        <v>6.2</v>
      </c>
      <c r="B55" s="931">
        <v>0.93769999999999998</v>
      </c>
      <c r="C55" s="931">
        <v>0.93769999999999998</v>
      </c>
      <c r="D55" s="931">
        <v>0.88</v>
      </c>
      <c r="E55" s="931">
        <v>0.88</v>
      </c>
      <c r="F55" s="931">
        <v>0.88</v>
      </c>
      <c r="G55" s="931">
        <v>0.88</v>
      </c>
      <c r="H55" s="931">
        <v>0.88</v>
      </c>
      <c r="I55" s="931">
        <v>0.76400000000000001</v>
      </c>
      <c r="J55" s="931">
        <v>0.76400000000000001</v>
      </c>
      <c r="K55" s="931">
        <v>0.76400000000000001</v>
      </c>
      <c r="L55" s="931">
        <v>0.76400000000000001</v>
      </c>
      <c r="M55" s="931">
        <v>0.76400000000000001</v>
      </c>
    </row>
    <row r="56" spans="1:13">
      <c r="A56" s="922">
        <v>6.3</v>
      </c>
      <c r="B56" s="931">
        <v>0.93610000000000004</v>
      </c>
      <c r="C56" s="931">
        <v>0.93610000000000004</v>
      </c>
      <c r="D56" s="931">
        <v>0.87780000000000002</v>
      </c>
      <c r="E56" s="931">
        <v>0.87780000000000002</v>
      </c>
      <c r="F56" s="931">
        <v>0.87780000000000002</v>
      </c>
      <c r="G56" s="931">
        <v>0.87780000000000002</v>
      </c>
      <c r="H56" s="931">
        <v>0.87780000000000002</v>
      </c>
      <c r="I56" s="931">
        <v>0.76070000000000004</v>
      </c>
      <c r="J56" s="931">
        <v>0.76070000000000004</v>
      </c>
      <c r="K56" s="931">
        <v>0.76070000000000004</v>
      </c>
      <c r="L56" s="931">
        <v>0.76070000000000004</v>
      </c>
      <c r="M56" s="931">
        <v>0.76070000000000004</v>
      </c>
    </row>
    <row r="57" spans="1:13">
      <c r="A57" s="922">
        <v>6.4</v>
      </c>
      <c r="B57" s="931">
        <v>0.9345</v>
      </c>
      <c r="C57" s="931">
        <v>0.9345</v>
      </c>
      <c r="D57" s="931">
        <v>0.87560000000000004</v>
      </c>
      <c r="E57" s="931">
        <v>0.87560000000000004</v>
      </c>
      <c r="F57" s="931">
        <v>0.87560000000000004</v>
      </c>
      <c r="G57" s="931">
        <v>0.87560000000000004</v>
      </c>
      <c r="H57" s="931">
        <v>0.87560000000000004</v>
      </c>
      <c r="I57" s="931">
        <v>0.75749999999999995</v>
      </c>
      <c r="J57" s="931">
        <v>0.75749999999999995</v>
      </c>
      <c r="K57" s="931">
        <v>0.75749999999999995</v>
      </c>
      <c r="L57" s="931">
        <v>0.75749999999999995</v>
      </c>
      <c r="M57" s="931">
        <v>0.75749999999999995</v>
      </c>
    </row>
    <row r="58" spans="1:13">
      <c r="A58" s="922">
        <v>6.5</v>
      </c>
      <c r="B58" s="931">
        <v>0.93289999999999995</v>
      </c>
      <c r="C58" s="931">
        <v>0.93289999999999995</v>
      </c>
      <c r="D58" s="931">
        <v>0.87339999999999995</v>
      </c>
      <c r="E58" s="931">
        <v>0.87339999999999995</v>
      </c>
      <c r="F58" s="931">
        <v>0.87339999999999995</v>
      </c>
      <c r="G58" s="931">
        <v>0.87339999999999995</v>
      </c>
      <c r="H58" s="931">
        <v>0.87339999999999995</v>
      </c>
      <c r="I58" s="931">
        <v>0.75429999999999997</v>
      </c>
      <c r="J58" s="931">
        <v>0.75429999999999997</v>
      </c>
      <c r="K58" s="931">
        <v>0.75429999999999997</v>
      </c>
      <c r="L58" s="931">
        <v>0.75429999999999997</v>
      </c>
      <c r="M58" s="931">
        <v>0.75429999999999997</v>
      </c>
    </row>
    <row r="59" spans="1:13">
      <c r="A59" s="938">
        <v>6.6</v>
      </c>
      <c r="B59" s="931">
        <v>0.93130000000000002</v>
      </c>
      <c r="C59" s="931">
        <v>0.93130000000000002</v>
      </c>
      <c r="D59" s="931">
        <v>0.87119999999999997</v>
      </c>
      <c r="E59" s="931">
        <v>0.87119999999999997</v>
      </c>
      <c r="F59" s="931">
        <v>0.87119999999999997</v>
      </c>
      <c r="G59" s="931">
        <v>0.87119999999999997</v>
      </c>
      <c r="H59" s="931">
        <v>0.87119999999999997</v>
      </c>
      <c r="I59" s="931">
        <v>0.75119999999999998</v>
      </c>
      <c r="J59" s="931">
        <v>0.75119999999999998</v>
      </c>
      <c r="K59" s="931">
        <v>0.75119999999999998</v>
      </c>
      <c r="L59" s="931">
        <v>0.75119999999999998</v>
      </c>
      <c r="M59" s="931">
        <v>0.75119999999999998</v>
      </c>
    </row>
    <row r="60" spans="1:13">
      <c r="A60" s="922">
        <v>6.7</v>
      </c>
      <c r="B60" s="931">
        <v>0.92969999999999997</v>
      </c>
      <c r="C60" s="931">
        <v>0.92969999999999997</v>
      </c>
      <c r="D60" s="931">
        <v>0.86899999999999999</v>
      </c>
      <c r="E60" s="931">
        <v>0.86899999999999999</v>
      </c>
      <c r="F60" s="931">
        <v>0.86899999999999999</v>
      </c>
      <c r="G60" s="931">
        <v>0.86899999999999999</v>
      </c>
      <c r="H60" s="931">
        <v>0.86899999999999999</v>
      </c>
      <c r="I60" s="931">
        <v>0.74809999999999999</v>
      </c>
      <c r="J60" s="931">
        <v>0.74809999999999999</v>
      </c>
      <c r="K60" s="931">
        <v>0.74809999999999999</v>
      </c>
      <c r="L60" s="931">
        <v>0.74809999999999999</v>
      </c>
      <c r="M60" s="931">
        <v>0.74809999999999999</v>
      </c>
    </row>
    <row r="61" spans="1:13">
      <c r="A61" s="922">
        <v>6.8</v>
      </c>
      <c r="B61" s="931">
        <v>0.92820000000000003</v>
      </c>
      <c r="C61" s="931">
        <v>0.92820000000000003</v>
      </c>
      <c r="D61" s="931">
        <v>0.8669</v>
      </c>
      <c r="E61" s="931">
        <v>0.8669</v>
      </c>
      <c r="F61" s="931">
        <v>0.8669</v>
      </c>
      <c r="G61" s="931">
        <v>0.8669</v>
      </c>
      <c r="H61" s="931">
        <v>0.8669</v>
      </c>
      <c r="I61" s="931">
        <v>0.74509999999999998</v>
      </c>
      <c r="J61" s="931">
        <v>0.74509999999999998</v>
      </c>
      <c r="K61" s="931">
        <v>0.74509999999999998</v>
      </c>
      <c r="L61" s="931">
        <v>0.74509999999999998</v>
      </c>
      <c r="M61" s="931">
        <v>0.74509999999999998</v>
      </c>
    </row>
    <row r="62" spans="1:13">
      <c r="A62" s="922">
        <v>6.9</v>
      </c>
      <c r="B62" s="931">
        <v>0.92669999999999997</v>
      </c>
      <c r="C62" s="931">
        <v>0.92669999999999997</v>
      </c>
      <c r="D62" s="931">
        <v>0.86480000000000001</v>
      </c>
      <c r="E62" s="931">
        <v>0.86480000000000001</v>
      </c>
      <c r="F62" s="931">
        <v>0.86480000000000001</v>
      </c>
      <c r="G62" s="931">
        <v>0.86480000000000001</v>
      </c>
      <c r="H62" s="931">
        <v>0.86480000000000001</v>
      </c>
      <c r="I62" s="931">
        <v>0.74209999999999998</v>
      </c>
      <c r="J62" s="931">
        <v>0.74209999999999998</v>
      </c>
      <c r="K62" s="931">
        <v>0.74209999999999998</v>
      </c>
      <c r="L62" s="931">
        <v>0.74209999999999998</v>
      </c>
      <c r="M62" s="931">
        <v>0.74209999999999998</v>
      </c>
    </row>
    <row r="63" spans="1:13">
      <c r="A63" s="922">
        <v>7</v>
      </c>
      <c r="B63" s="931">
        <v>0.92520000000000002</v>
      </c>
      <c r="C63" s="931">
        <v>0.92520000000000002</v>
      </c>
      <c r="D63" s="931">
        <v>0.86270000000000002</v>
      </c>
      <c r="E63" s="931">
        <v>0.86270000000000002</v>
      </c>
      <c r="F63" s="931">
        <v>0.86270000000000002</v>
      </c>
      <c r="G63" s="931">
        <v>0.86270000000000002</v>
      </c>
      <c r="H63" s="931">
        <v>0.86270000000000002</v>
      </c>
      <c r="I63" s="931">
        <v>0.73919999999999997</v>
      </c>
      <c r="J63" s="931">
        <v>0.73919999999999997</v>
      </c>
      <c r="K63" s="931">
        <v>0.73919999999999997</v>
      </c>
      <c r="L63" s="931">
        <v>0.73919999999999997</v>
      </c>
      <c r="M63" s="931">
        <v>0.73919999999999997</v>
      </c>
    </row>
    <row r="64" spans="1:13">
      <c r="A64" s="922">
        <v>7.1</v>
      </c>
      <c r="B64" s="931">
        <v>0.92369999999999997</v>
      </c>
      <c r="C64" s="931">
        <v>0.92369999999999997</v>
      </c>
      <c r="D64" s="931">
        <v>0.86060000000000003</v>
      </c>
      <c r="E64" s="931">
        <v>0.86060000000000003</v>
      </c>
      <c r="F64" s="931">
        <v>0.86060000000000003</v>
      </c>
      <c r="G64" s="931">
        <v>0.86060000000000003</v>
      </c>
      <c r="H64" s="931">
        <v>0.86060000000000003</v>
      </c>
      <c r="I64" s="931">
        <v>0.73629999999999995</v>
      </c>
      <c r="J64" s="931">
        <v>0.73629999999999995</v>
      </c>
      <c r="K64" s="931">
        <v>0.73629999999999995</v>
      </c>
      <c r="L64" s="931">
        <v>0.73629999999999995</v>
      </c>
      <c r="M64" s="931">
        <v>0.73629999999999995</v>
      </c>
    </row>
    <row r="65" spans="1:13">
      <c r="A65" s="922">
        <v>7.2</v>
      </c>
      <c r="B65" s="931">
        <v>0.92220000000000002</v>
      </c>
      <c r="C65" s="931">
        <v>0.92220000000000002</v>
      </c>
      <c r="D65" s="931">
        <v>0.85850000000000004</v>
      </c>
      <c r="E65" s="931">
        <v>0.85850000000000004</v>
      </c>
      <c r="F65" s="931">
        <v>0.85850000000000004</v>
      </c>
      <c r="G65" s="931">
        <v>0.85850000000000004</v>
      </c>
      <c r="H65" s="931">
        <v>0.85850000000000004</v>
      </c>
      <c r="I65" s="931">
        <v>0.73350000000000004</v>
      </c>
      <c r="J65" s="931">
        <v>0.73350000000000004</v>
      </c>
      <c r="K65" s="931">
        <v>0.73350000000000004</v>
      </c>
      <c r="L65" s="931">
        <v>0.73350000000000004</v>
      </c>
      <c r="M65" s="931">
        <v>0.73350000000000004</v>
      </c>
    </row>
    <row r="66" spans="1:13">
      <c r="A66" s="922">
        <v>7.3</v>
      </c>
      <c r="B66" s="931">
        <v>0.92069999999999996</v>
      </c>
      <c r="C66" s="931">
        <v>0.92069999999999996</v>
      </c>
      <c r="D66" s="931">
        <v>0.85650000000000004</v>
      </c>
      <c r="E66" s="931">
        <v>0.85650000000000004</v>
      </c>
      <c r="F66" s="931">
        <v>0.85650000000000004</v>
      </c>
      <c r="G66" s="931">
        <v>0.85650000000000004</v>
      </c>
      <c r="H66" s="931">
        <v>0.85650000000000004</v>
      </c>
      <c r="I66" s="931">
        <v>0.73070000000000002</v>
      </c>
      <c r="J66" s="931">
        <v>0.73070000000000002</v>
      </c>
      <c r="K66" s="931">
        <v>0.73070000000000002</v>
      </c>
      <c r="L66" s="931">
        <v>0.73070000000000002</v>
      </c>
      <c r="M66" s="931">
        <v>0.73070000000000002</v>
      </c>
    </row>
    <row r="67" spans="1:13">
      <c r="A67" s="922">
        <v>7.4</v>
      </c>
      <c r="B67" s="931">
        <v>0.91930000000000001</v>
      </c>
      <c r="C67" s="931">
        <v>0.91930000000000001</v>
      </c>
      <c r="D67" s="931">
        <v>0.85450000000000004</v>
      </c>
      <c r="E67" s="931">
        <v>0.85450000000000004</v>
      </c>
      <c r="F67" s="931">
        <v>0.85450000000000004</v>
      </c>
      <c r="G67" s="931">
        <v>0.85450000000000004</v>
      </c>
      <c r="H67" s="931">
        <v>0.85450000000000004</v>
      </c>
      <c r="I67" s="931">
        <v>0.72799999999999998</v>
      </c>
      <c r="J67" s="931">
        <v>0.72799999999999998</v>
      </c>
      <c r="K67" s="931">
        <v>0.72799999999999998</v>
      </c>
      <c r="L67" s="931">
        <v>0.72799999999999998</v>
      </c>
      <c r="M67" s="931">
        <v>0.72799999999999998</v>
      </c>
    </row>
    <row r="68" spans="1:13">
      <c r="A68" s="922">
        <v>7.5</v>
      </c>
      <c r="B68" s="931">
        <v>0.91790000000000005</v>
      </c>
      <c r="C68" s="931">
        <v>0.91790000000000005</v>
      </c>
      <c r="D68" s="931">
        <v>0.85250000000000004</v>
      </c>
      <c r="E68" s="931">
        <v>0.85250000000000004</v>
      </c>
      <c r="F68" s="931">
        <v>0.85250000000000004</v>
      </c>
      <c r="G68" s="931">
        <v>0.85250000000000004</v>
      </c>
      <c r="H68" s="931">
        <v>0.85250000000000004</v>
      </c>
      <c r="I68" s="931">
        <v>0.72529999999999994</v>
      </c>
      <c r="J68" s="931">
        <v>0.72529999999999994</v>
      </c>
      <c r="K68" s="931">
        <v>0.72529999999999994</v>
      </c>
      <c r="L68" s="931">
        <v>0.72529999999999994</v>
      </c>
      <c r="M68" s="931">
        <v>0.72529999999999994</v>
      </c>
    </row>
    <row r="69" spans="1:13">
      <c r="A69" s="922">
        <v>7.6</v>
      </c>
      <c r="B69" s="931">
        <v>0.91649999999999998</v>
      </c>
      <c r="C69" s="931">
        <v>0.91649999999999998</v>
      </c>
      <c r="D69" s="931">
        <v>0.85050000000000003</v>
      </c>
      <c r="E69" s="931">
        <v>0.85050000000000003</v>
      </c>
      <c r="F69" s="931">
        <v>0.85050000000000003</v>
      </c>
      <c r="G69" s="931">
        <v>0.85050000000000003</v>
      </c>
      <c r="H69" s="931">
        <v>0.85050000000000003</v>
      </c>
      <c r="I69" s="931">
        <v>0.72260000000000002</v>
      </c>
      <c r="J69" s="931">
        <v>0.72260000000000002</v>
      </c>
      <c r="K69" s="931">
        <v>0.72260000000000002</v>
      </c>
      <c r="L69" s="931">
        <v>0.72260000000000002</v>
      </c>
      <c r="M69" s="931">
        <v>0.72260000000000002</v>
      </c>
    </row>
    <row r="70" spans="1:13">
      <c r="A70" s="922">
        <v>7.7</v>
      </c>
      <c r="B70" s="931">
        <v>0.91510000000000002</v>
      </c>
      <c r="C70" s="931">
        <v>0.91510000000000002</v>
      </c>
      <c r="D70" s="931">
        <v>0.84850000000000003</v>
      </c>
      <c r="E70" s="931">
        <v>0.84850000000000003</v>
      </c>
      <c r="F70" s="931">
        <v>0.84850000000000003</v>
      </c>
      <c r="G70" s="931">
        <v>0.84850000000000003</v>
      </c>
      <c r="H70" s="931">
        <v>0.84850000000000003</v>
      </c>
      <c r="I70" s="931">
        <v>0.72</v>
      </c>
      <c r="J70" s="931">
        <v>0.72</v>
      </c>
      <c r="K70" s="931">
        <v>0.72</v>
      </c>
      <c r="L70" s="931">
        <v>0.72</v>
      </c>
      <c r="M70" s="931">
        <v>0.72</v>
      </c>
    </row>
    <row r="71" spans="1:13">
      <c r="A71" s="922">
        <v>7.8</v>
      </c>
      <c r="B71" s="931">
        <v>0.91369999999999996</v>
      </c>
      <c r="C71" s="931">
        <v>0.91369999999999996</v>
      </c>
      <c r="D71" s="931">
        <v>0.84660000000000002</v>
      </c>
      <c r="E71" s="931">
        <v>0.84660000000000002</v>
      </c>
      <c r="F71" s="931">
        <v>0.84660000000000002</v>
      </c>
      <c r="G71" s="931">
        <v>0.84660000000000002</v>
      </c>
      <c r="H71" s="931">
        <v>0.84660000000000002</v>
      </c>
      <c r="I71" s="931">
        <v>0.71740000000000004</v>
      </c>
      <c r="J71" s="931">
        <v>0.71740000000000004</v>
      </c>
      <c r="K71" s="931">
        <v>0.71740000000000004</v>
      </c>
      <c r="L71" s="931">
        <v>0.71740000000000004</v>
      </c>
      <c r="M71" s="931">
        <v>0.71740000000000004</v>
      </c>
    </row>
    <row r="72" spans="1:13">
      <c r="A72" s="922">
        <v>7.9</v>
      </c>
      <c r="B72" s="931">
        <v>0.9123</v>
      </c>
      <c r="C72" s="931">
        <v>0.9123</v>
      </c>
      <c r="D72" s="931">
        <v>0.84470000000000001</v>
      </c>
      <c r="E72" s="931">
        <v>0.84470000000000001</v>
      </c>
      <c r="F72" s="931">
        <v>0.84470000000000001</v>
      </c>
      <c r="G72" s="931">
        <v>0.84470000000000001</v>
      </c>
      <c r="H72" s="931">
        <v>0.84470000000000001</v>
      </c>
      <c r="I72" s="931">
        <v>0.71479999999999999</v>
      </c>
      <c r="J72" s="931">
        <v>0.71479999999999999</v>
      </c>
      <c r="K72" s="931">
        <v>0.71479999999999999</v>
      </c>
      <c r="L72" s="931">
        <v>0.71479999999999999</v>
      </c>
      <c r="M72" s="931">
        <v>0.71479999999999999</v>
      </c>
    </row>
    <row r="73" spans="1:13">
      <c r="A73" s="922">
        <v>8</v>
      </c>
      <c r="B73" s="931">
        <v>0.91090000000000004</v>
      </c>
      <c r="C73" s="931">
        <v>0.91090000000000004</v>
      </c>
      <c r="D73" s="931">
        <v>0.84279999999999999</v>
      </c>
      <c r="E73" s="931">
        <v>0.84279999999999999</v>
      </c>
      <c r="F73" s="931">
        <v>0.84279999999999999</v>
      </c>
      <c r="G73" s="931">
        <v>0.84279999999999999</v>
      </c>
      <c r="H73" s="931">
        <v>0.84279999999999999</v>
      </c>
      <c r="I73" s="931">
        <v>0.71230000000000004</v>
      </c>
      <c r="J73" s="931">
        <v>0.71230000000000004</v>
      </c>
      <c r="K73" s="931">
        <v>0.71230000000000004</v>
      </c>
      <c r="L73" s="931">
        <v>0.71230000000000004</v>
      </c>
      <c r="M73" s="931">
        <v>0.71230000000000004</v>
      </c>
    </row>
    <row r="74" spans="1:13">
      <c r="A74" s="922">
        <v>8.1</v>
      </c>
      <c r="B74" s="931">
        <v>0.90959999999999996</v>
      </c>
      <c r="C74" s="931">
        <v>0.90959999999999996</v>
      </c>
      <c r="D74" s="931">
        <v>0.84089999999999998</v>
      </c>
      <c r="E74" s="931">
        <v>0.84089999999999998</v>
      </c>
      <c r="F74" s="931">
        <v>0.84089999999999998</v>
      </c>
      <c r="G74" s="931">
        <v>0.84089999999999998</v>
      </c>
      <c r="H74" s="931">
        <v>0.84089999999999998</v>
      </c>
      <c r="I74" s="931">
        <v>0.70979999999999999</v>
      </c>
      <c r="J74" s="931">
        <v>0.70979999999999999</v>
      </c>
      <c r="K74" s="931">
        <v>0.70979999999999999</v>
      </c>
      <c r="L74" s="931">
        <v>0.70979999999999999</v>
      </c>
      <c r="M74" s="931">
        <v>0.70979999999999999</v>
      </c>
    </row>
    <row r="75" spans="1:13">
      <c r="A75" s="922">
        <v>8.1999999999999993</v>
      </c>
      <c r="B75" s="931">
        <v>0.9083</v>
      </c>
      <c r="C75" s="931">
        <v>0.9083</v>
      </c>
      <c r="D75" s="931">
        <v>0.83899999999999997</v>
      </c>
      <c r="E75" s="931">
        <v>0.83899999999999997</v>
      </c>
      <c r="F75" s="931">
        <v>0.83899999999999997</v>
      </c>
      <c r="G75" s="931">
        <v>0.83899999999999997</v>
      </c>
      <c r="H75" s="931">
        <v>0.83899999999999997</v>
      </c>
      <c r="I75" s="931">
        <v>0.70730000000000004</v>
      </c>
      <c r="J75" s="931">
        <v>0.70730000000000004</v>
      </c>
      <c r="K75" s="931">
        <v>0.70730000000000004</v>
      </c>
      <c r="L75" s="931">
        <v>0.70730000000000004</v>
      </c>
      <c r="M75" s="931">
        <v>0.70730000000000004</v>
      </c>
    </row>
    <row r="76" spans="1:13">
      <c r="A76" s="922">
        <v>8.3000000000000007</v>
      </c>
      <c r="B76" s="931">
        <v>0.90700000000000003</v>
      </c>
      <c r="C76" s="931">
        <v>0.90700000000000003</v>
      </c>
      <c r="D76" s="931">
        <v>0.83720000000000006</v>
      </c>
      <c r="E76" s="931">
        <v>0.83720000000000006</v>
      </c>
      <c r="F76" s="931">
        <v>0.83720000000000006</v>
      </c>
      <c r="G76" s="931">
        <v>0.83720000000000006</v>
      </c>
      <c r="H76" s="931">
        <v>0.83720000000000006</v>
      </c>
      <c r="I76" s="931">
        <v>0.70489999999999997</v>
      </c>
      <c r="J76" s="931">
        <v>0.70489999999999997</v>
      </c>
      <c r="K76" s="931">
        <v>0.70489999999999997</v>
      </c>
      <c r="L76" s="931">
        <v>0.70489999999999997</v>
      </c>
      <c r="M76" s="931">
        <v>0.70489999999999997</v>
      </c>
    </row>
    <row r="77" spans="1:13">
      <c r="A77" s="922">
        <v>8.4</v>
      </c>
      <c r="B77" s="931">
        <v>0.90569999999999995</v>
      </c>
      <c r="C77" s="931">
        <v>0.90569999999999995</v>
      </c>
      <c r="D77" s="931">
        <v>0.83540000000000003</v>
      </c>
      <c r="E77" s="931">
        <v>0.83540000000000003</v>
      </c>
      <c r="F77" s="931">
        <v>0.83540000000000003</v>
      </c>
      <c r="G77" s="931">
        <v>0.83540000000000003</v>
      </c>
      <c r="H77" s="931">
        <v>0.83540000000000003</v>
      </c>
      <c r="I77" s="931">
        <v>0.70250000000000001</v>
      </c>
      <c r="J77" s="931">
        <v>0.70250000000000001</v>
      </c>
      <c r="K77" s="931">
        <v>0.70250000000000001</v>
      </c>
      <c r="L77" s="931">
        <v>0.70250000000000001</v>
      </c>
      <c r="M77" s="931">
        <v>0.70250000000000001</v>
      </c>
    </row>
    <row r="78" spans="1:13">
      <c r="A78" s="922">
        <v>8.5</v>
      </c>
      <c r="B78" s="931">
        <v>0.90439999999999998</v>
      </c>
      <c r="C78" s="931">
        <v>0.90439999999999998</v>
      </c>
      <c r="D78" s="931">
        <v>0.83360000000000001</v>
      </c>
      <c r="E78" s="931">
        <v>0.83360000000000001</v>
      </c>
      <c r="F78" s="931">
        <v>0.83360000000000001</v>
      </c>
      <c r="G78" s="931">
        <v>0.83360000000000001</v>
      </c>
      <c r="H78" s="931">
        <v>0.83360000000000001</v>
      </c>
      <c r="I78" s="931">
        <v>0.70009999999999994</v>
      </c>
      <c r="J78" s="931">
        <v>0.70009999999999994</v>
      </c>
      <c r="K78" s="931">
        <v>0.70009999999999994</v>
      </c>
      <c r="L78" s="931">
        <v>0.70009999999999994</v>
      </c>
      <c r="M78" s="931">
        <v>0.70009999999999994</v>
      </c>
    </row>
    <row r="79" spans="1:13">
      <c r="A79" s="922">
        <v>8.6</v>
      </c>
      <c r="B79" s="931">
        <v>0.90310000000000001</v>
      </c>
      <c r="C79" s="931">
        <v>0.90310000000000001</v>
      </c>
      <c r="D79" s="931">
        <v>0.83179999999999998</v>
      </c>
      <c r="E79" s="931">
        <v>0.83179999999999998</v>
      </c>
      <c r="F79" s="931">
        <v>0.83179999999999998</v>
      </c>
      <c r="G79" s="931">
        <v>0.83179999999999998</v>
      </c>
      <c r="H79" s="931">
        <v>0.83179999999999998</v>
      </c>
      <c r="I79" s="931">
        <v>0.69779999999999998</v>
      </c>
      <c r="J79" s="931">
        <v>0.69779999999999998</v>
      </c>
      <c r="K79" s="931">
        <v>0.69779999999999998</v>
      </c>
      <c r="L79" s="931">
        <v>0.69779999999999998</v>
      </c>
      <c r="M79" s="931">
        <v>0.69779999999999998</v>
      </c>
    </row>
    <row r="80" spans="1:13">
      <c r="A80" s="922">
        <v>8.6999999999999993</v>
      </c>
      <c r="B80" s="931">
        <v>0.90180000000000005</v>
      </c>
      <c r="C80" s="931">
        <v>0.90180000000000005</v>
      </c>
      <c r="D80" s="931">
        <v>0.83</v>
      </c>
      <c r="E80" s="931">
        <v>0.83</v>
      </c>
      <c r="F80" s="931">
        <v>0.83</v>
      </c>
      <c r="G80" s="931">
        <v>0.83</v>
      </c>
      <c r="H80" s="931">
        <v>0.83</v>
      </c>
      <c r="I80" s="931">
        <v>0.69550000000000001</v>
      </c>
      <c r="J80" s="931">
        <v>0.69550000000000001</v>
      </c>
      <c r="K80" s="931">
        <v>0.69550000000000001</v>
      </c>
      <c r="L80" s="931">
        <v>0.69550000000000001</v>
      </c>
      <c r="M80" s="931">
        <v>0.69550000000000001</v>
      </c>
    </row>
    <row r="81" spans="1:14">
      <c r="A81" s="922">
        <v>8.8000000000000007</v>
      </c>
      <c r="B81" s="931">
        <v>0.90059999999999996</v>
      </c>
      <c r="C81" s="931">
        <v>0.90059999999999996</v>
      </c>
      <c r="D81" s="931">
        <v>0.82830000000000004</v>
      </c>
      <c r="E81" s="931">
        <v>0.82830000000000004</v>
      </c>
      <c r="F81" s="931">
        <v>0.82830000000000004</v>
      </c>
      <c r="G81" s="931">
        <v>0.82830000000000004</v>
      </c>
      <c r="H81" s="931">
        <v>0.82830000000000004</v>
      </c>
      <c r="I81" s="931">
        <v>0.69320000000000004</v>
      </c>
      <c r="J81" s="931">
        <v>0.69320000000000004</v>
      </c>
      <c r="K81" s="931">
        <v>0.69320000000000004</v>
      </c>
      <c r="L81" s="931">
        <v>0.69320000000000004</v>
      </c>
      <c r="M81" s="931">
        <v>0.69320000000000004</v>
      </c>
    </row>
    <row r="82" spans="1:14">
      <c r="A82" s="922">
        <v>8.9</v>
      </c>
      <c r="B82" s="931">
        <v>0.89939999999999998</v>
      </c>
      <c r="C82" s="931">
        <v>0.89939999999999998</v>
      </c>
      <c r="D82" s="931">
        <v>0.8266</v>
      </c>
      <c r="E82" s="931">
        <v>0.8266</v>
      </c>
      <c r="F82" s="931">
        <v>0.8266</v>
      </c>
      <c r="G82" s="931">
        <v>0.8266</v>
      </c>
      <c r="H82" s="931">
        <v>0.8266</v>
      </c>
      <c r="I82" s="931">
        <v>0.69099999999999995</v>
      </c>
      <c r="J82" s="931">
        <v>0.69099999999999995</v>
      </c>
      <c r="K82" s="931">
        <v>0.69099999999999995</v>
      </c>
      <c r="L82" s="931">
        <v>0.69099999999999995</v>
      </c>
      <c r="M82" s="931">
        <v>0.69099999999999995</v>
      </c>
    </row>
    <row r="83" spans="1:14">
      <c r="A83" s="922">
        <v>9</v>
      </c>
      <c r="B83" s="931">
        <v>0.8982</v>
      </c>
      <c r="C83" s="931">
        <v>0.8982</v>
      </c>
      <c r="D83" s="931">
        <v>0.82489999999999997</v>
      </c>
      <c r="E83" s="931">
        <v>0.82489999999999997</v>
      </c>
      <c r="F83" s="931">
        <v>0.82489999999999997</v>
      </c>
      <c r="G83" s="931">
        <v>0.82489999999999997</v>
      </c>
      <c r="H83" s="931">
        <v>0.82489999999999997</v>
      </c>
      <c r="I83" s="931">
        <v>0.68879999999999997</v>
      </c>
      <c r="J83" s="931">
        <v>0.68879999999999997</v>
      </c>
      <c r="K83" s="931">
        <v>0.68879999999999997</v>
      </c>
      <c r="L83" s="931">
        <v>0.68879999999999997</v>
      </c>
      <c r="M83" s="931">
        <v>0.68879999999999997</v>
      </c>
    </row>
    <row r="84" spans="1:14">
      <c r="A84" s="922">
        <v>9.1</v>
      </c>
      <c r="B84" s="931">
        <v>0.89700000000000002</v>
      </c>
      <c r="C84" s="931">
        <v>0.89700000000000002</v>
      </c>
      <c r="D84" s="931">
        <v>0.82320000000000004</v>
      </c>
      <c r="E84" s="931">
        <v>0.82320000000000004</v>
      </c>
      <c r="F84" s="931">
        <v>0.82320000000000004</v>
      </c>
      <c r="G84" s="931">
        <v>0.82320000000000004</v>
      </c>
      <c r="H84" s="931">
        <v>0.82320000000000004</v>
      </c>
      <c r="I84" s="931">
        <v>0.68659999999999999</v>
      </c>
      <c r="J84" s="931">
        <v>0.68659999999999999</v>
      </c>
      <c r="K84" s="931">
        <v>0.68659999999999999</v>
      </c>
      <c r="L84" s="931">
        <v>0.68659999999999999</v>
      </c>
      <c r="M84" s="931">
        <v>0.68659999999999999</v>
      </c>
    </row>
    <row r="85" spans="1:14">
      <c r="A85" s="922">
        <v>9.1999999999999993</v>
      </c>
      <c r="B85" s="931">
        <v>0.89580000000000004</v>
      </c>
      <c r="C85" s="931">
        <v>0.89580000000000004</v>
      </c>
      <c r="D85" s="931">
        <v>0.82150000000000001</v>
      </c>
      <c r="E85" s="931">
        <v>0.82150000000000001</v>
      </c>
      <c r="F85" s="931">
        <v>0.82150000000000001</v>
      </c>
      <c r="G85" s="931">
        <v>0.82150000000000001</v>
      </c>
      <c r="H85" s="931">
        <v>0.82150000000000001</v>
      </c>
      <c r="I85" s="931">
        <v>0.6845</v>
      </c>
      <c r="J85" s="931">
        <v>0.6845</v>
      </c>
      <c r="K85" s="931">
        <v>0.6845</v>
      </c>
      <c r="L85" s="931">
        <v>0.6845</v>
      </c>
      <c r="M85" s="931">
        <v>0.6845</v>
      </c>
    </row>
    <row r="86" spans="1:14">
      <c r="A86" s="922">
        <v>9.3000000000000007</v>
      </c>
      <c r="B86" s="931">
        <v>0.89459999999999995</v>
      </c>
      <c r="C86" s="931">
        <v>0.89459999999999995</v>
      </c>
      <c r="D86" s="931">
        <v>0.81989999999999996</v>
      </c>
      <c r="E86" s="931">
        <v>0.81989999999999996</v>
      </c>
      <c r="F86" s="931">
        <v>0.81989999999999996</v>
      </c>
      <c r="G86" s="931">
        <v>0.81989999999999996</v>
      </c>
      <c r="H86" s="931">
        <v>0.81989999999999996</v>
      </c>
      <c r="I86" s="931">
        <v>0.68240000000000001</v>
      </c>
      <c r="J86" s="931">
        <v>0.68240000000000001</v>
      </c>
      <c r="K86" s="931">
        <v>0.68240000000000001</v>
      </c>
      <c r="L86" s="931">
        <v>0.68240000000000001</v>
      </c>
      <c r="M86" s="931">
        <v>0.68240000000000001</v>
      </c>
    </row>
    <row r="87" spans="1:14">
      <c r="A87" s="922">
        <v>9.4</v>
      </c>
      <c r="B87" s="931">
        <v>0.89339999999999997</v>
      </c>
      <c r="C87" s="931">
        <v>0.89339999999999997</v>
      </c>
      <c r="D87" s="931">
        <v>0.81830000000000003</v>
      </c>
      <c r="E87" s="931">
        <v>0.81830000000000003</v>
      </c>
      <c r="F87" s="931">
        <v>0.81830000000000003</v>
      </c>
      <c r="G87" s="931">
        <v>0.81830000000000003</v>
      </c>
      <c r="H87" s="931">
        <v>0.81830000000000003</v>
      </c>
      <c r="I87" s="931">
        <v>0.68030000000000002</v>
      </c>
      <c r="J87" s="931">
        <v>0.68030000000000002</v>
      </c>
      <c r="K87" s="931">
        <v>0.68030000000000002</v>
      </c>
      <c r="L87" s="931">
        <v>0.68030000000000002</v>
      </c>
      <c r="M87" s="931">
        <v>0.68030000000000002</v>
      </c>
    </row>
    <row r="88" spans="1:14">
      <c r="A88" s="922">
        <v>9.5</v>
      </c>
      <c r="B88" s="931">
        <v>0.89229999999999998</v>
      </c>
      <c r="C88" s="931">
        <v>0.89229999999999998</v>
      </c>
      <c r="D88" s="931">
        <v>0.81669999999999998</v>
      </c>
      <c r="E88" s="931">
        <v>0.81669999999999998</v>
      </c>
      <c r="F88" s="931">
        <v>0.81669999999999998</v>
      </c>
      <c r="G88" s="931">
        <v>0.81669999999999998</v>
      </c>
      <c r="H88" s="931">
        <v>0.81669999999999998</v>
      </c>
      <c r="I88" s="931">
        <v>0.67830000000000001</v>
      </c>
      <c r="J88" s="931">
        <v>0.67830000000000001</v>
      </c>
      <c r="K88" s="931">
        <v>0.67830000000000001</v>
      </c>
      <c r="L88" s="931">
        <v>0.67830000000000001</v>
      </c>
      <c r="M88" s="931">
        <v>0.67830000000000001</v>
      </c>
    </row>
    <row r="89" spans="1:14">
      <c r="A89" s="922">
        <v>9.6</v>
      </c>
      <c r="B89" s="931">
        <v>0.89119999999999999</v>
      </c>
      <c r="C89" s="931">
        <v>0.89119999999999999</v>
      </c>
      <c r="D89" s="931">
        <v>0.81510000000000005</v>
      </c>
      <c r="E89" s="931">
        <v>0.81510000000000005</v>
      </c>
      <c r="F89" s="931">
        <v>0.81510000000000005</v>
      </c>
      <c r="G89" s="931">
        <v>0.81510000000000005</v>
      </c>
      <c r="H89" s="931">
        <v>0.81510000000000005</v>
      </c>
      <c r="I89" s="931">
        <v>0.67630000000000001</v>
      </c>
      <c r="J89" s="931">
        <v>0.67630000000000001</v>
      </c>
      <c r="K89" s="931">
        <v>0.67630000000000001</v>
      </c>
      <c r="L89" s="931">
        <v>0.67630000000000001</v>
      </c>
      <c r="M89" s="931">
        <v>0.67630000000000001</v>
      </c>
    </row>
    <row r="90" spans="1:14">
      <c r="A90" s="922">
        <v>9.6999999999999993</v>
      </c>
      <c r="B90" s="931">
        <v>0.8901</v>
      </c>
      <c r="C90" s="931">
        <v>0.8901</v>
      </c>
      <c r="D90" s="931">
        <v>0.8135</v>
      </c>
      <c r="E90" s="931">
        <v>0.8135</v>
      </c>
      <c r="F90" s="931">
        <v>0.8135</v>
      </c>
      <c r="G90" s="931">
        <v>0.8135</v>
      </c>
      <c r="H90" s="931">
        <v>0.8135</v>
      </c>
      <c r="I90" s="931">
        <v>0.67430000000000001</v>
      </c>
      <c r="J90" s="931">
        <v>0.67430000000000001</v>
      </c>
      <c r="K90" s="931">
        <v>0.67430000000000001</v>
      </c>
      <c r="L90" s="931">
        <v>0.67430000000000001</v>
      </c>
      <c r="M90" s="931">
        <v>0.67430000000000001</v>
      </c>
    </row>
    <row r="91" spans="1:14">
      <c r="A91" s="922">
        <v>9.8000000000000007</v>
      </c>
      <c r="B91" s="931">
        <v>0.88900000000000001</v>
      </c>
      <c r="C91" s="931">
        <v>0.88900000000000001</v>
      </c>
      <c r="D91" s="931">
        <v>0.81200000000000006</v>
      </c>
      <c r="E91" s="931">
        <v>0.81200000000000006</v>
      </c>
      <c r="F91" s="931">
        <v>0.81200000000000006</v>
      </c>
      <c r="G91" s="931">
        <v>0.81200000000000006</v>
      </c>
      <c r="H91" s="931">
        <v>0.81200000000000006</v>
      </c>
      <c r="I91" s="931">
        <v>0.6724</v>
      </c>
      <c r="J91" s="931">
        <v>0.6724</v>
      </c>
      <c r="K91" s="931">
        <v>0.6724</v>
      </c>
      <c r="L91" s="931">
        <v>0.6724</v>
      </c>
      <c r="M91" s="931">
        <v>0.6724</v>
      </c>
    </row>
    <row r="92" spans="1:14">
      <c r="A92" s="938">
        <v>9.9</v>
      </c>
      <c r="B92" s="931">
        <v>0.88790000000000002</v>
      </c>
      <c r="C92" s="931">
        <v>0.88790000000000002</v>
      </c>
      <c r="D92" s="931">
        <v>0.8105</v>
      </c>
      <c r="E92" s="931">
        <v>0.8105</v>
      </c>
      <c r="F92" s="931">
        <v>0.8105</v>
      </c>
      <c r="G92" s="931">
        <v>0.8105</v>
      </c>
      <c r="H92" s="931">
        <v>0.8105</v>
      </c>
      <c r="I92" s="931">
        <v>0.67049999999999998</v>
      </c>
      <c r="J92" s="931">
        <v>0.67049999999999998</v>
      </c>
      <c r="K92" s="931">
        <v>0.67049999999999998</v>
      </c>
      <c r="L92" s="931">
        <v>0.67049999999999998</v>
      </c>
      <c r="M92" s="931">
        <v>0.67049999999999998</v>
      </c>
    </row>
    <row r="93" spans="1:14" ht="14.25">
      <c r="A93" s="3085" t="s">
        <v>2774</v>
      </c>
      <c r="B93" s="931"/>
      <c r="C93" s="931"/>
      <c r="D93" s="931"/>
      <c r="E93" s="931"/>
      <c r="F93" s="931"/>
      <c r="G93" s="931"/>
      <c r="H93" s="931"/>
      <c r="I93" s="931"/>
      <c r="J93" s="931"/>
      <c r="K93" s="931"/>
      <c r="L93" s="931"/>
      <c r="M93" s="931"/>
    </row>
    <row r="94" spans="1:14">
      <c r="A94" s="938" t="s">
        <v>1550</v>
      </c>
      <c r="B94" s="931" t="s">
        <v>990</v>
      </c>
      <c r="C94" s="931" t="s">
        <v>1031</v>
      </c>
      <c r="D94" s="931" t="s">
        <v>1145</v>
      </c>
      <c r="E94" s="931" t="s">
        <v>853</v>
      </c>
      <c r="F94" s="931" t="s">
        <v>1152</v>
      </c>
      <c r="G94" s="931" t="s">
        <v>1153</v>
      </c>
      <c r="H94" s="931" t="s">
        <v>1154</v>
      </c>
      <c r="I94" s="931" t="s">
        <v>1155</v>
      </c>
      <c r="J94" s="931" t="s">
        <v>1156</v>
      </c>
      <c r="K94" s="931" t="s">
        <v>1157</v>
      </c>
      <c r="L94" s="931" t="s">
        <v>2760</v>
      </c>
      <c r="M94" s="931" t="s">
        <v>2761</v>
      </c>
      <c r="N94" s="921" t="e">
        <f>SUMPRODUCT((A95:A184=ROUNDDOWN([3]基准地价修正!G3,1))*(B94:M94=[3]基准地价修正!G2)*(B95:M184))</f>
        <v>#REF!</v>
      </c>
    </row>
    <row r="95" spans="1:14">
      <c r="A95" s="938">
        <v>1</v>
      </c>
      <c r="B95" s="931">
        <v>1.2501</v>
      </c>
      <c r="C95" s="931">
        <v>1.2501</v>
      </c>
      <c r="D95" s="931">
        <v>1.2158</v>
      </c>
      <c r="E95" s="931">
        <v>1.2158</v>
      </c>
      <c r="F95" s="931">
        <v>1.2158</v>
      </c>
      <c r="G95" s="931">
        <v>1.2158</v>
      </c>
      <c r="H95" s="931">
        <v>1.2158</v>
      </c>
      <c r="I95" s="931">
        <v>1.2302</v>
      </c>
      <c r="J95" s="931">
        <v>1.2302</v>
      </c>
      <c r="K95" s="931">
        <v>1.2302</v>
      </c>
      <c r="L95" s="931">
        <v>1.2302</v>
      </c>
      <c r="M95" s="931">
        <v>1.2302</v>
      </c>
    </row>
    <row r="96" spans="1:14">
      <c r="A96" s="938">
        <v>1.1000000000000001</v>
      </c>
      <c r="B96" s="931">
        <v>1.2310000000000001</v>
      </c>
      <c r="C96" s="931">
        <v>1.2310000000000001</v>
      </c>
      <c r="D96" s="931">
        <v>1.1947000000000001</v>
      </c>
      <c r="E96" s="931">
        <v>1.1947000000000001</v>
      </c>
      <c r="F96" s="931">
        <v>1.1947000000000001</v>
      </c>
      <c r="G96" s="931">
        <v>1.1947000000000001</v>
      </c>
      <c r="H96" s="931">
        <v>1.1947000000000001</v>
      </c>
      <c r="I96" s="931">
        <v>1.2008000000000001</v>
      </c>
      <c r="J96" s="931">
        <v>1.2008000000000001</v>
      </c>
      <c r="K96" s="931">
        <v>1.2008000000000001</v>
      </c>
      <c r="L96" s="931">
        <v>1.2008000000000001</v>
      </c>
      <c r="M96" s="931">
        <v>1.2008000000000001</v>
      </c>
    </row>
    <row r="97" spans="1:14">
      <c r="A97" s="938">
        <v>1.2</v>
      </c>
      <c r="B97" s="931">
        <v>1.2130000000000001</v>
      </c>
      <c r="C97" s="931">
        <v>1.2130000000000001</v>
      </c>
      <c r="D97" s="931">
        <v>1.1748000000000001</v>
      </c>
      <c r="E97" s="931">
        <v>1.1748000000000001</v>
      </c>
      <c r="F97" s="931">
        <v>1.1748000000000001</v>
      </c>
      <c r="G97" s="931">
        <v>1.1748000000000001</v>
      </c>
      <c r="H97" s="931">
        <v>1.1748000000000001</v>
      </c>
      <c r="I97" s="931">
        <v>1.173</v>
      </c>
      <c r="J97" s="931">
        <v>1.173</v>
      </c>
      <c r="K97" s="931">
        <v>1.173</v>
      </c>
      <c r="L97" s="931">
        <v>1.173</v>
      </c>
      <c r="M97" s="931">
        <v>1.173</v>
      </c>
    </row>
    <row r="98" spans="1:14">
      <c r="A98" s="938">
        <v>1.3</v>
      </c>
      <c r="B98" s="931">
        <v>1.196</v>
      </c>
      <c r="C98" s="931">
        <v>1.196</v>
      </c>
      <c r="D98" s="931">
        <v>1.1559999999999999</v>
      </c>
      <c r="E98" s="931">
        <v>1.1559999999999999</v>
      </c>
      <c r="F98" s="931">
        <v>1.1559999999999999</v>
      </c>
      <c r="G98" s="931">
        <v>1.1559999999999999</v>
      </c>
      <c r="H98" s="931">
        <v>1.1559999999999999</v>
      </c>
      <c r="I98" s="931">
        <v>1.1468</v>
      </c>
      <c r="J98" s="931">
        <v>1.1468</v>
      </c>
      <c r="K98" s="931">
        <v>1.1468</v>
      </c>
      <c r="L98" s="931">
        <v>1.1468</v>
      </c>
      <c r="M98" s="931">
        <v>1.1468</v>
      </c>
    </row>
    <row r="99" spans="1:14">
      <c r="A99" s="938">
        <v>1.4</v>
      </c>
      <c r="B99" s="931">
        <v>1.18</v>
      </c>
      <c r="C99" s="931">
        <v>1.18</v>
      </c>
      <c r="D99" s="931">
        <v>1.1382000000000001</v>
      </c>
      <c r="E99" s="931">
        <v>1.1382000000000001</v>
      </c>
      <c r="F99" s="931">
        <v>1.1382000000000001</v>
      </c>
      <c r="G99" s="931">
        <v>1.1382000000000001</v>
      </c>
      <c r="H99" s="931">
        <v>1.1382000000000001</v>
      </c>
      <c r="I99" s="931">
        <v>1.1220000000000001</v>
      </c>
      <c r="J99" s="931">
        <v>1.1220000000000001</v>
      </c>
      <c r="K99" s="931">
        <v>1.1220000000000001</v>
      </c>
      <c r="L99" s="931">
        <v>1.1220000000000001</v>
      </c>
      <c r="M99" s="931">
        <v>1.1220000000000001</v>
      </c>
    </row>
    <row r="100" spans="1:14">
      <c r="A100" s="938">
        <v>1.5</v>
      </c>
      <c r="B100" s="931">
        <v>1.1649</v>
      </c>
      <c r="C100" s="931">
        <v>1.1649</v>
      </c>
      <c r="D100" s="931">
        <v>1.1214999999999999</v>
      </c>
      <c r="E100" s="931">
        <v>1.1214999999999999</v>
      </c>
      <c r="F100" s="931">
        <v>1.1214999999999999</v>
      </c>
      <c r="G100" s="931">
        <v>1.1214999999999999</v>
      </c>
      <c r="H100" s="931">
        <v>1.1214999999999999</v>
      </c>
      <c r="I100" s="931">
        <v>1.0985</v>
      </c>
      <c r="J100" s="931">
        <v>1.0985</v>
      </c>
      <c r="K100" s="931">
        <v>1.0985</v>
      </c>
      <c r="L100" s="931">
        <v>1.0985</v>
      </c>
      <c r="M100" s="931">
        <v>1.0985</v>
      </c>
    </row>
    <row r="101" spans="1:14">
      <c r="A101" s="938">
        <v>1.6</v>
      </c>
      <c r="B101" s="931">
        <v>1.1507000000000001</v>
      </c>
      <c r="C101" s="931">
        <v>1.1507000000000001</v>
      </c>
      <c r="D101" s="931">
        <v>1.1056999999999999</v>
      </c>
      <c r="E101" s="931">
        <v>1.1056999999999999</v>
      </c>
      <c r="F101" s="931">
        <v>1.1056999999999999</v>
      </c>
      <c r="G101" s="931">
        <v>1.1056999999999999</v>
      </c>
      <c r="H101" s="931">
        <v>1.1056999999999999</v>
      </c>
      <c r="I101" s="931">
        <v>1.0764</v>
      </c>
      <c r="J101" s="931">
        <v>1.0764</v>
      </c>
      <c r="K101" s="931">
        <v>1.0764</v>
      </c>
      <c r="L101" s="931">
        <v>1.0764</v>
      </c>
      <c r="M101" s="931">
        <v>1.0764</v>
      </c>
    </row>
    <row r="102" spans="1:14">
      <c r="A102" s="938">
        <v>1.7</v>
      </c>
      <c r="B102" s="931">
        <v>1.1373</v>
      </c>
      <c r="C102" s="931">
        <v>1.1373</v>
      </c>
      <c r="D102" s="931">
        <v>1.0908</v>
      </c>
      <c r="E102" s="931">
        <v>1.0908</v>
      </c>
      <c r="F102" s="931">
        <v>1.0908</v>
      </c>
      <c r="G102" s="931">
        <v>1.0908</v>
      </c>
      <c r="H102" s="931">
        <v>1.0908</v>
      </c>
      <c r="I102" s="931">
        <v>1.0556000000000001</v>
      </c>
      <c r="J102" s="931">
        <v>1.0556000000000001</v>
      </c>
      <c r="K102" s="931">
        <v>1.0556000000000001</v>
      </c>
      <c r="L102" s="931">
        <v>1.0556000000000001</v>
      </c>
      <c r="M102" s="931">
        <v>1.0556000000000001</v>
      </c>
    </row>
    <row r="103" spans="1:14">
      <c r="A103" s="938">
        <v>1.8</v>
      </c>
      <c r="B103" s="931">
        <v>1.1247</v>
      </c>
      <c r="C103" s="931">
        <v>1.1247</v>
      </c>
      <c r="D103" s="931">
        <v>1.0768</v>
      </c>
      <c r="E103" s="931">
        <v>1.0768</v>
      </c>
      <c r="F103" s="931">
        <v>1.0768</v>
      </c>
      <c r="G103" s="931">
        <v>1.0768</v>
      </c>
      <c r="H103" s="931">
        <v>1.0768</v>
      </c>
      <c r="I103" s="931">
        <v>1.0359</v>
      </c>
      <c r="J103" s="931">
        <v>1.0359</v>
      </c>
      <c r="K103" s="931">
        <v>1.0359</v>
      </c>
      <c r="L103" s="931">
        <v>1.0359</v>
      </c>
      <c r="M103" s="931">
        <v>1.0359</v>
      </c>
    </row>
    <row r="104" spans="1:14" ht="14.25">
      <c r="A104" s="922">
        <v>1.9</v>
      </c>
      <c r="B104" s="923">
        <v>1.1128</v>
      </c>
      <c r="C104" s="923">
        <v>1.1128</v>
      </c>
      <c r="D104" s="923">
        <v>1.0637000000000001</v>
      </c>
      <c r="E104" s="923">
        <v>1.0637000000000001</v>
      </c>
      <c r="F104" s="923">
        <v>1.0637000000000001</v>
      </c>
      <c r="G104" s="923">
        <v>1.0637000000000001</v>
      </c>
      <c r="H104" s="924">
        <v>1.0637000000000001</v>
      </c>
      <c r="I104" s="924">
        <v>1.0174000000000001</v>
      </c>
      <c r="J104" s="925">
        <v>1.0174000000000001</v>
      </c>
      <c r="K104" s="925">
        <v>1.0174000000000001</v>
      </c>
      <c r="L104" s="925">
        <v>1.0174000000000001</v>
      </c>
      <c r="M104" s="925">
        <v>1.0174000000000001</v>
      </c>
      <c r="N104" s="920"/>
    </row>
    <row r="105" spans="1:14">
      <c r="A105" s="922">
        <v>2</v>
      </c>
      <c r="B105" s="931">
        <v>1.1016999999999999</v>
      </c>
      <c r="C105" s="931">
        <v>1.1016999999999999</v>
      </c>
      <c r="D105" s="931">
        <v>1.0512999999999999</v>
      </c>
      <c r="E105" s="931">
        <v>1.0512999999999999</v>
      </c>
      <c r="F105" s="931">
        <v>1.0512999999999999</v>
      </c>
      <c r="G105" s="931">
        <v>1.0512999999999999</v>
      </c>
      <c r="H105" s="931">
        <v>1.0512999999999999</v>
      </c>
      <c r="I105" s="931">
        <v>1</v>
      </c>
      <c r="J105" s="931">
        <v>1</v>
      </c>
      <c r="K105" s="931">
        <v>1</v>
      </c>
      <c r="L105" s="931">
        <v>1</v>
      </c>
      <c r="M105" s="931">
        <v>1</v>
      </c>
    </row>
    <row r="106" spans="1:14">
      <c r="A106" s="922">
        <v>2.1</v>
      </c>
      <c r="B106" s="931">
        <v>1.0912999999999999</v>
      </c>
      <c r="C106" s="931">
        <v>1.0912999999999999</v>
      </c>
      <c r="D106" s="931">
        <v>1.0397000000000001</v>
      </c>
      <c r="E106" s="931">
        <v>1.0397000000000001</v>
      </c>
      <c r="F106" s="931">
        <v>1.0397000000000001</v>
      </c>
      <c r="G106" s="931">
        <v>1.0397000000000001</v>
      </c>
      <c r="H106" s="931">
        <v>1.0397000000000001</v>
      </c>
      <c r="I106" s="931">
        <v>0.98360000000000003</v>
      </c>
      <c r="J106" s="931">
        <v>0.98360000000000003</v>
      </c>
      <c r="K106" s="931">
        <v>0.98360000000000003</v>
      </c>
      <c r="L106" s="931">
        <v>0.98360000000000003</v>
      </c>
      <c r="M106" s="931">
        <v>0.98360000000000003</v>
      </c>
    </row>
    <row r="107" spans="1:14">
      <c r="A107" s="922">
        <v>2.2000000000000002</v>
      </c>
      <c r="B107" s="931">
        <v>1.0814999999999999</v>
      </c>
      <c r="C107" s="931">
        <v>1.0814999999999999</v>
      </c>
      <c r="D107" s="931">
        <v>1.0287999999999999</v>
      </c>
      <c r="E107" s="931">
        <v>1.0287999999999999</v>
      </c>
      <c r="F107" s="931">
        <v>1.0287999999999999</v>
      </c>
      <c r="G107" s="931">
        <v>1.0287999999999999</v>
      </c>
      <c r="H107" s="931">
        <v>1.0287999999999999</v>
      </c>
      <c r="I107" s="931">
        <v>0.96819999999999995</v>
      </c>
      <c r="J107" s="931">
        <v>0.96819999999999995</v>
      </c>
      <c r="K107" s="931">
        <v>0.96819999999999995</v>
      </c>
      <c r="L107" s="931">
        <v>0.96819999999999995</v>
      </c>
      <c r="M107" s="931">
        <v>0.96819999999999995</v>
      </c>
    </row>
    <row r="108" spans="1:14">
      <c r="A108" s="922">
        <v>2.2999999999999998</v>
      </c>
      <c r="B108" s="931">
        <v>1.0724</v>
      </c>
      <c r="C108" s="931">
        <v>1.0724</v>
      </c>
      <c r="D108" s="931">
        <v>1.0185999999999999</v>
      </c>
      <c r="E108" s="931">
        <v>1.0185999999999999</v>
      </c>
      <c r="F108" s="931">
        <v>1.0185999999999999</v>
      </c>
      <c r="G108" s="931">
        <v>1.0185999999999999</v>
      </c>
      <c r="H108" s="931">
        <v>1.0185999999999999</v>
      </c>
      <c r="I108" s="931">
        <v>0.95369999999999999</v>
      </c>
      <c r="J108" s="931">
        <v>0.95369999999999999</v>
      </c>
      <c r="K108" s="931">
        <v>0.95369999999999999</v>
      </c>
      <c r="L108" s="931">
        <v>0.95369999999999999</v>
      </c>
      <c r="M108" s="931">
        <v>0.95369999999999999</v>
      </c>
    </row>
    <row r="109" spans="1:14">
      <c r="A109" s="922">
        <v>2.4</v>
      </c>
      <c r="B109" s="931">
        <v>1.0638000000000001</v>
      </c>
      <c r="C109" s="931">
        <v>1.0638000000000001</v>
      </c>
      <c r="D109" s="931">
        <v>1.0089999999999999</v>
      </c>
      <c r="E109" s="931">
        <v>1.0089999999999999</v>
      </c>
      <c r="F109" s="931">
        <v>1.0089999999999999</v>
      </c>
      <c r="G109" s="931">
        <v>1.0089999999999999</v>
      </c>
      <c r="H109" s="931">
        <v>1.0089999999999999</v>
      </c>
      <c r="I109" s="931">
        <v>0.94010000000000005</v>
      </c>
      <c r="J109" s="931">
        <v>0.94010000000000005</v>
      </c>
      <c r="K109" s="931">
        <v>0.94010000000000005</v>
      </c>
      <c r="L109" s="931">
        <v>0.94010000000000005</v>
      </c>
      <c r="M109" s="931">
        <v>0.94010000000000005</v>
      </c>
    </row>
    <row r="110" spans="1:14">
      <c r="A110" s="922">
        <v>2.5</v>
      </c>
      <c r="B110" s="931">
        <v>1.0558000000000001</v>
      </c>
      <c r="C110" s="931">
        <v>1.0558000000000001</v>
      </c>
      <c r="D110" s="931">
        <v>1</v>
      </c>
      <c r="E110" s="931">
        <v>1</v>
      </c>
      <c r="F110" s="931">
        <v>1</v>
      </c>
      <c r="G110" s="931">
        <v>1</v>
      </c>
      <c r="H110" s="931">
        <v>1</v>
      </c>
      <c r="I110" s="931">
        <v>0.9274</v>
      </c>
      <c r="J110" s="931">
        <v>0.9274</v>
      </c>
      <c r="K110" s="931">
        <v>0.9274</v>
      </c>
      <c r="L110" s="931">
        <v>0.9274</v>
      </c>
      <c r="M110" s="931">
        <v>0.9274</v>
      </c>
    </row>
    <row r="111" spans="1:14">
      <c r="A111" s="922">
        <v>2.6</v>
      </c>
      <c r="B111" s="931">
        <v>1.0483</v>
      </c>
      <c r="C111" s="931">
        <v>1.0483</v>
      </c>
      <c r="D111" s="931">
        <v>0.99160000000000004</v>
      </c>
      <c r="E111" s="931">
        <v>0.99160000000000004</v>
      </c>
      <c r="F111" s="931">
        <v>0.99160000000000004</v>
      </c>
      <c r="G111" s="931">
        <v>0.99160000000000004</v>
      </c>
      <c r="H111" s="931">
        <v>0.99160000000000004</v>
      </c>
      <c r="I111" s="931">
        <v>0.91539999999999999</v>
      </c>
      <c r="J111" s="931">
        <v>0.91539999999999999</v>
      </c>
      <c r="K111" s="931">
        <v>0.91539999999999999</v>
      </c>
      <c r="L111" s="931">
        <v>0.91539999999999999</v>
      </c>
      <c r="M111" s="931">
        <v>0.91539999999999999</v>
      </c>
    </row>
    <row r="112" spans="1:14">
      <c r="A112" s="922">
        <v>2.7</v>
      </c>
      <c r="B112" s="931">
        <v>1.0412999999999999</v>
      </c>
      <c r="C112" s="931">
        <v>1.0412999999999999</v>
      </c>
      <c r="D112" s="931">
        <v>0.98370000000000002</v>
      </c>
      <c r="E112" s="931">
        <v>0.98370000000000002</v>
      </c>
      <c r="F112" s="931">
        <v>0.98370000000000002</v>
      </c>
      <c r="G112" s="931">
        <v>0.98370000000000002</v>
      </c>
      <c r="H112" s="931">
        <v>0.98370000000000002</v>
      </c>
      <c r="I112" s="931">
        <v>0.90429999999999999</v>
      </c>
      <c r="J112" s="931">
        <v>0.90429999999999999</v>
      </c>
      <c r="K112" s="931">
        <v>0.90429999999999999</v>
      </c>
      <c r="L112" s="931">
        <v>0.90429999999999999</v>
      </c>
      <c r="M112" s="931">
        <v>0.90429999999999999</v>
      </c>
    </row>
    <row r="113" spans="1:13">
      <c r="A113" s="922">
        <v>2.8</v>
      </c>
      <c r="B113" s="931">
        <v>1.0347999999999999</v>
      </c>
      <c r="C113" s="931">
        <v>1.0347999999999999</v>
      </c>
      <c r="D113" s="931">
        <v>0.97640000000000005</v>
      </c>
      <c r="E113" s="931">
        <v>0.97640000000000005</v>
      </c>
      <c r="F113" s="931">
        <v>0.97640000000000005</v>
      </c>
      <c r="G113" s="931">
        <v>0.97640000000000005</v>
      </c>
      <c r="H113" s="931">
        <v>0.97640000000000005</v>
      </c>
      <c r="I113" s="931">
        <v>0.89370000000000005</v>
      </c>
      <c r="J113" s="931">
        <v>0.89370000000000005</v>
      </c>
      <c r="K113" s="931">
        <v>0.89370000000000005</v>
      </c>
      <c r="L113" s="931">
        <v>0.89370000000000005</v>
      </c>
      <c r="M113" s="931">
        <v>0.89370000000000005</v>
      </c>
    </row>
    <row r="114" spans="1:13">
      <c r="A114" s="922">
        <v>2.9</v>
      </c>
      <c r="B114" s="931">
        <v>1.0286999999999999</v>
      </c>
      <c r="C114" s="931">
        <v>1.0286999999999999</v>
      </c>
      <c r="D114" s="931">
        <v>0.96950000000000003</v>
      </c>
      <c r="E114" s="931">
        <v>0.96950000000000003</v>
      </c>
      <c r="F114" s="931">
        <v>0.96950000000000003</v>
      </c>
      <c r="G114" s="931">
        <v>0.96950000000000003</v>
      </c>
      <c r="H114" s="931">
        <v>0.96950000000000003</v>
      </c>
      <c r="I114" s="931">
        <v>0.88390000000000002</v>
      </c>
      <c r="J114" s="931">
        <v>0.88390000000000002</v>
      </c>
      <c r="K114" s="931">
        <v>0.88390000000000002</v>
      </c>
      <c r="L114" s="931">
        <v>0.88390000000000002</v>
      </c>
      <c r="M114" s="931">
        <v>0.88390000000000002</v>
      </c>
    </row>
    <row r="115" spans="1:13">
      <c r="A115" s="922">
        <v>3</v>
      </c>
      <c r="B115" s="931">
        <v>1.0229999999999999</v>
      </c>
      <c r="C115" s="931">
        <v>1.0229999999999999</v>
      </c>
      <c r="D115" s="931">
        <v>0.96309999999999996</v>
      </c>
      <c r="E115" s="931">
        <v>0.96309999999999996</v>
      </c>
      <c r="F115" s="931">
        <v>0.96309999999999996</v>
      </c>
      <c r="G115" s="931">
        <v>0.96309999999999996</v>
      </c>
      <c r="H115" s="931">
        <v>0.96309999999999996</v>
      </c>
      <c r="I115" s="931">
        <v>0.87460000000000004</v>
      </c>
      <c r="J115" s="931">
        <v>0.87460000000000004</v>
      </c>
      <c r="K115" s="931">
        <v>0.87460000000000004</v>
      </c>
      <c r="L115" s="931">
        <v>0.87460000000000004</v>
      </c>
      <c r="M115" s="931">
        <v>0.87460000000000004</v>
      </c>
    </row>
    <row r="116" spans="1:13">
      <c r="A116" s="922">
        <v>3.1</v>
      </c>
      <c r="B116" s="931">
        <v>1.0177</v>
      </c>
      <c r="C116" s="931">
        <v>1.0177</v>
      </c>
      <c r="D116" s="931">
        <v>0.95709999999999995</v>
      </c>
      <c r="E116" s="931">
        <v>0.95709999999999995</v>
      </c>
      <c r="F116" s="931">
        <v>0.95709999999999995</v>
      </c>
      <c r="G116" s="931">
        <v>0.95709999999999995</v>
      </c>
      <c r="H116" s="931">
        <v>0.95709999999999995</v>
      </c>
      <c r="I116" s="931">
        <v>0.8659</v>
      </c>
      <c r="J116" s="931">
        <v>0.8659</v>
      </c>
      <c r="K116" s="931">
        <v>0.8659</v>
      </c>
      <c r="L116" s="931">
        <v>0.8659</v>
      </c>
      <c r="M116" s="931">
        <v>0.8659</v>
      </c>
    </row>
    <row r="117" spans="1:13">
      <c r="A117" s="922">
        <v>3.2</v>
      </c>
      <c r="B117" s="931">
        <v>1.0127999999999999</v>
      </c>
      <c r="C117" s="931">
        <v>1.0127999999999999</v>
      </c>
      <c r="D117" s="931">
        <v>0.9516</v>
      </c>
      <c r="E117" s="931">
        <v>0.9516</v>
      </c>
      <c r="F117" s="931">
        <v>0.9516</v>
      </c>
      <c r="G117" s="931">
        <v>0.9516</v>
      </c>
      <c r="H117" s="931">
        <v>0.9516</v>
      </c>
      <c r="I117" s="931">
        <v>0.85780000000000001</v>
      </c>
      <c r="J117" s="931">
        <v>0.85780000000000001</v>
      </c>
      <c r="K117" s="931">
        <v>0.85780000000000001</v>
      </c>
      <c r="L117" s="931">
        <v>0.85780000000000001</v>
      </c>
      <c r="M117" s="931">
        <v>0.85780000000000001</v>
      </c>
    </row>
    <row r="118" spans="1:13">
      <c r="A118" s="922">
        <v>3.3</v>
      </c>
      <c r="B118" s="931">
        <v>1.0082</v>
      </c>
      <c r="C118" s="931">
        <v>1.0082</v>
      </c>
      <c r="D118" s="931">
        <v>0.94640000000000002</v>
      </c>
      <c r="E118" s="931">
        <v>0.94640000000000002</v>
      </c>
      <c r="F118" s="931">
        <v>0.94640000000000002</v>
      </c>
      <c r="G118" s="931">
        <v>0.94640000000000002</v>
      </c>
      <c r="H118" s="931">
        <v>0.94640000000000002</v>
      </c>
      <c r="I118" s="931">
        <v>0.85029999999999994</v>
      </c>
      <c r="J118" s="931">
        <v>0.85029999999999994</v>
      </c>
      <c r="K118" s="931">
        <v>0.85029999999999994</v>
      </c>
      <c r="L118" s="931">
        <v>0.85029999999999994</v>
      </c>
      <c r="M118" s="931">
        <v>0.85029999999999994</v>
      </c>
    </row>
    <row r="119" spans="1:13">
      <c r="A119" s="922">
        <v>3.4</v>
      </c>
      <c r="B119" s="931">
        <v>1.004</v>
      </c>
      <c r="C119" s="931">
        <v>1.004</v>
      </c>
      <c r="D119" s="931">
        <v>0.9415</v>
      </c>
      <c r="E119" s="931">
        <v>0.9415</v>
      </c>
      <c r="F119" s="931">
        <v>0.9415</v>
      </c>
      <c r="G119" s="931">
        <v>0.9415</v>
      </c>
      <c r="H119" s="931">
        <v>0.9415</v>
      </c>
      <c r="I119" s="931">
        <v>0.84319999999999995</v>
      </c>
      <c r="J119" s="931">
        <v>0.84319999999999995</v>
      </c>
      <c r="K119" s="931">
        <v>0.84319999999999995</v>
      </c>
      <c r="L119" s="931">
        <v>0.84319999999999995</v>
      </c>
      <c r="M119" s="931">
        <v>0.84319999999999995</v>
      </c>
    </row>
    <row r="120" spans="1:13">
      <c r="A120" s="922">
        <v>3.5</v>
      </c>
      <c r="B120" s="931">
        <v>1</v>
      </c>
      <c r="C120" s="931">
        <v>1</v>
      </c>
      <c r="D120" s="931">
        <v>0.93700000000000006</v>
      </c>
      <c r="E120" s="931">
        <v>0.93700000000000006</v>
      </c>
      <c r="F120" s="931">
        <v>0.93700000000000006</v>
      </c>
      <c r="G120" s="931">
        <v>0.93700000000000006</v>
      </c>
      <c r="H120" s="931">
        <v>0.93700000000000006</v>
      </c>
      <c r="I120" s="931">
        <v>0.83660000000000001</v>
      </c>
      <c r="J120" s="931">
        <v>0.83660000000000001</v>
      </c>
      <c r="K120" s="931">
        <v>0.83660000000000001</v>
      </c>
      <c r="L120" s="931">
        <v>0.83660000000000001</v>
      </c>
      <c r="M120" s="931">
        <v>0.83660000000000001</v>
      </c>
    </row>
    <row r="121" spans="1:13">
      <c r="A121" s="922">
        <v>3.6</v>
      </c>
      <c r="B121" s="931">
        <v>0.99629999999999996</v>
      </c>
      <c r="C121" s="931">
        <v>0.99629999999999996</v>
      </c>
      <c r="D121" s="931">
        <v>0.93279999999999996</v>
      </c>
      <c r="E121" s="931">
        <v>0.93279999999999996</v>
      </c>
      <c r="F121" s="931">
        <v>0.93279999999999996</v>
      </c>
      <c r="G121" s="931">
        <v>0.93279999999999996</v>
      </c>
      <c r="H121" s="931">
        <v>0.93279999999999996</v>
      </c>
      <c r="I121" s="931">
        <v>0.83040000000000003</v>
      </c>
      <c r="J121" s="931">
        <v>0.83040000000000003</v>
      </c>
      <c r="K121" s="931">
        <v>0.83040000000000003</v>
      </c>
      <c r="L121" s="931">
        <v>0.83040000000000003</v>
      </c>
      <c r="M121" s="931">
        <v>0.83040000000000003</v>
      </c>
    </row>
    <row r="122" spans="1:13">
      <c r="A122" s="922">
        <v>3.7</v>
      </c>
      <c r="B122" s="931">
        <v>0.9929</v>
      </c>
      <c r="C122" s="931">
        <v>0.9929</v>
      </c>
      <c r="D122" s="931">
        <v>0.92879999999999996</v>
      </c>
      <c r="E122" s="931">
        <v>0.92879999999999996</v>
      </c>
      <c r="F122" s="931">
        <v>0.92879999999999996</v>
      </c>
      <c r="G122" s="931">
        <v>0.92879999999999996</v>
      </c>
      <c r="H122" s="931">
        <v>0.92879999999999996</v>
      </c>
      <c r="I122" s="931">
        <v>0.8246</v>
      </c>
      <c r="J122" s="931">
        <v>0.8246</v>
      </c>
      <c r="K122" s="931">
        <v>0.8246</v>
      </c>
      <c r="L122" s="931">
        <v>0.8246</v>
      </c>
      <c r="M122" s="931">
        <v>0.8246</v>
      </c>
    </row>
    <row r="123" spans="1:13">
      <c r="A123" s="922">
        <v>3.8</v>
      </c>
      <c r="B123" s="931">
        <v>0.98970000000000002</v>
      </c>
      <c r="C123" s="931">
        <v>0.98970000000000002</v>
      </c>
      <c r="D123" s="931">
        <v>0.92520000000000002</v>
      </c>
      <c r="E123" s="931">
        <v>0.92520000000000002</v>
      </c>
      <c r="F123" s="931">
        <v>0.92520000000000002</v>
      </c>
      <c r="G123" s="931">
        <v>0.92520000000000002</v>
      </c>
      <c r="H123" s="931">
        <v>0.92520000000000002</v>
      </c>
      <c r="I123" s="931">
        <v>0.81920000000000004</v>
      </c>
      <c r="J123" s="931">
        <v>0.81920000000000004</v>
      </c>
      <c r="K123" s="931">
        <v>0.81920000000000004</v>
      </c>
      <c r="L123" s="931">
        <v>0.81920000000000004</v>
      </c>
      <c r="M123" s="931">
        <v>0.81920000000000004</v>
      </c>
    </row>
    <row r="124" spans="1:13">
      <c r="A124" s="922">
        <v>3.9</v>
      </c>
      <c r="B124" s="931">
        <v>0.98670000000000002</v>
      </c>
      <c r="C124" s="931">
        <v>0.98670000000000002</v>
      </c>
      <c r="D124" s="931">
        <v>0.92179999999999995</v>
      </c>
      <c r="E124" s="931">
        <v>0.92179999999999995</v>
      </c>
      <c r="F124" s="931">
        <v>0.92179999999999995</v>
      </c>
      <c r="G124" s="931">
        <v>0.92179999999999995</v>
      </c>
      <c r="H124" s="931">
        <v>0.92179999999999995</v>
      </c>
      <c r="I124" s="931">
        <v>0.81410000000000005</v>
      </c>
      <c r="J124" s="931">
        <v>0.81410000000000005</v>
      </c>
      <c r="K124" s="931">
        <v>0.81410000000000005</v>
      </c>
      <c r="L124" s="931">
        <v>0.81410000000000005</v>
      </c>
      <c r="M124" s="931">
        <v>0.81410000000000005</v>
      </c>
    </row>
    <row r="125" spans="1:13">
      <c r="A125" s="938">
        <v>4</v>
      </c>
      <c r="B125" s="931">
        <v>0.98380000000000001</v>
      </c>
      <c r="C125" s="931">
        <v>0.98380000000000001</v>
      </c>
      <c r="D125" s="931">
        <v>0.91859999999999997</v>
      </c>
      <c r="E125" s="931">
        <v>0.91859999999999997</v>
      </c>
      <c r="F125" s="931">
        <v>0.91859999999999997</v>
      </c>
      <c r="G125" s="931">
        <v>0.91859999999999997</v>
      </c>
      <c r="H125" s="931">
        <v>0.91859999999999997</v>
      </c>
      <c r="I125" s="931">
        <v>0.80940000000000001</v>
      </c>
      <c r="J125" s="931">
        <v>0.80940000000000001</v>
      </c>
      <c r="K125" s="931">
        <v>0.80940000000000001</v>
      </c>
      <c r="L125" s="931">
        <v>0.80940000000000001</v>
      </c>
      <c r="M125" s="931">
        <v>0.80940000000000001</v>
      </c>
    </row>
    <row r="126" spans="1:13">
      <c r="A126" s="938">
        <v>4.0999999999999996</v>
      </c>
      <c r="B126" s="931">
        <v>0.98099999999999998</v>
      </c>
      <c r="C126" s="931">
        <v>0.98099999999999998</v>
      </c>
      <c r="D126" s="931">
        <v>0.91559999999999997</v>
      </c>
      <c r="E126" s="931">
        <v>0.91559999999999997</v>
      </c>
      <c r="F126" s="931">
        <v>0.91559999999999997</v>
      </c>
      <c r="G126" s="931">
        <v>0.91559999999999997</v>
      </c>
      <c r="H126" s="931">
        <v>0.91559999999999997</v>
      </c>
      <c r="I126" s="931">
        <v>0.80489999999999995</v>
      </c>
      <c r="J126" s="931">
        <v>0.80489999999999995</v>
      </c>
      <c r="K126" s="931">
        <v>0.80489999999999995</v>
      </c>
      <c r="L126" s="931">
        <v>0.80489999999999995</v>
      </c>
      <c r="M126" s="931">
        <v>0.80489999999999995</v>
      </c>
    </row>
    <row r="127" spans="1:13">
      <c r="A127" s="938">
        <v>4.2</v>
      </c>
      <c r="B127" s="931">
        <v>0.97829999999999995</v>
      </c>
      <c r="C127" s="931">
        <v>0.97829999999999995</v>
      </c>
      <c r="D127" s="931">
        <v>0.91269999999999996</v>
      </c>
      <c r="E127" s="931">
        <v>0.91269999999999996</v>
      </c>
      <c r="F127" s="931">
        <v>0.91269999999999996</v>
      </c>
      <c r="G127" s="931">
        <v>0.91269999999999996</v>
      </c>
      <c r="H127" s="931">
        <v>0.91269999999999996</v>
      </c>
      <c r="I127" s="931">
        <v>0.80059999999999998</v>
      </c>
      <c r="J127" s="931">
        <v>0.80059999999999998</v>
      </c>
      <c r="K127" s="931">
        <v>0.80059999999999998</v>
      </c>
      <c r="L127" s="931">
        <v>0.80059999999999998</v>
      </c>
      <c r="M127" s="931">
        <v>0.80059999999999998</v>
      </c>
    </row>
    <row r="128" spans="1:13">
      <c r="A128" s="938">
        <v>4.3</v>
      </c>
      <c r="B128" s="931">
        <v>0.97570000000000001</v>
      </c>
      <c r="C128" s="931">
        <v>0.97570000000000001</v>
      </c>
      <c r="D128" s="931">
        <v>0.90990000000000004</v>
      </c>
      <c r="E128" s="931">
        <v>0.90990000000000004</v>
      </c>
      <c r="F128" s="931">
        <v>0.90990000000000004</v>
      </c>
      <c r="G128" s="931">
        <v>0.90990000000000004</v>
      </c>
      <c r="H128" s="931">
        <v>0.90990000000000004</v>
      </c>
      <c r="I128" s="931">
        <v>0.79649999999999999</v>
      </c>
      <c r="J128" s="931">
        <v>0.79649999999999999</v>
      </c>
      <c r="K128" s="931">
        <v>0.79649999999999999</v>
      </c>
      <c r="L128" s="931">
        <v>0.79649999999999999</v>
      </c>
      <c r="M128" s="931">
        <v>0.79649999999999999</v>
      </c>
    </row>
    <row r="129" spans="1:13">
      <c r="A129" s="938">
        <v>4.4000000000000004</v>
      </c>
      <c r="B129" s="931">
        <v>0.97319999999999995</v>
      </c>
      <c r="C129" s="931">
        <v>0.97319999999999995</v>
      </c>
      <c r="D129" s="931">
        <v>0.90720000000000001</v>
      </c>
      <c r="E129" s="931">
        <v>0.90720000000000001</v>
      </c>
      <c r="F129" s="931">
        <v>0.90720000000000001</v>
      </c>
      <c r="G129" s="931">
        <v>0.90720000000000001</v>
      </c>
      <c r="H129" s="931">
        <v>0.90720000000000001</v>
      </c>
      <c r="I129" s="931">
        <v>0.79259999999999997</v>
      </c>
      <c r="J129" s="931">
        <v>0.79259999999999997</v>
      </c>
      <c r="K129" s="931">
        <v>0.79259999999999997</v>
      </c>
      <c r="L129" s="931">
        <v>0.79259999999999997</v>
      </c>
      <c r="M129" s="931">
        <v>0.79259999999999997</v>
      </c>
    </row>
    <row r="130" spans="1:13">
      <c r="A130" s="938">
        <v>4.5</v>
      </c>
      <c r="B130" s="931">
        <v>0.9708</v>
      </c>
      <c r="C130" s="931">
        <v>0.9708</v>
      </c>
      <c r="D130" s="931">
        <v>0.90459999999999996</v>
      </c>
      <c r="E130" s="931">
        <v>0.90459999999999996</v>
      </c>
      <c r="F130" s="931">
        <v>0.90459999999999996</v>
      </c>
      <c r="G130" s="931">
        <v>0.90459999999999996</v>
      </c>
      <c r="H130" s="931">
        <v>0.90459999999999996</v>
      </c>
      <c r="I130" s="931">
        <v>0.78890000000000005</v>
      </c>
      <c r="J130" s="931">
        <v>0.78890000000000005</v>
      </c>
      <c r="K130" s="931">
        <v>0.78890000000000005</v>
      </c>
      <c r="L130" s="931">
        <v>0.78890000000000005</v>
      </c>
      <c r="M130" s="931">
        <v>0.78890000000000005</v>
      </c>
    </row>
    <row r="131" spans="1:13">
      <c r="A131" s="938">
        <v>4.5999999999999996</v>
      </c>
      <c r="B131" s="931">
        <v>0.96850000000000003</v>
      </c>
      <c r="C131" s="931">
        <v>0.96850000000000003</v>
      </c>
      <c r="D131" s="931">
        <v>0.90210000000000001</v>
      </c>
      <c r="E131" s="931">
        <v>0.90210000000000001</v>
      </c>
      <c r="F131" s="931">
        <v>0.90210000000000001</v>
      </c>
      <c r="G131" s="931">
        <v>0.90210000000000001</v>
      </c>
      <c r="H131" s="931">
        <v>0.90210000000000001</v>
      </c>
      <c r="I131" s="931">
        <v>0.78539999999999999</v>
      </c>
      <c r="J131" s="931">
        <v>0.78539999999999999</v>
      </c>
      <c r="K131" s="931">
        <v>0.78539999999999999</v>
      </c>
      <c r="L131" s="931">
        <v>0.78539999999999999</v>
      </c>
      <c r="M131" s="931">
        <v>0.78539999999999999</v>
      </c>
    </row>
    <row r="132" spans="1:13">
      <c r="A132" s="938">
        <v>4.7</v>
      </c>
      <c r="B132" s="931">
        <v>0.96630000000000005</v>
      </c>
      <c r="C132" s="931">
        <v>0.96630000000000005</v>
      </c>
      <c r="D132" s="931">
        <v>0.89959999999999996</v>
      </c>
      <c r="E132" s="931">
        <v>0.89959999999999996</v>
      </c>
      <c r="F132" s="931">
        <v>0.89959999999999996</v>
      </c>
      <c r="G132" s="931">
        <v>0.89959999999999996</v>
      </c>
      <c r="H132" s="931">
        <v>0.89959999999999996</v>
      </c>
      <c r="I132" s="931">
        <v>0.78210000000000002</v>
      </c>
      <c r="J132" s="931">
        <v>0.78210000000000002</v>
      </c>
      <c r="K132" s="931">
        <v>0.78210000000000002</v>
      </c>
      <c r="L132" s="931">
        <v>0.78210000000000002</v>
      </c>
      <c r="M132" s="931">
        <v>0.78210000000000002</v>
      </c>
    </row>
    <row r="133" spans="1:13">
      <c r="A133" s="938">
        <v>4.8</v>
      </c>
      <c r="B133" s="931">
        <v>0.96409999999999996</v>
      </c>
      <c r="C133" s="931">
        <v>0.96409999999999996</v>
      </c>
      <c r="D133" s="931">
        <v>0.8972</v>
      </c>
      <c r="E133" s="931">
        <v>0.8972</v>
      </c>
      <c r="F133" s="931">
        <v>0.8972</v>
      </c>
      <c r="G133" s="931">
        <v>0.8972</v>
      </c>
      <c r="H133" s="931">
        <v>0.8972</v>
      </c>
      <c r="I133" s="931">
        <v>0.77890000000000004</v>
      </c>
      <c r="J133" s="931">
        <v>0.77890000000000004</v>
      </c>
      <c r="K133" s="931">
        <v>0.77890000000000004</v>
      </c>
      <c r="L133" s="931">
        <v>0.77890000000000004</v>
      </c>
      <c r="M133" s="931">
        <v>0.77890000000000004</v>
      </c>
    </row>
    <row r="134" spans="1:13">
      <c r="A134" s="938">
        <v>4.9000000000000004</v>
      </c>
      <c r="B134" s="931">
        <v>0.96199999999999997</v>
      </c>
      <c r="C134" s="931">
        <v>0.96199999999999997</v>
      </c>
      <c r="D134" s="931">
        <v>0.89480000000000004</v>
      </c>
      <c r="E134" s="931">
        <v>0.89480000000000004</v>
      </c>
      <c r="F134" s="931">
        <v>0.89480000000000004</v>
      </c>
      <c r="G134" s="931">
        <v>0.89480000000000004</v>
      </c>
      <c r="H134" s="931">
        <v>0.89480000000000004</v>
      </c>
      <c r="I134" s="931">
        <v>0.77580000000000005</v>
      </c>
      <c r="J134" s="931">
        <v>0.77580000000000005</v>
      </c>
      <c r="K134" s="931">
        <v>0.77580000000000005</v>
      </c>
      <c r="L134" s="931">
        <v>0.77580000000000005</v>
      </c>
      <c r="M134" s="931">
        <v>0.77580000000000005</v>
      </c>
    </row>
    <row r="135" spans="1:13">
      <c r="A135" s="938">
        <v>5</v>
      </c>
      <c r="B135" s="931">
        <v>0.95989999999999998</v>
      </c>
      <c r="C135" s="931">
        <v>0.95989999999999998</v>
      </c>
      <c r="D135" s="931">
        <v>0.89239999999999997</v>
      </c>
      <c r="E135" s="931">
        <v>0.89239999999999997</v>
      </c>
      <c r="F135" s="931">
        <v>0.89239999999999997</v>
      </c>
      <c r="G135" s="931">
        <v>0.89239999999999997</v>
      </c>
      <c r="H135" s="931">
        <v>0.89239999999999997</v>
      </c>
      <c r="I135" s="931">
        <v>0.77280000000000004</v>
      </c>
      <c r="J135" s="931">
        <v>0.77280000000000004</v>
      </c>
      <c r="K135" s="931">
        <v>0.77280000000000004</v>
      </c>
      <c r="L135" s="931">
        <v>0.77280000000000004</v>
      </c>
      <c r="M135" s="931">
        <v>0.77280000000000004</v>
      </c>
    </row>
    <row r="136" spans="1:13">
      <c r="A136" s="938">
        <v>5.0999999999999996</v>
      </c>
      <c r="B136" s="931">
        <v>0.95779999999999998</v>
      </c>
      <c r="C136" s="931">
        <v>0.95779999999999998</v>
      </c>
      <c r="D136" s="931">
        <v>0.8901</v>
      </c>
      <c r="E136" s="931">
        <v>0.8901</v>
      </c>
      <c r="F136" s="931">
        <v>0.8901</v>
      </c>
      <c r="G136" s="931">
        <v>0.8901</v>
      </c>
      <c r="H136" s="931">
        <v>0.8901</v>
      </c>
      <c r="I136" s="931">
        <v>0.76990000000000003</v>
      </c>
      <c r="J136" s="931">
        <v>0.76990000000000003</v>
      </c>
      <c r="K136" s="931">
        <v>0.76990000000000003</v>
      </c>
      <c r="L136" s="931">
        <v>0.76990000000000003</v>
      </c>
      <c r="M136" s="931">
        <v>0.76990000000000003</v>
      </c>
    </row>
    <row r="137" spans="1:13">
      <c r="A137" s="938">
        <v>5.2</v>
      </c>
      <c r="B137" s="931">
        <v>0.95579999999999998</v>
      </c>
      <c r="C137" s="931">
        <v>0.95579999999999998</v>
      </c>
      <c r="D137" s="931">
        <v>0.88780000000000003</v>
      </c>
      <c r="E137" s="931">
        <v>0.88780000000000003</v>
      </c>
      <c r="F137" s="931">
        <v>0.88780000000000003</v>
      </c>
      <c r="G137" s="931">
        <v>0.88780000000000003</v>
      </c>
      <c r="H137" s="931">
        <v>0.88780000000000003</v>
      </c>
      <c r="I137" s="931">
        <v>0.76700000000000002</v>
      </c>
      <c r="J137" s="931">
        <v>0.76700000000000002</v>
      </c>
      <c r="K137" s="931">
        <v>0.76700000000000002</v>
      </c>
      <c r="L137" s="931">
        <v>0.76700000000000002</v>
      </c>
      <c r="M137" s="931">
        <v>0.76700000000000002</v>
      </c>
    </row>
    <row r="138" spans="1:13">
      <c r="A138" s="938">
        <v>5.3</v>
      </c>
      <c r="B138" s="931">
        <v>0.95379999999999998</v>
      </c>
      <c r="C138" s="931">
        <v>0.95379999999999998</v>
      </c>
      <c r="D138" s="931">
        <v>0.88549999999999995</v>
      </c>
      <c r="E138" s="931">
        <v>0.88549999999999995</v>
      </c>
      <c r="F138" s="931">
        <v>0.88549999999999995</v>
      </c>
      <c r="G138" s="931">
        <v>0.88549999999999995</v>
      </c>
      <c r="H138" s="931">
        <v>0.88549999999999995</v>
      </c>
      <c r="I138" s="931">
        <v>0.76419999999999999</v>
      </c>
      <c r="J138" s="931">
        <v>0.76419999999999999</v>
      </c>
      <c r="K138" s="931">
        <v>0.76419999999999999</v>
      </c>
      <c r="L138" s="931">
        <v>0.76419999999999999</v>
      </c>
      <c r="M138" s="931">
        <v>0.76419999999999999</v>
      </c>
    </row>
    <row r="139" spans="1:13">
      <c r="A139" s="938">
        <v>5.4</v>
      </c>
      <c r="B139" s="931">
        <v>0.95179999999999998</v>
      </c>
      <c r="C139" s="931">
        <v>0.95179999999999998</v>
      </c>
      <c r="D139" s="931">
        <v>0.88329999999999997</v>
      </c>
      <c r="E139" s="931">
        <v>0.88329999999999997</v>
      </c>
      <c r="F139" s="931">
        <v>0.88329999999999997</v>
      </c>
      <c r="G139" s="931">
        <v>0.88329999999999997</v>
      </c>
      <c r="H139" s="931">
        <v>0.88329999999999997</v>
      </c>
      <c r="I139" s="931">
        <v>0.76139999999999997</v>
      </c>
      <c r="J139" s="931">
        <v>0.76139999999999997</v>
      </c>
      <c r="K139" s="931">
        <v>0.76139999999999997</v>
      </c>
      <c r="L139" s="931">
        <v>0.76139999999999997</v>
      </c>
      <c r="M139" s="931">
        <v>0.76139999999999997</v>
      </c>
    </row>
    <row r="140" spans="1:13">
      <c r="A140" s="938">
        <v>5.5</v>
      </c>
      <c r="B140" s="931">
        <v>0.94979999999999998</v>
      </c>
      <c r="C140" s="931">
        <v>0.94979999999999998</v>
      </c>
      <c r="D140" s="931">
        <v>0.88109999999999999</v>
      </c>
      <c r="E140" s="931">
        <v>0.88109999999999999</v>
      </c>
      <c r="F140" s="931">
        <v>0.88109999999999999</v>
      </c>
      <c r="G140" s="931">
        <v>0.88109999999999999</v>
      </c>
      <c r="H140" s="931">
        <v>0.88109999999999999</v>
      </c>
      <c r="I140" s="931">
        <v>0.75860000000000005</v>
      </c>
      <c r="J140" s="931">
        <v>0.75860000000000005</v>
      </c>
      <c r="K140" s="931">
        <v>0.75860000000000005</v>
      </c>
      <c r="L140" s="931">
        <v>0.75860000000000005</v>
      </c>
      <c r="M140" s="931">
        <v>0.75860000000000005</v>
      </c>
    </row>
    <row r="141" spans="1:13">
      <c r="A141" s="938">
        <v>5.6</v>
      </c>
      <c r="B141" s="931">
        <v>0.94789999999999996</v>
      </c>
      <c r="C141" s="931">
        <v>0.94789999999999996</v>
      </c>
      <c r="D141" s="931">
        <v>0.87890000000000001</v>
      </c>
      <c r="E141" s="931">
        <v>0.87890000000000001</v>
      </c>
      <c r="F141" s="931">
        <v>0.87890000000000001</v>
      </c>
      <c r="G141" s="931">
        <v>0.87890000000000001</v>
      </c>
      <c r="H141" s="931">
        <v>0.87890000000000001</v>
      </c>
      <c r="I141" s="931">
        <v>0.75590000000000002</v>
      </c>
      <c r="J141" s="931">
        <v>0.75590000000000002</v>
      </c>
      <c r="K141" s="931">
        <v>0.75590000000000002</v>
      </c>
      <c r="L141" s="931">
        <v>0.75590000000000002</v>
      </c>
      <c r="M141" s="931">
        <v>0.75590000000000002</v>
      </c>
    </row>
    <row r="142" spans="1:13">
      <c r="A142" s="938">
        <v>5.7</v>
      </c>
      <c r="B142" s="931">
        <v>0.94599999999999995</v>
      </c>
      <c r="C142" s="931">
        <v>0.94599999999999995</v>
      </c>
      <c r="D142" s="931">
        <v>0.87670000000000003</v>
      </c>
      <c r="E142" s="931">
        <v>0.87670000000000003</v>
      </c>
      <c r="F142" s="931">
        <v>0.87670000000000003</v>
      </c>
      <c r="G142" s="931">
        <v>0.87670000000000003</v>
      </c>
      <c r="H142" s="931">
        <v>0.87670000000000003</v>
      </c>
      <c r="I142" s="931">
        <v>0.75319999999999998</v>
      </c>
      <c r="J142" s="931">
        <v>0.75319999999999998</v>
      </c>
      <c r="K142" s="931">
        <v>0.75319999999999998</v>
      </c>
      <c r="L142" s="931">
        <v>0.75319999999999998</v>
      </c>
      <c r="M142" s="931">
        <v>0.75319999999999998</v>
      </c>
    </row>
    <row r="143" spans="1:13">
      <c r="A143" s="938">
        <v>5.8</v>
      </c>
      <c r="B143" s="931">
        <v>0.94410000000000005</v>
      </c>
      <c r="C143" s="931">
        <v>0.94410000000000005</v>
      </c>
      <c r="D143" s="931">
        <v>0.87460000000000004</v>
      </c>
      <c r="E143" s="931">
        <v>0.87460000000000004</v>
      </c>
      <c r="F143" s="931">
        <v>0.87460000000000004</v>
      </c>
      <c r="G143" s="931">
        <v>0.87460000000000004</v>
      </c>
      <c r="H143" s="931">
        <v>0.87460000000000004</v>
      </c>
      <c r="I143" s="931">
        <v>0.75049999999999994</v>
      </c>
      <c r="J143" s="931">
        <v>0.75049999999999994</v>
      </c>
      <c r="K143" s="931">
        <v>0.75049999999999994</v>
      </c>
      <c r="L143" s="931">
        <v>0.75049999999999994</v>
      </c>
      <c r="M143" s="931">
        <v>0.75049999999999994</v>
      </c>
    </row>
    <row r="144" spans="1:13">
      <c r="A144" s="938">
        <v>5.9</v>
      </c>
      <c r="B144" s="931">
        <v>0.94220000000000004</v>
      </c>
      <c r="C144" s="931">
        <v>0.94220000000000004</v>
      </c>
      <c r="D144" s="931">
        <v>0.87250000000000005</v>
      </c>
      <c r="E144" s="931">
        <v>0.87250000000000005</v>
      </c>
      <c r="F144" s="931">
        <v>0.87250000000000005</v>
      </c>
      <c r="G144" s="931">
        <v>0.87250000000000005</v>
      </c>
      <c r="H144" s="931">
        <v>0.87250000000000005</v>
      </c>
      <c r="I144" s="931">
        <v>0.74780000000000002</v>
      </c>
      <c r="J144" s="931">
        <v>0.74780000000000002</v>
      </c>
      <c r="K144" s="931">
        <v>0.74780000000000002</v>
      </c>
      <c r="L144" s="931">
        <v>0.74780000000000002</v>
      </c>
      <c r="M144" s="931">
        <v>0.74780000000000002</v>
      </c>
    </row>
    <row r="145" spans="1:13">
      <c r="A145" s="938">
        <v>6</v>
      </c>
      <c r="B145" s="931">
        <v>0.94040000000000001</v>
      </c>
      <c r="C145" s="931">
        <v>0.94040000000000001</v>
      </c>
      <c r="D145" s="931">
        <v>0.87039999999999995</v>
      </c>
      <c r="E145" s="931">
        <v>0.87039999999999995</v>
      </c>
      <c r="F145" s="931">
        <v>0.87039999999999995</v>
      </c>
      <c r="G145" s="931">
        <v>0.87039999999999995</v>
      </c>
      <c r="H145" s="931">
        <v>0.87039999999999995</v>
      </c>
      <c r="I145" s="931">
        <v>0.74519999999999997</v>
      </c>
      <c r="J145" s="931">
        <v>0.74519999999999997</v>
      </c>
      <c r="K145" s="931">
        <v>0.74519999999999997</v>
      </c>
      <c r="L145" s="931">
        <v>0.74519999999999997</v>
      </c>
      <c r="M145" s="931">
        <v>0.74519999999999997</v>
      </c>
    </row>
    <row r="146" spans="1:13">
      <c r="A146" s="938">
        <v>6.1</v>
      </c>
      <c r="B146" s="931">
        <v>0.93859999999999999</v>
      </c>
      <c r="C146" s="931">
        <v>0.93859999999999999</v>
      </c>
      <c r="D146" s="931">
        <v>0.86829999999999996</v>
      </c>
      <c r="E146" s="931">
        <v>0.86829999999999996</v>
      </c>
      <c r="F146" s="931">
        <v>0.86829999999999996</v>
      </c>
      <c r="G146" s="931">
        <v>0.86829999999999996</v>
      </c>
      <c r="H146" s="931">
        <v>0.86829999999999996</v>
      </c>
      <c r="I146" s="931">
        <v>0.74260000000000004</v>
      </c>
      <c r="J146" s="931">
        <v>0.74260000000000004</v>
      </c>
      <c r="K146" s="931">
        <v>0.74260000000000004</v>
      </c>
      <c r="L146" s="931">
        <v>0.74260000000000004</v>
      </c>
      <c r="M146" s="931">
        <v>0.74260000000000004</v>
      </c>
    </row>
    <row r="147" spans="1:13">
      <c r="A147" s="938">
        <v>6.2</v>
      </c>
      <c r="B147" s="931">
        <v>0.93679999999999997</v>
      </c>
      <c r="C147" s="931">
        <v>0.93679999999999997</v>
      </c>
      <c r="D147" s="931">
        <v>0.86619999999999997</v>
      </c>
      <c r="E147" s="931">
        <v>0.86619999999999997</v>
      </c>
      <c r="F147" s="931">
        <v>0.86619999999999997</v>
      </c>
      <c r="G147" s="931">
        <v>0.86619999999999997</v>
      </c>
      <c r="H147" s="931">
        <v>0.86619999999999997</v>
      </c>
      <c r="I147" s="931">
        <v>0.74</v>
      </c>
      <c r="J147" s="931">
        <v>0.74</v>
      </c>
      <c r="K147" s="931">
        <v>0.74</v>
      </c>
      <c r="L147" s="931">
        <v>0.74</v>
      </c>
      <c r="M147" s="931">
        <v>0.74</v>
      </c>
    </row>
    <row r="148" spans="1:13">
      <c r="A148" s="938">
        <v>6.3</v>
      </c>
      <c r="B148" s="931">
        <v>0.93500000000000005</v>
      </c>
      <c r="C148" s="931">
        <v>0.93500000000000005</v>
      </c>
      <c r="D148" s="931">
        <v>0.86409999999999998</v>
      </c>
      <c r="E148" s="931">
        <v>0.86409999999999998</v>
      </c>
      <c r="F148" s="931">
        <v>0.86409999999999998</v>
      </c>
      <c r="G148" s="931">
        <v>0.86409999999999998</v>
      </c>
      <c r="H148" s="931">
        <v>0.86409999999999998</v>
      </c>
      <c r="I148" s="931">
        <v>0.73740000000000006</v>
      </c>
      <c r="J148" s="931">
        <v>0.73740000000000006</v>
      </c>
      <c r="K148" s="931">
        <v>0.73740000000000006</v>
      </c>
      <c r="L148" s="931">
        <v>0.73740000000000006</v>
      </c>
      <c r="M148" s="931">
        <v>0.73740000000000006</v>
      </c>
    </row>
    <row r="149" spans="1:13">
      <c r="A149" s="938">
        <v>6.4</v>
      </c>
      <c r="B149" s="931">
        <v>0.93320000000000003</v>
      </c>
      <c r="C149" s="931">
        <v>0.93320000000000003</v>
      </c>
      <c r="D149" s="931">
        <v>0.86209999999999998</v>
      </c>
      <c r="E149" s="931">
        <v>0.86209999999999998</v>
      </c>
      <c r="F149" s="931">
        <v>0.86209999999999998</v>
      </c>
      <c r="G149" s="931">
        <v>0.86209999999999998</v>
      </c>
      <c r="H149" s="931">
        <v>0.86209999999999998</v>
      </c>
      <c r="I149" s="931">
        <v>0.73480000000000001</v>
      </c>
      <c r="J149" s="931">
        <v>0.73480000000000001</v>
      </c>
      <c r="K149" s="931">
        <v>0.73480000000000001</v>
      </c>
      <c r="L149" s="931">
        <v>0.73480000000000001</v>
      </c>
      <c r="M149" s="931">
        <v>0.73480000000000001</v>
      </c>
    </row>
    <row r="150" spans="1:13">
      <c r="A150" s="938">
        <v>6.5</v>
      </c>
      <c r="B150" s="931">
        <v>0.93149999999999999</v>
      </c>
      <c r="C150" s="931">
        <v>0.93149999999999999</v>
      </c>
      <c r="D150" s="931">
        <v>0.86009999999999998</v>
      </c>
      <c r="E150" s="931">
        <v>0.86009999999999998</v>
      </c>
      <c r="F150" s="931">
        <v>0.86009999999999998</v>
      </c>
      <c r="G150" s="931">
        <v>0.86009999999999998</v>
      </c>
      <c r="H150" s="931">
        <v>0.86009999999999998</v>
      </c>
      <c r="I150" s="931">
        <v>0.73229999999999995</v>
      </c>
      <c r="J150" s="931">
        <v>0.73229999999999995</v>
      </c>
      <c r="K150" s="931">
        <v>0.73229999999999995</v>
      </c>
      <c r="L150" s="931">
        <v>0.73229999999999995</v>
      </c>
      <c r="M150" s="931">
        <v>0.73229999999999995</v>
      </c>
    </row>
    <row r="151" spans="1:13">
      <c r="A151" s="938">
        <v>6.6</v>
      </c>
      <c r="B151" s="931">
        <v>0.92979999999999996</v>
      </c>
      <c r="C151" s="931">
        <v>0.92979999999999996</v>
      </c>
      <c r="D151" s="931">
        <v>0.85809999999999997</v>
      </c>
      <c r="E151" s="931">
        <v>0.85809999999999997</v>
      </c>
      <c r="F151" s="931">
        <v>0.85809999999999997</v>
      </c>
      <c r="G151" s="931">
        <v>0.85809999999999997</v>
      </c>
      <c r="H151" s="931">
        <v>0.85809999999999997</v>
      </c>
      <c r="I151" s="931">
        <v>0.7298</v>
      </c>
      <c r="J151" s="931">
        <v>0.7298</v>
      </c>
      <c r="K151" s="931">
        <v>0.7298</v>
      </c>
      <c r="L151" s="931">
        <v>0.7298</v>
      </c>
      <c r="M151" s="931">
        <v>0.7298</v>
      </c>
    </row>
    <row r="152" spans="1:13">
      <c r="A152" s="938">
        <v>6.7</v>
      </c>
      <c r="B152" s="931">
        <v>0.92810000000000004</v>
      </c>
      <c r="C152" s="931">
        <v>0.92810000000000004</v>
      </c>
      <c r="D152" s="931">
        <v>0.85609999999999997</v>
      </c>
      <c r="E152" s="931">
        <v>0.85609999999999997</v>
      </c>
      <c r="F152" s="931">
        <v>0.85609999999999997</v>
      </c>
      <c r="G152" s="931">
        <v>0.85609999999999997</v>
      </c>
      <c r="H152" s="931">
        <v>0.85609999999999997</v>
      </c>
      <c r="I152" s="931">
        <v>0.72729999999999995</v>
      </c>
      <c r="J152" s="931">
        <v>0.72729999999999995</v>
      </c>
      <c r="K152" s="931">
        <v>0.72729999999999995</v>
      </c>
      <c r="L152" s="931">
        <v>0.72729999999999995</v>
      </c>
      <c r="M152" s="931">
        <v>0.72729999999999995</v>
      </c>
    </row>
    <row r="153" spans="1:13">
      <c r="A153" s="938">
        <v>6.8</v>
      </c>
      <c r="B153" s="931">
        <v>0.9264</v>
      </c>
      <c r="C153" s="931">
        <v>0.9264</v>
      </c>
      <c r="D153" s="931">
        <v>0.85409999999999997</v>
      </c>
      <c r="E153" s="931">
        <v>0.85409999999999997</v>
      </c>
      <c r="F153" s="931">
        <v>0.85409999999999997</v>
      </c>
      <c r="G153" s="931">
        <v>0.85409999999999997</v>
      </c>
      <c r="H153" s="931">
        <v>0.85409999999999997</v>
      </c>
      <c r="I153" s="931">
        <v>0.7248</v>
      </c>
      <c r="J153" s="931">
        <v>0.7248</v>
      </c>
      <c r="K153" s="931">
        <v>0.7248</v>
      </c>
      <c r="L153" s="931">
        <v>0.7248</v>
      </c>
      <c r="M153" s="931">
        <v>0.7248</v>
      </c>
    </row>
    <row r="154" spans="1:13">
      <c r="A154" s="938">
        <v>6.9</v>
      </c>
      <c r="B154" s="931">
        <v>0.92469999999999997</v>
      </c>
      <c r="C154" s="931">
        <v>0.92469999999999997</v>
      </c>
      <c r="D154" s="931">
        <v>0.85209999999999997</v>
      </c>
      <c r="E154" s="931">
        <v>0.85209999999999997</v>
      </c>
      <c r="F154" s="931">
        <v>0.85209999999999997</v>
      </c>
      <c r="G154" s="931">
        <v>0.85209999999999997</v>
      </c>
      <c r="H154" s="931">
        <v>0.85209999999999997</v>
      </c>
      <c r="I154" s="931">
        <v>0.72230000000000005</v>
      </c>
      <c r="J154" s="931">
        <v>0.72230000000000005</v>
      </c>
      <c r="K154" s="931">
        <v>0.72230000000000005</v>
      </c>
      <c r="L154" s="931">
        <v>0.72230000000000005</v>
      </c>
      <c r="M154" s="931">
        <v>0.72230000000000005</v>
      </c>
    </row>
    <row r="155" spans="1:13">
      <c r="A155" s="922">
        <v>7</v>
      </c>
      <c r="B155" s="931">
        <v>0.92300000000000004</v>
      </c>
      <c r="C155" s="931">
        <v>0.92300000000000004</v>
      </c>
      <c r="D155" s="931">
        <v>0.85019999999999996</v>
      </c>
      <c r="E155" s="931">
        <v>0.85019999999999996</v>
      </c>
      <c r="F155" s="931">
        <v>0.85019999999999996</v>
      </c>
      <c r="G155" s="931">
        <v>0.85019999999999996</v>
      </c>
      <c r="H155" s="931">
        <v>0.85019999999999996</v>
      </c>
      <c r="I155" s="931">
        <v>0.71989999999999998</v>
      </c>
      <c r="J155" s="931">
        <v>0.71989999999999998</v>
      </c>
      <c r="K155" s="931">
        <v>0.71989999999999998</v>
      </c>
      <c r="L155" s="931">
        <v>0.71989999999999998</v>
      </c>
      <c r="M155" s="931">
        <v>0.71989999999999998</v>
      </c>
    </row>
    <row r="156" spans="1:13">
      <c r="A156" s="922">
        <v>7.1</v>
      </c>
      <c r="B156" s="931">
        <v>0.9214</v>
      </c>
      <c r="C156" s="931">
        <v>0.9214</v>
      </c>
      <c r="D156" s="931">
        <v>0.84830000000000005</v>
      </c>
      <c r="E156" s="931">
        <v>0.84830000000000005</v>
      </c>
      <c r="F156" s="931">
        <v>0.84830000000000005</v>
      </c>
      <c r="G156" s="931">
        <v>0.84830000000000005</v>
      </c>
      <c r="H156" s="931">
        <v>0.84830000000000005</v>
      </c>
      <c r="I156" s="931">
        <v>0.71750000000000003</v>
      </c>
      <c r="J156" s="931">
        <v>0.71750000000000003</v>
      </c>
      <c r="K156" s="931">
        <v>0.71750000000000003</v>
      </c>
      <c r="L156" s="931">
        <v>0.71750000000000003</v>
      </c>
      <c r="M156" s="931">
        <v>0.71750000000000003</v>
      </c>
    </row>
    <row r="157" spans="1:13">
      <c r="A157" s="922">
        <v>7.2</v>
      </c>
      <c r="B157" s="931">
        <v>0.91979999999999995</v>
      </c>
      <c r="C157" s="931">
        <v>0.91979999999999995</v>
      </c>
      <c r="D157" s="931">
        <v>0.84640000000000004</v>
      </c>
      <c r="E157" s="931">
        <v>0.84640000000000004</v>
      </c>
      <c r="F157" s="931">
        <v>0.84640000000000004</v>
      </c>
      <c r="G157" s="931">
        <v>0.84640000000000004</v>
      </c>
      <c r="H157" s="931">
        <v>0.84640000000000004</v>
      </c>
      <c r="I157" s="931">
        <v>0.71509999999999996</v>
      </c>
      <c r="J157" s="931">
        <v>0.71509999999999996</v>
      </c>
      <c r="K157" s="931">
        <v>0.71509999999999996</v>
      </c>
      <c r="L157" s="931">
        <v>0.71509999999999996</v>
      </c>
      <c r="M157" s="931">
        <v>0.71509999999999996</v>
      </c>
    </row>
    <row r="158" spans="1:13">
      <c r="A158" s="922">
        <v>7.3</v>
      </c>
      <c r="B158" s="931">
        <v>0.91820000000000002</v>
      </c>
      <c r="C158" s="931">
        <v>0.91820000000000002</v>
      </c>
      <c r="D158" s="931">
        <v>0.84450000000000003</v>
      </c>
      <c r="E158" s="931">
        <v>0.84450000000000003</v>
      </c>
      <c r="F158" s="931">
        <v>0.84450000000000003</v>
      </c>
      <c r="G158" s="931">
        <v>0.84450000000000003</v>
      </c>
      <c r="H158" s="931">
        <v>0.84450000000000003</v>
      </c>
      <c r="I158" s="931">
        <v>0.7127</v>
      </c>
      <c r="J158" s="931">
        <v>0.7127</v>
      </c>
      <c r="K158" s="931">
        <v>0.7127</v>
      </c>
      <c r="L158" s="931">
        <v>0.7127</v>
      </c>
      <c r="M158" s="931">
        <v>0.7127</v>
      </c>
    </row>
    <row r="159" spans="1:13">
      <c r="A159" s="922">
        <v>7.4</v>
      </c>
      <c r="B159" s="931">
        <v>0.91659999999999997</v>
      </c>
      <c r="C159" s="931">
        <v>0.91659999999999997</v>
      </c>
      <c r="D159" s="931">
        <v>0.84260000000000002</v>
      </c>
      <c r="E159" s="931">
        <v>0.84260000000000002</v>
      </c>
      <c r="F159" s="931">
        <v>0.84260000000000002</v>
      </c>
      <c r="G159" s="931">
        <v>0.84260000000000002</v>
      </c>
      <c r="H159" s="931">
        <v>0.84260000000000002</v>
      </c>
      <c r="I159" s="931">
        <v>0.71030000000000004</v>
      </c>
      <c r="J159" s="931">
        <v>0.71030000000000004</v>
      </c>
      <c r="K159" s="931">
        <v>0.71030000000000004</v>
      </c>
      <c r="L159" s="931">
        <v>0.71030000000000004</v>
      </c>
      <c r="M159" s="931">
        <v>0.71030000000000004</v>
      </c>
    </row>
    <row r="160" spans="1:13">
      <c r="A160" s="922">
        <v>7.5</v>
      </c>
      <c r="B160" s="931">
        <v>0.91500000000000004</v>
      </c>
      <c r="C160" s="931">
        <v>0.91500000000000004</v>
      </c>
      <c r="D160" s="931">
        <v>0.8407</v>
      </c>
      <c r="E160" s="931">
        <v>0.8407</v>
      </c>
      <c r="F160" s="931">
        <v>0.8407</v>
      </c>
      <c r="G160" s="931">
        <v>0.8407</v>
      </c>
      <c r="H160" s="931">
        <v>0.8407</v>
      </c>
      <c r="I160" s="931">
        <v>0.70799999999999996</v>
      </c>
      <c r="J160" s="931">
        <v>0.70799999999999996</v>
      </c>
      <c r="K160" s="931">
        <v>0.70799999999999996</v>
      </c>
      <c r="L160" s="931">
        <v>0.70799999999999996</v>
      </c>
      <c r="M160" s="931">
        <v>0.70799999999999996</v>
      </c>
    </row>
    <row r="161" spans="1:13">
      <c r="A161" s="938">
        <v>7.6</v>
      </c>
      <c r="B161" s="931">
        <v>0.91339999999999999</v>
      </c>
      <c r="C161" s="931">
        <v>0.91339999999999999</v>
      </c>
      <c r="D161" s="931">
        <v>0.83889999999999998</v>
      </c>
      <c r="E161" s="931">
        <v>0.83889999999999998</v>
      </c>
      <c r="F161" s="931">
        <v>0.83889999999999998</v>
      </c>
      <c r="G161" s="931">
        <v>0.83889999999999998</v>
      </c>
      <c r="H161" s="931">
        <v>0.83889999999999998</v>
      </c>
      <c r="I161" s="931">
        <v>0.70569999999999999</v>
      </c>
      <c r="J161" s="931">
        <v>0.70569999999999999</v>
      </c>
      <c r="K161" s="931">
        <v>0.70569999999999999</v>
      </c>
      <c r="L161" s="931">
        <v>0.70569999999999999</v>
      </c>
      <c r="M161" s="931">
        <v>0.70569999999999999</v>
      </c>
    </row>
    <row r="162" spans="1:13">
      <c r="A162" s="922">
        <v>7.7</v>
      </c>
      <c r="B162" s="931">
        <v>0.91190000000000004</v>
      </c>
      <c r="C162" s="931">
        <v>0.91190000000000004</v>
      </c>
      <c r="D162" s="931">
        <v>0.83709999999999996</v>
      </c>
      <c r="E162" s="931">
        <v>0.83709999999999996</v>
      </c>
      <c r="F162" s="931">
        <v>0.83709999999999996</v>
      </c>
      <c r="G162" s="931">
        <v>0.83709999999999996</v>
      </c>
      <c r="H162" s="931">
        <v>0.83709999999999996</v>
      </c>
      <c r="I162" s="931">
        <v>0.70340000000000003</v>
      </c>
      <c r="J162" s="931">
        <v>0.70340000000000003</v>
      </c>
      <c r="K162" s="931">
        <v>0.70340000000000003</v>
      </c>
      <c r="L162" s="931">
        <v>0.70340000000000003</v>
      </c>
      <c r="M162" s="931">
        <v>0.70340000000000003</v>
      </c>
    </row>
    <row r="163" spans="1:13">
      <c r="A163" s="922">
        <v>7.8</v>
      </c>
      <c r="B163" s="931">
        <v>0.91039999999999999</v>
      </c>
      <c r="C163" s="931">
        <v>0.91039999999999999</v>
      </c>
      <c r="D163" s="931">
        <v>0.83530000000000004</v>
      </c>
      <c r="E163" s="931">
        <v>0.83530000000000004</v>
      </c>
      <c r="F163" s="931">
        <v>0.83530000000000004</v>
      </c>
      <c r="G163" s="931">
        <v>0.83530000000000004</v>
      </c>
      <c r="H163" s="931">
        <v>0.83530000000000004</v>
      </c>
      <c r="I163" s="931">
        <v>0.70109999999999995</v>
      </c>
      <c r="J163" s="931">
        <v>0.70109999999999995</v>
      </c>
      <c r="K163" s="931">
        <v>0.70109999999999995</v>
      </c>
      <c r="L163" s="931">
        <v>0.70109999999999995</v>
      </c>
      <c r="M163" s="931">
        <v>0.70109999999999995</v>
      </c>
    </row>
    <row r="164" spans="1:13">
      <c r="A164" s="922">
        <v>7.9</v>
      </c>
      <c r="B164" s="931">
        <v>0.90890000000000004</v>
      </c>
      <c r="C164" s="931">
        <v>0.90890000000000004</v>
      </c>
      <c r="D164" s="931">
        <v>0.83350000000000002</v>
      </c>
      <c r="E164" s="931">
        <v>0.83350000000000002</v>
      </c>
      <c r="F164" s="931">
        <v>0.83350000000000002</v>
      </c>
      <c r="G164" s="931">
        <v>0.83350000000000002</v>
      </c>
      <c r="H164" s="931">
        <v>0.83350000000000002</v>
      </c>
      <c r="I164" s="931">
        <v>0.69879999999999998</v>
      </c>
      <c r="J164" s="931">
        <v>0.69879999999999998</v>
      </c>
      <c r="K164" s="931">
        <v>0.69879999999999998</v>
      </c>
      <c r="L164" s="931">
        <v>0.69879999999999998</v>
      </c>
      <c r="M164" s="931">
        <v>0.69879999999999998</v>
      </c>
    </row>
    <row r="165" spans="1:13">
      <c r="A165" s="922">
        <v>8</v>
      </c>
      <c r="B165" s="931">
        <v>0.90739999999999998</v>
      </c>
      <c r="C165" s="931">
        <v>0.90739999999999998</v>
      </c>
      <c r="D165" s="931">
        <v>0.83169999999999999</v>
      </c>
      <c r="E165" s="931">
        <v>0.83169999999999999</v>
      </c>
      <c r="F165" s="931">
        <v>0.83169999999999999</v>
      </c>
      <c r="G165" s="931">
        <v>0.83169999999999999</v>
      </c>
      <c r="H165" s="931">
        <v>0.83169999999999999</v>
      </c>
      <c r="I165" s="931">
        <v>0.6966</v>
      </c>
      <c r="J165" s="931">
        <v>0.6966</v>
      </c>
      <c r="K165" s="931">
        <v>0.6966</v>
      </c>
      <c r="L165" s="931">
        <v>0.6966</v>
      </c>
      <c r="M165" s="931">
        <v>0.6966</v>
      </c>
    </row>
    <row r="166" spans="1:13">
      <c r="A166" s="922">
        <v>8.1</v>
      </c>
      <c r="B166" s="931">
        <v>0.90590000000000004</v>
      </c>
      <c r="C166" s="931">
        <v>0.90590000000000004</v>
      </c>
      <c r="D166" s="931">
        <v>0.82989999999999997</v>
      </c>
      <c r="E166" s="931">
        <v>0.82989999999999997</v>
      </c>
      <c r="F166" s="931">
        <v>0.82989999999999997</v>
      </c>
      <c r="G166" s="931">
        <v>0.82989999999999997</v>
      </c>
      <c r="H166" s="931">
        <v>0.82989999999999997</v>
      </c>
      <c r="I166" s="931">
        <v>0.69440000000000002</v>
      </c>
      <c r="J166" s="931">
        <v>0.69440000000000002</v>
      </c>
      <c r="K166" s="931">
        <v>0.69440000000000002</v>
      </c>
      <c r="L166" s="931">
        <v>0.69440000000000002</v>
      </c>
      <c r="M166" s="931">
        <v>0.69440000000000002</v>
      </c>
    </row>
    <row r="167" spans="1:13">
      <c r="A167" s="922">
        <v>8.1999999999999993</v>
      </c>
      <c r="B167" s="931">
        <v>0.90439999999999998</v>
      </c>
      <c r="C167" s="931">
        <v>0.90439999999999998</v>
      </c>
      <c r="D167" s="931">
        <v>0.82820000000000005</v>
      </c>
      <c r="E167" s="931">
        <v>0.82820000000000005</v>
      </c>
      <c r="F167" s="931">
        <v>0.82820000000000005</v>
      </c>
      <c r="G167" s="931">
        <v>0.82820000000000005</v>
      </c>
      <c r="H167" s="931">
        <v>0.82820000000000005</v>
      </c>
      <c r="I167" s="931">
        <v>0.69220000000000004</v>
      </c>
      <c r="J167" s="931">
        <v>0.69220000000000004</v>
      </c>
      <c r="K167" s="931">
        <v>0.69220000000000004</v>
      </c>
      <c r="L167" s="931">
        <v>0.69220000000000004</v>
      </c>
      <c r="M167" s="931">
        <v>0.69220000000000004</v>
      </c>
    </row>
    <row r="168" spans="1:13">
      <c r="A168" s="922">
        <v>8.3000000000000007</v>
      </c>
      <c r="B168" s="931">
        <v>0.90300000000000002</v>
      </c>
      <c r="C168" s="931">
        <v>0.90300000000000002</v>
      </c>
      <c r="D168" s="931">
        <v>0.82650000000000001</v>
      </c>
      <c r="E168" s="931">
        <v>0.82650000000000001</v>
      </c>
      <c r="F168" s="931">
        <v>0.82650000000000001</v>
      </c>
      <c r="G168" s="931">
        <v>0.82650000000000001</v>
      </c>
      <c r="H168" s="931">
        <v>0.82650000000000001</v>
      </c>
      <c r="I168" s="931">
        <v>0.69</v>
      </c>
      <c r="J168" s="931">
        <v>0.69</v>
      </c>
      <c r="K168" s="931">
        <v>0.69</v>
      </c>
      <c r="L168" s="931">
        <v>0.69</v>
      </c>
      <c r="M168" s="931">
        <v>0.69</v>
      </c>
    </row>
    <row r="169" spans="1:13">
      <c r="A169" s="922">
        <v>8.4</v>
      </c>
      <c r="B169" s="931">
        <v>0.90159999999999996</v>
      </c>
      <c r="C169" s="931">
        <v>0.90159999999999996</v>
      </c>
      <c r="D169" s="931">
        <v>0.82479999999999998</v>
      </c>
      <c r="E169" s="931">
        <v>0.82479999999999998</v>
      </c>
      <c r="F169" s="931">
        <v>0.82479999999999998</v>
      </c>
      <c r="G169" s="931">
        <v>0.82479999999999998</v>
      </c>
      <c r="H169" s="931">
        <v>0.82479999999999998</v>
      </c>
      <c r="I169" s="931">
        <v>0.68779999999999997</v>
      </c>
      <c r="J169" s="931">
        <v>0.68779999999999997</v>
      </c>
      <c r="K169" s="931">
        <v>0.68779999999999997</v>
      </c>
      <c r="L169" s="931">
        <v>0.68779999999999997</v>
      </c>
      <c r="M169" s="931">
        <v>0.68779999999999997</v>
      </c>
    </row>
    <row r="170" spans="1:13">
      <c r="A170" s="922">
        <v>8.5</v>
      </c>
      <c r="B170" s="931">
        <v>0.9002</v>
      </c>
      <c r="C170" s="931">
        <v>0.9002</v>
      </c>
      <c r="D170" s="931">
        <v>0.82310000000000005</v>
      </c>
      <c r="E170" s="931">
        <v>0.82310000000000005</v>
      </c>
      <c r="F170" s="931">
        <v>0.82310000000000005</v>
      </c>
      <c r="G170" s="931">
        <v>0.82310000000000005</v>
      </c>
      <c r="H170" s="931">
        <v>0.82310000000000005</v>
      </c>
      <c r="I170" s="931">
        <v>0.68569999999999998</v>
      </c>
      <c r="J170" s="931">
        <v>0.68569999999999998</v>
      </c>
      <c r="K170" s="931">
        <v>0.68569999999999998</v>
      </c>
      <c r="L170" s="931">
        <v>0.68569999999999998</v>
      </c>
      <c r="M170" s="931">
        <v>0.68569999999999998</v>
      </c>
    </row>
    <row r="171" spans="1:13">
      <c r="A171" s="922">
        <v>8.6</v>
      </c>
      <c r="B171" s="931">
        <v>0.89880000000000004</v>
      </c>
      <c r="C171" s="931">
        <v>0.89880000000000004</v>
      </c>
      <c r="D171" s="931">
        <v>0.82140000000000002</v>
      </c>
      <c r="E171" s="931">
        <v>0.82140000000000002</v>
      </c>
      <c r="F171" s="931">
        <v>0.82140000000000002</v>
      </c>
      <c r="G171" s="931">
        <v>0.82140000000000002</v>
      </c>
      <c r="H171" s="931">
        <v>0.82140000000000002</v>
      </c>
      <c r="I171" s="931">
        <v>0.68359999999999999</v>
      </c>
      <c r="J171" s="931">
        <v>0.68359999999999999</v>
      </c>
      <c r="K171" s="931">
        <v>0.68359999999999999</v>
      </c>
      <c r="L171" s="931">
        <v>0.68359999999999999</v>
      </c>
      <c r="M171" s="931">
        <v>0.68359999999999999</v>
      </c>
    </row>
    <row r="172" spans="1:13">
      <c r="A172" s="922">
        <v>8.6999999999999993</v>
      </c>
      <c r="B172" s="931">
        <v>0.89739999999999998</v>
      </c>
      <c r="C172" s="931">
        <v>0.89739999999999998</v>
      </c>
      <c r="D172" s="931">
        <v>0.81969999999999998</v>
      </c>
      <c r="E172" s="931">
        <v>0.81969999999999998</v>
      </c>
      <c r="F172" s="931">
        <v>0.81969999999999998</v>
      </c>
      <c r="G172" s="931">
        <v>0.81969999999999998</v>
      </c>
      <c r="H172" s="931">
        <v>0.81969999999999998</v>
      </c>
      <c r="I172" s="931">
        <v>0.68149999999999999</v>
      </c>
      <c r="J172" s="931">
        <v>0.68149999999999999</v>
      </c>
      <c r="K172" s="931">
        <v>0.68149999999999999</v>
      </c>
      <c r="L172" s="931">
        <v>0.68149999999999999</v>
      </c>
      <c r="M172" s="931">
        <v>0.68149999999999999</v>
      </c>
    </row>
    <row r="173" spans="1:13">
      <c r="A173" s="922">
        <v>8.8000000000000007</v>
      </c>
      <c r="B173" s="931">
        <v>0.89600000000000002</v>
      </c>
      <c r="C173" s="931">
        <v>0.89600000000000002</v>
      </c>
      <c r="D173" s="931">
        <v>0.81810000000000005</v>
      </c>
      <c r="E173" s="931">
        <v>0.81810000000000005</v>
      </c>
      <c r="F173" s="931">
        <v>0.81810000000000005</v>
      </c>
      <c r="G173" s="931">
        <v>0.81810000000000005</v>
      </c>
      <c r="H173" s="931">
        <v>0.81810000000000005</v>
      </c>
      <c r="I173" s="931">
        <v>0.6794</v>
      </c>
      <c r="J173" s="931">
        <v>0.6794</v>
      </c>
      <c r="K173" s="931">
        <v>0.6794</v>
      </c>
      <c r="L173" s="931">
        <v>0.6794</v>
      </c>
      <c r="M173" s="931">
        <v>0.6794</v>
      </c>
    </row>
    <row r="174" spans="1:13">
      <c r="A174" s="922">
        <v>8.9</v>
      </c>
      <c r="B174" s="931">
        <v>0.89470000000000005</v>
      </c>
      <c r="C174" s="931">
        <v>0.89470000000000005</v>
      </c>
      <c r="D174" s="931">
        <v>0.8165</v>
      </c>
      <c r="E174" s="931">
        <v>0.8165</v>
      </c>
      <c r="F174" s="931">
        <v>0.8165</v>
      </c>
      <c r="G174" s="931">
        <v>0.8165</v>
      </c>
      <c r="H174" s="931">
        <v>0.8165</v>
      </c>
      <c r="I174" s="931">
        <v>0.6774</v>
      </c>
      <c r="J174" s="931">
        <v>0.6774</v>
      </c>
      <c r="K174" s="931">
        <v>0.6774</v>
      </c>
      <c r="L174" s="931">
        <v>0.6774</v>
      </c>
      <c r="M174" s="931">
        <v>0.6774</v>
      </c>
    </row>
    <row r="175" spans="1:13">
      <c r="A175" s="922">
        <v>9</v>
      </c>
      <c r="B175" s="931">
        <v>0.89339999999999997</v>
      </c>
      <c r="C175" s="931">
        <v>0.89339999999999997</v>
      </c>
      <c r="D175" s="931">
        <v>0.81489999999999996</v>
      </c>
      <c r="E175" s="931">
        <v>0.81489999999999996</v>
      </c>
      <c r="F175" s="931">
        <v>0.81489999999999996</v>
      </c>
      <c r="G175" s="931">
        <v>0.81489999999999996</v>
      </c>
      <c r="H175" s="931">
        <v>0.81489999999999996</v>
      </c>
      <c r="I175" s="931">
        <v>0.6754</v>
      </c>
      <c r="J175" s="931">
        <v>0.6754</v>
      </c>
      <c r="K175" s="931">
        <v>0.6754</v>
      </c>
      <c r="L175" s="931">
        <v>0.6754</v>
      </c>
      <c r="M175" s="931">
        <v>0.6754</v>
      </c>
    </row>
    <row r="176" spans="1:13">
      <c r="A176" s="922">
        <v>9.1</v>
      </c>
      <c r="B176" s="931">
        <v>0.8921</v>
      </c>
      <c r="C176" s="931">
        <v>0.8921</v>
      </c>
      <c r="D176" s="931">
        <v>0.81330000000000002</v>
      </c>
      <c r="E176" s="931">
        <v>0.81330000000000002</v>
      </c>
      <c r="F176" s="931">
        <v>0.81330000000000002</v>
      </c>
      <c r="G176" s="931">
        <v>0.81330000000000002</v>
      </c>
      <c r="H176" s="931">
        <v>0.81330000000000002</v>
      </c>
      <c r="I176" s="931">
        <v>0.6734</v>
      </c>
      <c r="J176" s="931">
        <v>0.6734</v>
      </c>
      <c r="K176" s="931">
        <v>0.6734</v>
      </c>
      <c r="L176" s="931">
        <v>0.6734</v>
      </c>
      <c r="M176" s="931">
        <v>0.6734</v>
      </c>
    </row>
    <row r="177" spans="1:13">
      <c r="A177" s="922">
        <v>9.1999999999999993</v>
      </c>
      <c r="B177" s="931">
        <v>0.89080000000000004</v>
      </c>
      <c r="C177" s="931">
        <v>0.89080000000000004</v>
      </c>
      <c r="D177" s="931">
        <v>0.81169999999999998</v>
      </c>
      <c r="E177" s="931">
        <v>0.81169999999999998</v>
      </c>
      <c r="F177" s="931">
        <v>0.81169999999999998</v>
      </c>
      <c r="G177" s="931">
        <v>0.81169999999999998</v>
      </c>
      <c r="H177" s="931">
        <v>0.81169999999999998</v>
      </c>
      <c r="I177" s="931">
        <v>0.6714</v>
      </c>
      <c r="J177" s="931">
        <v>0.6714</v>
      </c>
      <c r="K177" s="931">
        <v>0.6714</v>
      </c>
      <c r="L177" s="931">
        <v>0.6714</v>
      </c>
      <c r="M177" s="931">
        <v>0.6714</v>
      </c>
    </row>
    <row r="178" spans="1:13">
      <c r="A178" s="922">
        <v>9.3000000000000007</v>
      </c>
      <c r="B178" s="931">
        <v>0.88949999999999996</v>
      </c>
      <c r="C178" s="931">
        <v>0.88949999999999996</v>
      </c>
      <c r="D178" s="931">
        <v>0.81010000000000004</v>
      </c>
      <c r="E178" s="931">
        <v>0.81010000000000004</v>
      </c>
      <c r="F178" s="931">
        <v>0.81010000000000004</v>
      </c>
      <c r="G178" s="931">
        <v>0.81010000000000004</v>
      </c>
      <c r="H178" s="931">
        <v>0.81010000000000004</v>
      </c>
      <c r="I178" s="931">
        <v>0.6694</v>
      </c>
      <c r="J178" s="931">
        <v>0.6694</v>
      </c>
      <c r="K178" s="931">
        <v>0.6694</v>
      </c>
      <c r="L178" s="931">
        <v>0.6694</v>
      </c>
      <c r="M178" s="931">
        <v>0.6694</v>
      </c>
    </row>
    <row r="179" spans="1:13">
      <c r="A179" s="922">
        <v>9.4</v>
      </c>
      <c r="B179" s="931">
        <v>0.88819999999999999</v>
      </c>
      <c r="C179" s="931">
        <v>0.88819999999999999</v>
      </c>
      <c r="D179" s="931">
        <v>0.8085</v>
      </c>
      <c r="E179" s="931">
        <v>0.8085</v>
      </c>
      <c r="F179" s="931">
        <v>0.8085</v>
      </c>
      <c r="G179" s="931">
        <v>0.8085</v>
      </c>
      <c r="H179" s="931">
        <v>0.8085</v>
      </c>
      <c r="I179" s="931">
        <v>0.66739999999999999</v>
      </c>
      <c r="J179" s="931">
        <v>0.66739999999999999</v>
      </c>
      <c r="K179" s="931">
        <v>0.66739999999999999</v>
      </c>
      <c r="L179" s="931">
        <v>0.66739999999999999</v>
      </c>
      <c r="M179" s="931">
        <v>0.66739999999999999</v>
      </c>
    </row>
    <row r="180" spans="1:13">
      <c r="A180" s="922">
        <v>9.5</v>
      </c>
      <c r="B180" s="931">
        <v>0.88700000000000001</v>
      </c>
      <c r="C180" s="931">
        <v>0.88700000000000001</v>
      </c>
      <c r="D180" s="931">
        <v>0.80700000000000005</v>
      </c>
      <c r="E180" s="931">
        <v>0.80700000000000005</v>
      </c>
      <c r="F180" s="931">
        <v>0.80700000000000005</v>
      </c>
      <c r="G180" s="931">
        <v>0.80700000000000005</v>
      </c>
      <c r="H180" s="931">
        <v>0.80700000000000005</v>
      </c>
      <c r="I180" s="931">
        <v>0.66549999999999998</v>
      </c>
      <c r="J180" s="931">
        <v>0.66549999999999998</v>
      </c>
      <c r="K180" s="931">
        <v>0.66549999999999998</v>
      </c>
      <c r="L180" s="931">
        <v>0.66549999999999998</v>
      </c>
      <c r="M180" s="931">
        <v>0.66549999999999998</v>
      </c>
    </row>
    <row r="181" spans="1:13">
      <c r="A181" s="922">
        <v>9.6</v>
      </c>
      <c r="B181" s="931">
        <v>0.88580000000000003</v>
      </c>
      <c r="C181" s="931">
        <v>0.88580000000000003</v>
      </c>
      <c r="D181" s="931">
        <v>0.80549999999999999</v>
      </c>
      <c r="E181" s="931">
        <v>0.80549999999999999</v>
      </c>
      <c r="F181" s="931">
        <v>0.80549999999999999</v>
      </c>
      <c r="G181" s="931">
        <v>0.80549999999999999</v>
      </c>
      <c r="H181" s="931">
        <v>0.80549999999999999</v>
      </c>
      <c r="I181" s="931">
        <v>0.66359999999999997</v>
      </c>
      <c r="J181" s="931">
        <v>0.66359999999999997</v>
      </c>
      <c r="K181" s="931">
        <v>0.66359999999999997</v>
      </c>
      <c r="L181" s="931">
        <v>0.66359999999999997</v>
      </c>
      <c r="M181" s="931">
        <v>0.66359999999999997</v>
      </c>
    </row>
    <row r="182" spans="1:13">
      <c r="A182" s="922">
        <v>9.6999999999999993</v>
      </c>
      <c r="B182" s="931">
        <v>0.88460000000000005</v>
      </c>
      <c r="C182" s="931">
        <v>0.88460000000000005</v>
      </c>
      <c r="D182" s="931">
        <v>0.80400000000000005</v>
      </c>
      <c r="E182" s="931">
        <v>0.80400000000000005</v>
      </c>
      <c r="F182" s="931">
        <v>0.80400000000000005</v>
      </c>
      <c r="G182" s="931">
        <v>0.80400000000000005</v>
      </c>
      <c r="H182" s="931">
        <v>0.80400000000000005</v>
      </c>
      <c r="I182" s="931">
        <v>0.66169999999999995</v>
      </c>
      <c r="J182" s="931">
        <v>0.66169999999999995</v>
      </c>
      <c r="K182" s="931">
        <v>0.66169999999999995</v>
      </c>
      <c r="L182" s="931">
        <v>0.66169999999999995</v>
      </c>
      <c r="M182" s="931">
        <v>0.66169999999999995</v>
      </c>
    </row>
    <row r="183" spans="1:13">
      <c r="A183" s="922">
        <v>9.8000000000000007</v>
      </c>
      <c r="B183" s="931">
        <v>0.88339999999999996</v>
      </c>
      <c r="C183" s="931">
        <v>0.88339999999999996</v>
      </c>
      <c r="D183" s="931">
        <v>0.80249999999999999</v>
      </c>
      <c r="E183" s="931">
        <v>0.80249999999999999</v>
      </c>
      <c r="F183" s="931">
        <v>0.80249999999999999</v>
      </c>
      <c r="G183" s="931">
        <v>0.80249999999999999</v>
      </c>
      <c r="H183" s="931">
        <v>0.80249999999999999</v>
      </c>
      <c r="I183" s="931">
        <v>0.65980000000000005</v>
      </c>
      <c r="J183" s="931">
        <v>0.65980000000000005</v>
      </c>
      <c r="K183" s="931">
        <v>0.65980000000000005</v>
      </c>
      <c r="L183" s="931">
        <v>0.65980000000000005</v>
      </c>
      <c r="M183" s="931">
        <v>0.65980000000000005</v>
      </c>
    </row>
    <row r="184" spans="1:13">
      <c r="A184" s="922">
        <v>9.9</v>
      </c>
      <c r="B184" s="931">
        <v>0.88219999999999998</v>
      </c>
      <c r="C184" s="931">
        <v>0.88219999999999998</v>
      </c>
      <c r="D184" s="931">
        <v>0.80100000000000005</v>
      </c>
      <c r="E184" s="931">
        <v>0.80100000000000005</v>
      </c>
      <c r="F184" s="931">
        <v>0.80100000000000005</v>
      </c>
      <c r="G184" s="931">
        <v>0.80100000000000005</v>
      </c>
      <c r="H184" s="931">
        <v>0.80100000000000005</v>
      </c>
      <c r="I184" s="931">
        <v>0.65790000000000004</v>
      </c>
      <c r="J184" s="931">
        <v>0.65790000000000004</v>
      </c>
      <c r="K184" s="931">
        <v>0.65790000000000004</v>
      </c>
      <c r="L184" s="931">
        <v>0.65790000000000004</v>
      </c>
      <c r="M184" s="931">
        <v>0.65790000000000004</v>
      </c>
    </row>
    <row r="185" spans="1:13" ht="14.25">
      <c r="A185" s="3085" t="s">
        <v>2775</v>
      </c>
      <c r="B185" s="931"/>
      <c r="C185" s="931"/>
      <c r="D185" s="931"/>
      <c r="E185" s="931"/>
      <c r="F185" s="931"/>
      <c r="G185" s="931"/>
      <c r="H185" s="931"/>
      <c r="I185" s="931"/>
      <c r="J185" s="931"/>
      <c r="K185" s="931"/>
      <c r="L185" s="931"/>
      <c r="M185" s="931"/>
    </row>
    <row r="186" spans="1:13">
      <c r="A186" s="922" t="s">
        <v>1550</v>
      </c>
      <c r="B186" s="931" t="s">
        <v>990</v>
      </c>
      <c r="C186" s="931" t="s">
        <v>1031</v>
      </c>
      <c r="D186" s="931" t="s">
        <v>1145</v>
      </c>
      <c r="E186" s="931" t="s">
        <v>853</v>
      </c>
      <c r="F186" s="931" t="s">
        <v>1152</v>
      </c>
      <c r="G186" s="931" t="s">
        <v>1153</v>
      </c>
      <c r="H186" s="931" t="s">
        <v>1154</v>
      </c>
      <c r="I186" s="931" t="s">
        <v>1155</v>
      </c>
      <c r="J186" s="931" t="s">
        <v>1156</v>
      </c>
      <c r="K186" s="931" t="s">
        <v>1157</v>
      </c>
      <c r="L186" s="931" t="s">
        <v>2760</v>
      </c>
      <c r="M186" s="931" t="s">
        <v>2761</v>
      </c>
    </row>
    <row r="187" spans="1:13">
      <c r="A187" s="922">
        <v>1</v>
      </c>
      <c r="B187" s="931">
        <v>1.1901999999999999</v>
      </c>
      <c r="C187" s="931">
        <v>1.1901999999999999</v>
      </c>
      <c r="D187" s="931">
        <v>1.222</v>
      </c>
      <c r="E187" s="931">
        <v>1.222</v>
      </c>
      <c r="F187" s="931">
        <v>1.222</v>
      </c>
      <c r="G187" s="931">
        <v>1.222</v>
      </c>
      <c r="H187" s="931">
        <v>1.222</v>
      </c>
      <c r="I187" s="931">
        <v>1.1054999999999999</v>
      </c>
      <c r="J187" s="931">
        <v>1.1054999999999999</v>
      </c>
      <c r="K187" s="931">
        <v>1.1054999999999999</v>
      </c>
      <c r="L187" s="931">
        <v>1.1054999999999999</v>
      </c>
      <c r="M187" s="931">
        <v>1.1054999999999999</v>
      </c>
    </row>
    <row r="188" spans="1:13">
      <c r="A188" s="922">
        <v>1.1000000000000001</v>
      </c>
      <c r="B188" s="931">
        <v>1.1715</v>
      </c>
      <c r="C188" s="931">
        <v>1.1715</v>
      </c>
      <c r="D188" s="931">
        <v>1.2002999999999999</v>
      </c>
      <c r="E188" s="931">
        <v>1.2002999999999999</v>
      </c>
      <c r="F188" s="931">
        <v>1.2002999999999999</v>
      </c>
      <c r="G188" s="931">
        <v>1.2002999999999999</v>
      </c>
      <c r="H188" s="931">
        <v>1.2002999999999999</v>
      </c>
      <c r="I188" s="931">
        <v>1.0819000000000001</v>
      </c>
      <c r="J188" s="931">
        <v>1.0819000000000001</v>
      </c>
      <c r="K188" s="931">
        <v>1.0819000000000001</v>
      </c>
      <c r="L188" s="931">
        <v>1.0819000000000001</v>
      </c>
      <c r="M188" s="931">
        <v>1.0819000000000001</v>
      </c>
    </row>
    <row r="189" spans="1:13">
      <c r="A189" s="922">
        <v>1.2</v>
      </c>
      <c r="B189" s="931">
        <v>1.1538999999999999</v>
      </c>
      <c r="C189" s="931">
        <v>1.1538999999999999</v>
      </c>
      <c r="D189" s="931">
        <v>1.1798</v>
      </c>
      <c r="E189" s="931">
        <v>1.1798</v>
      </c>
      <c r="F189" s="931">
        <v>1.1798</v>
      </c>
      <c r="G189" s="931">
        <v>1.1798</v>
      </c>
      <c r="H189" s="931">
        <v>1.1798</v>
      </c>
      <c r="I189" s="931">
        <v>1.0597000000000001</v>
      </c>
      <c r="J189" s="931">
        <v>1.0597000000000001</v>
      </c>
      <c r="K189" s="931">
        <v>1.0597000000000001</v>
      </c>
      <c r="L189" s="931">
        <v>1.0597000000000001</v>
      </c>
      <c r="M189" s="931">
        <v>1.0597000000000001</v>
      </c>
    </row>
    <row r="190" spans="1:13">
      <c r="A190" s="922">
        <v>1.3</v>
      </c>
      <c r="B190" s="931">
        <v>1.1372</v>
      </c>
      <c r="C190" s="931">
        <v>1.1372</v>
      </c>
      <c r="D190" s="931">
        <v>1.1605000000000001</v>
      </c>
      <c r="E190" s="931">
        <v>1.1605000000000001</v>
      </c>
      <c r="F190" s="931">
        <v>1.1605000000000001</v>
      </c>
      <c r="G190" s="931">
        <v>1.1605000000000001</v>
      </c>
      <c r="H190" s="931">
        <v>1.1605000000000001</v>
      </c>
      <c r="I190" s="931">
        <v>1.0386</v>
      </c>
      <c r="J190" s="931">
        <v>1.0386</v>
      </c>
      <c r="K190" s="931">
        <v>1.0386</v>
      </c>
      <c r="L190" s="931">
        <v>1.0386</v>
      </c>
      <c r="M190" s="931">
        <v>1.0386</v>
      </c>
    </row>
    <row r="191" spans="1:13">
      <c r="A191" s="922">
        <v>1.4</v>
      </c>
      <c r="B191" s="931">
        <v>1.1215999999999999</v>
      </c>
      <c r="C191" s="931">
        <v>1.1215999999999999</v>
      </c>
      <c r="D191" s="931">
        <v>1.1422000000000001</v>
      </c>
      <c r="E191" s="931">
        <v>1.1422000000000001</v>
      </c>
      <c r="F191" s="931">
        <v>1.1422000000000001</v>
      </c>
      <c r="G191" s="931">
        <v>1.1422000000000001</v>
      </c>
      <c r="H191" s="931">
        <v>1.1422000000000001</v>
      </c>
      <c r="I191" s="931">
        <v>1.0187999999999999</v>
      </c>
      <c r="J191" s="931">
        <v>1.0187999999999999</v>
      </c>
      <c r="K191" s="931">
        <v>1.0187999999999999</v>
      </c>
      <c r="L191" s="931">
        <v>1.0187999999999999</v>
      </c>
      <c r="M191" s="931">
        <v>1.0187999999999999</v>
      </c>
    </row>
    <row r="192" spans="1:13">
      <c r="A192" s="922">
        <v>1.5</v>
      </c>
      <c r="B192" s="931">
        <v>1.1069</v>
      </c>
      <c r="C192" s="931">
        <v>1.1069</v>
      </c>
      <c r="D192" s="931">
        <v>1.125</v>
      </c>
      <c r="E192" s="931">
        <v>1.125</v>
      </c>
      <c r="F192" s="931">
        <v>1.125</v>
      </c>
      <c r="G192" s="931">
        <v>1.125</v>
      </c>
      <c r="H192" s="931">
        <v>1.125</v>
      </c>
      <c r="I192" s="931">
        <v>1</v>
      </c>
      <c r="J192" s="931">
        <v>1</v>
      </c>
      <c r="K192" s="931">
        <v>1</v>
      </c>
      <c r="L192" s="931">
        <v>1</v>
      </c>
      <c r="M192" s="931">
        <v>1</v>
      </c>
    </row>
    <row r="193" spans="1:13">
      <c r="A193" s="922">
        <v>1.6</v>
      </c>
      <c r="B193" s="931">
        <v>1.0929</v>
      </c>
      <c r="C193" s="931">
        <v>1.0929</v>
      </c>
      <c r="D193" s="931">
        <v>1.1087</v>
      </c>
      <c r="E193" s="931">
        <v>1.1087</v>
      </c>
      <c r="F193" s="931">
        <v>1.1087</v>
      </c>
      <c r="G193" s="931">
        <v>1.1087</v>
      </c>
      <c r="H193" s="931">
        <v>1.1087</v>
      </c>
      <c r="I193" s="931">
        <v>0.98229999999999995</v>
      </c>
      <c r="J193" s="931">
        <v>0.98229999999999995</v>
      </c>
      <c r="K193" s="931">
        <v>0.98229999999999995</v>
      </c>
      <c r="L193" s="931">
        <v>0.98229999999999995</v>
      </c>
      <c r="M193" s="931">
        <v>0.98229999999999995</v>
      </c>
    </row>
    <row r="194" spans="1:13">
      <c r="A194" s="938">
        <v>1.7</v>
      </c>
      <c r="B194" s="931">
        <v>1.0798000000000001</v>
      </c>
      <c r="C194" s="931">
        <v>1.0798000000000001</v>
      </c>
      <c r="D194" s="931">
        <v>1.0933999999999999</v>
      </c>
      <c r="E194" s="931">
        <v>1.0933999999999999</v>
      </c>
      <c r="F194" s="931">
        <v>1.0933999999999999</v>
      </c>
      <c r="G194" s="931">
        <v>1.0933999999999999</v>
      </c>
      <c r="H194" s="931">
        <v>1.0933999999999999</v>
      </c>
      <c r="I194" s="931">
        <v>0.96560000000000001</v>
      </c>
      <c r="J194" s="931">
        <v>0.96560000000000001</v>
      </c>
      <c r="K194" s="931">
        <v>0.96560000000000001</v>
      </c>
      <c r="L194" s="931">
        <v>0.96560000000000001</v>
      </c>
      <c r="M194" s="931">
        <v>0.96560000000000001</v>
      </c>
    </row>
    <row r="195" spans="1:13">
      <c r="A195" s="938">
        <v>1.8</v>
      </c>
      <c r="B195" s="931">
        <v>1.0674999999999999</v>
      </c>
      <c r="C195" s="931">
        <v>1.0674999999999999</v>
      </c>
      <c r="D195" s="931">
        <v>1.0790999999999999</v>
      </c>
      <c r="E195" s="931">
        <v>1.0790999999999999</v>
      </c>
      <c r="F195" s="931">
        <v>1.0790999999999999</v>
      </c>
      <c r="G195" s="931">
        <v>1.0790999999999999</v>
      </c>
      <c r="H195" s="931">
        <v>1.0790999999999999</v>
      </c>
      <c r="I195" s="931">
        <v>0.94989999999999997</v>
      </c>
      <c r="J195" s="931">
        <v>0.94989999999999997</v>
      </c>
      <c r="K195" s="931">
        <v>0.94989999999999997</v>
      </c>
      <c r="L195" s="931">
        <v>0.94989999999999997</v>
      </c>
      <c r="M195" s="931">
        <v>0.94989999999999997</v>
      </c>
    </row>
    <row r="196" spans="1:13">
      <c r="A196" s="938">
        <v>1.9</v>
      </c>
      <c r="B196" s="931">
        <v>1.0558000000000001</v>
      </c>
      <c r="C196" s="931">
        <v>1.0558000000000001</v>
      </c>
      <c r="D196" s="931">
        <v>1.0654999999999999</v>
      </c>
      <c r="E196" s="931">
        <v>1.0654999999999999</v>
      </c>
      <c r="F196" s="931">
        <v>1.0654999999999999</v>
      </c>
      <c r="G196" s="931">
        <v>1.0654999999999999</v>
      </c>
      <c r="H196" s="931">
        <v>1.0654999999999999</v>
      </c>
      <c r="I196" s="931">
        <v>0.93520000000000003</v>
      </c>
      <c r="J196" s="931">
        <v>0.93520000000000003</v>
      </c>
      <c r="K196" s="931">
        <v>0.93520000000000003</v>
      </c>
      <c r="L196" s="931">
        <v>0.93520000000000003</v>
      </c>
      <c r="M196" s="931">
        <v>0.93520000000000003</v>
      </c>
    </row>
    <row r="197" spans="1:13">
      <c r="A197" s="938">
        <v>2</v>
      </c>
      <c r="B197" s="931">
        <v>1.0449999999999999</v>
      </c>
      <c r="C197" s="931">
        <v>1.0449999999999999</v>
      </c>
      <c r="D197" s="931">
        <v>1.0528</v>
      </c>
      <c r="E197" s="931">
        <v>1.0528</v>
      </c>
      <c r="F197" s="931">
        <v>1.0528</v>
      </c>
      <c r="G197" s="931">
        <v>1.0528</v>
      </c>
      <c r="H197" s="931">
        <v>1.0528</v>
      </c>
      <c r="I197" s="931">
        <v>0.92130000000000001</v>
      </c>
      <c r="J197" s="931">
        <v>0.92130000000000001</v>
      </c>
      <c r="K197" s="931">
        <v>0.92130000000000001</v>
      </c>
      <c r="L197" s="931">
        <v>0.92130000000000001</v>
      </c>
      <c r="M197" s="931">
        <v>0.92130000000000001</v>
      </c>
    </row>
    <row r="198" spans="1:13">
      <c r="A198" s="938">
        <v>2.1</v>
      </c>
      <c r="B198" s="931">
        <v>1.0347999999999999</v>
      </c>
      <c r="C198" s="931">
        <v>1.0347999999999999</v>
      </c>
      <c r="D198" s="931">
        <v>1.0407999999999999</v>
      </c>
      <c r="E198" s="931">
        <v>1.0407999999999999</v>
      </c>
      <c r="F198" s="931">
        <v>1.0407999999999999</v>
      </c>
      <c r="G198" s="931">
        <v>1.0407999999999999</v>
      </c>
      <c r="H198" s="931">
        <v>1.0407999999999999</v>
      </c>
      <c r="I198" s="931">
        <v>0.90820000000000001</v>
      </c>
      <c r="J198" s="931">
        <v>0.90820000000000001</v>
      </c>
      <c r="K198" s="931">
        <v>0.90820000000000001</v>
      </c>
      <c r="L198" s="931">
        <v>0.90820000000000001</v>
      </c>
      <c r="M198" s="931">
        <v>0.90820000000000001</v>
      </c>
    </row>
    <row r="199" spans="1:13">
      <c r="A199" s="938">
        <v>2.2000000000000002</v>
      </c>
      <c r="B199" s="931">
        <v>1.0251999999999999</v>
      </c>
      <c r="C199" s="931">
        <v>1.0251999999999999</v>
      </c>
      <c r="D199" s="931">
        <v>1.0296000000000001</v>
      </c>
      <c r="E199" s="931">
        <v>1.0296000000000001</v>
      </c>
      <c r="F199" s="931">
        <v>1.0296000000000001</v>
      </c>
      <c r="G199" s="931">
        <v>1.0296000000000001</v>
      </c>
      <c r="H199" s="931">
        <v>1.0296000000000001</v>
      </c>
      <c r="I199" s="931">
        <v>0.89570000000000005</v>
      </c>
      <c r="J199" s="931">
        <v>0.89570000000000005</v>
      </c>
      <c r="K199" s="931">
        <v>0.89570000000000005</v>
      </c>
      <c r="L199" s="931">
        <v>0.89570000000000005</v>
      </c>
      <c r="M199" s="931">
        <v>0.89570000000000005</v>
      </c>
    </row>
    <row r="200" spans="1:13">
      <c r="A200" s="938">
        <v>2.2999999999999998</v>
      </c>
      <c r="B200" s="931">
        <v>1.0162</v>
      </c>
      <c r="C200" s="931">
        <v>1.0162</v>
      </c>
      <c r="D200" s="931">
        <v>1.0190999999999999</v>
      </c>
      <c r="E200" s="931">
        <v>1.0190999999999999</v>
      </c>
      <c r="F200" s="931">
        <v>1.0190999999999999</v>
      </c>
      <c r="G200" s="931">
        <v>1.0190999999999999</v>
      </c>
      <c r="H200" s="931">
        <v>1.0190999999999999</v>
      </c>
      <c r="I200" s="931">
        <v>0.88419999999999999</v>
      </c>
      <c r="J200" s="931">
        <v>0.88419999999999999</v>
      </c>
      <c r="K200" s="931">
        <v>0.88419999999999999</v>
      </c>
      <c r="L200" s="931">
        <v>0.88419999999999999</v>
      </c>
      <c r="M200" s="931">
        <v>0.88419999999999999</v>
      </c>
    </row>
    <row r="201" spans="1:13">
      <c r="A201" s="938">
        <v>2.4</v>
      </c>
      <c r="B201" s="931">
        <v>1.0078</v>
      </c>
      <c r="C201" s="931">
        <v>1.0078</v>
      </c>
      <c r="D201" s="931">
        <v>1.0092000000000001</v>
      </c>
      <c r="E201" s="931">
        <v>1.0092000000000001</v>
      </c>
      <c r="F201" s="931">
        <v>1.0092000000000001</v>
      </c>
      <c r="G201" s="931">
        <v>1.0092000000000001</v>
      </c>
      <c r="H201" s="931">
        <v>1.0092000000000001</v>
      </c>
      <c r="I201" s="931">
        <v>0.87329999999999997</v>
      </c>
      <c r="J201" s="931">
        <v>0.87329999999999997</v>
      </c>
      <c r="K201" s="931">
        <v>0.87329999999999997</v>
      </c>
      <c r="L201" s="931">
        <v>0.87329999999999997</v>
      </c>
      <c r="M201" s="931">
        <v>0.87329999999999997</v>
      </c>
    </row>
    <row r="202" spans="1:13">
      <c r="A202" s="938">
        <v>2.5</v>
      </c>
      <c r="B202" s="931">
        <v>1</v>
      </c>
      <c r="C202" s="931">
        <v>1</v>
      </c>
      <c r="D202" s="931">
        <v>1</v>
      </c>
      <c r="E202" s="931">
        <v>1</v>
      </c>
      <c r="F202" s="931">
        <v>1</v>
      </c>
      <c r="G202" s="931">
        <v>1</v>
      </c>
      <c r="H202" s="931">
        <v>1</v>
      </c>
      <c r="I202" s="931">
        <v>0.86299999999999999</v>
      </c>
      <c r="J202" s="931">
        <v>0.86299999999999999</v>
      </c>
      <c r="K202" s="931">
        <v>0.86299999999999999</v>
      </c>
      <c r="L202" s="931">
        <v>0.86299999999999999</v>
      </c>
      <c r="M202" s="931">
        <v>0.86299999999999999</v>
      </c>
    </row>
    <row r="203" spans="1:13">
      <c r="A203" s="938">
        <v>2.6</v>
      </c>
      <c r="B203" s="931">
        <v>0.99270000000000003</v>
      </c>
      <c r="C203" s="931">
        <v>0.99270000000000003</v>
      </c>
      <c r="D203" s="931">
        <v>0.99139999999999995</v>
      </c>
      <c r="E203" s="931">
        <v>0.99139999999999995</v>
      </c>
      <c r="F203" s="931">
        <v>0.99139999999999995</v>
      </c>
      <c r="G203" s="931">
        <v>0.99139999999999995</v>
      </c>
      <c r="H203" s="931">
        <v>0.99139999999999995</v>
      </c>
      <c r="I203" s="931">
        <v>0.85340000000000005</v>
      </c>
      <c r="J203" s="931">
        <v>0.85340000000000005</v>
      </c>
      <c r="K203" s="931">
        <v>0.85340000000000005</v>
      </c>
      <c r="L203" s="931">
        <v>0.85340000000000005</v>
      </c>
      <c r="M203" s="931">
        <v>0.85340000000000005</v>
      </c>
    </row>
    <row r="204" spans="1:13">
      <c r="A204" s="938">
        <v>2.7</v>
      </c>
      <c r="B204" s="931">
        <v>0.98580000000000001</v>
      </c>
      <c r="C204" s="931">
        <v>0.98580000000000001</v>
      </c>
      <c r="D204" s="931">
        <v>0.98329999999999995</v>
      </c>
      <c r="E204" s="931">
        <v>0.98329999999999995</v>
      </c>
      <c r="F204" s="931">
        <v>0.98329999999999995</v>
      </c>
      <c r="G204" s="931">
        <v>0.98329999999999995</v>
      </c>
      <c r="H204" s="931">
        <v>0.98329999999999995</v>
      </c>
      <c r="I204" s="931">
        <v>0.84440000000000004</v>
      </c>
      <c r="J204" s="931">
        <v>0.84440000000000004</v>
      </c>
      <c r="K204" s="931">
        <v>0.84440000000000004</v>
      </c>
      <c r="L204" s="931">
        <v>0.84440000000000004</v>
      </c>
      <c r="M204" s="931">
        <v>0.84440000000000004</v>
      </c>
    </row>
    <row r="205" spans="1:13">
      <c r="A205" s="938">
        <v>2.8</v>
      </c>
      <c r="B205" s="931">
        <v>0.97940000000000005</v>
      </c>
      <c r="C205" s="931">
        <v>0.97940000000000005</v>
      </c>
      <c r="D205" s="931">
        <v>0.97570000000000001</v>
      </c>
      <c r="E205" s="931">
        <v>0.97570000000000001</v>
      </c>
      <c r="F205" s="931">
        <v>0.97570000000000001</v>
      </c>
      <c r="G205" s="931">
        <v>0.97570000000000001</v>
      </c>
      <c r="H205" s="931">
        <v>0.97570000000000001</v>
      </c>
      <c r="I205" s="931">
        <v>0.83599999999999997</v>
      </c>
      <c r="J205" s="931">
        <v>0.83599999999999997</v>
      </c>
      <c r="K205" s="931">
        <v>0.83599999999999997</v>
      </c>
      <c r="L205" s="931">
        <v>0.83599999999999997</v>
      </c>
      <c r="M205" s="931">
        <v>0.83599999999999997</v>
      </c>
    </row>
    <row r="206" spans="1:13">
      <c r="A206" s="922">
        <v>2.9</v>
      </c>
      <c r="B206" s="923">
        <v>0.97350000000000003</v>
      </c>
      <c r="C206" s="923">
        <v>0.97350000000000003</v>
      </c>
      <c r="D206" s="923">
        <v>0.96870000000000001</v>
      </c>
      <c r="E206" s="923">
        <v>0.96870000000000001</v>
      </c>
      <c r="F206" s="923">
        <v>0.96870000000000001</v>
      </c>
      <c r="G206" s="923">
        <v>0.96870000000000001</v>
      </c>
      <c r="H206" s="924">
        <v>0.96870000000000001</v>
      </c>
      <c r="I206" s="924">
        <v>0.82820000000000005</v>
      </c>
      <c r="J206" s="925">
        <v>0.82820000000000005</v>
      </c>
      <c r="K206" s="925">
        <v>0.82820000000000005</v>
      </c>
      <c r="L206" s="925">
        <v>0.82820000000000005</v>
      </c>
      <c r="M206" s="925">
        <v>0.82820000000000005</v>
      </c>
    </row>
    <row r="207" spans="1:13">
      <c r="A207" s="922">
        <v>3</v>
      </c>
      <c r="B207" s="931">
        <v>0.96789999999999998</v>
      </c>
      <c r="C207" s="931">
        <v>0.96789999999999998</v>
      </c>
      <c r="D207" s="931">
        <v>0.96209999999999996</v>
      </c>
      <c r="E207" s="931">
        <v>0.96209999999999996</v>
      </c>
      <c r="F207" s="931">
        <v>0.96209999999999996</v>
      </c>
      <c r="G207" s="931">
        <v>0.96209999999999996</v>
      </c>
      <c r="H207" s="931">
        <v>0.96209999999999996</v>
      </c>
      <c r="I207" s="931">
        <v>0.82079999999999997</v>
      </c>
      <c r="J207" s="931">
        <v>0.82079999999999997</v>
      </c>
      <c r="K207" s="931">
        <v>0.82079999999999997</v>
      </c>
      <c r="L207" s="931">
        <v>0.82079999999999997</v>
      </c>
      <c r="M207" s="931">
        <v>0.82079999999999997</v>
      </c>
    </row>
    <row r="208" spans="1:13">
      <c r="A208" s="922">
        <v>3.1</v>
      </c>
      <c r="B208" s="931">
        <v>0.9627</v>
      </c>
      <c r="C208" s="931">
        <v>0.9627</v>
      </c>
      <c r="D208" s="931">
        <v>0.95589999999999997</v>
      </c>
      <c r="E208" s="931">
        <v>0.95589999999999997</v>
      </c>
      <c r="F208" s="931">
        <v>0.95589999999999997</v>
      </c>
      <c r="G208" s="931">
        <v>0.95589999999999997</v>
      </c>
      <c r="H208" s="931">
        <v>0.95589999999999997</v>
      </c>
      <c r="I208" s="931">
        <v>0.81389999999999996</v>
      </c>
      <c r="J208" s="931">
        <v>0.81389999999999996</v>
      </c>
      <c r="K208" s="931">
        <v>0.81389999999999996</v>
      </c>
      <c r="L208" s="931">
        <v>0.81389999999999996</v>
      </c>
      <c r="M208" s="931">
        <v>0.81389999999999996</v>
      </c>
    </row>
    <row r="209" spans="1:13">
      <c r="A209" s="922">
        <v>3.2</v>
      </c>
      <c r="B209" s="931">
        <v>0.95789999999999997</v>
      </c>
      <c r="C209" s="931">
        <v>0.95789999999999997</v>
      </c>
      <c r="D209" s="931">
        <v>0.95020000000000004</v>
      </c>
      <c r="E209" s="931">
        <v>0.95020000000000004</v>
      </c>
      <c r="F209" s="931">
        <v>0.95020000000000004</v>
      </c>
      <c r="G209" s="931">
        <v>0.95020000000000004</v>
      </c>
      <c r="H209" s="931">
        <v>0.95020000000000004</v>
      </c>
      <c r="I209" s="931">
        <v>0.8075</v>
      </c>
      <c r="J209" s="931">
        <v>0.8075</v>
      </c>
      <c r="K209" s="931">
        <v>0.8075</v>
      </c>
      <c r="L209" s="931">
        <v>0.8075</v>
      </c>
      <c r="M209" s="931">
        <v>0.8075</v>
      </c>
    </row>
    <row r="210" spans="1:13">
      <c r="A210" s="922">
        <v>3.3</v>
      </c>
      <c r="B210" s="931">
        <v>0.95340000000000003</v>
      </c>
      <c r="C210" s="931">
        <v>0.95340000000000003</v>
      </c>
      <c r="D210" s="931">
        <v>0.94479999999999997</v>
      </c>
      <c r="E210" s="931">
        <v>0.94479999999999997</v>
      </c>
      <c r="F210" s="931">
        <v>0.94479999999999997</v>
      </c>
      <c r="G210" s="931">
        <v>0.94479999999999997</v>
      </c>
      <c r="H210" s="931">
        <v>0.94479999999999997</v>
      </c>
      <c r="I210" s="931">
        <v>0.80149999999999999</v>
      </c>
      <c r="J210" s="931">
        <v>0.80149999999999999</v>
      </c>
      <c r="K210" s="931">
        <v>0.80149999999999999</v>
      </c>
      <c r="L210" s="931">
        <v>0.80149999999999999</v>
      </c>
      <c r="M210" s="931">
        <v>0.80149999999999999</v>
      </c>
    </row>
    <row r="211" spans="1:13">
      <c r="A211" s="922">
        <v>3.4</v>
      </c>
      <c r="B211" s="931">
        <v>0.94920000000000004</v>
      </c>
      <c r="C211" s="931">
        <v>0.94920000000000004</v>
      </c>
      <c r="D211" s="931">
        <v>0.93989999999999996</v>
      </c>
      <c r="E211" s="931">
        <v>0.93989999999999996</v>
      </c>
      <c r="F211" s="931">
        <v>0.93989999999999996</v>
      </c>
      <c r="G211" s="931">
        <v>0.93989999999999996</v>
      </c>
      <c r="H211" s="931">
        <v>0.93989999999999996</v>
      </c>
      <c r="I211" s="931">
        <v>0.79590000000000005</v>
      </c>
      <c r="J211" s="931">
        <v>0.79590000000000005</v>
      </c>
      <c r="K211" s="931">
        <v>0.79590000000000005</v>
      </c>
      <c r="L211" s="931">
        <v>0.79590000000000005</v>
      </c>
      <c r="M211" s="931">
        <v>0.79590000000000005</v>
      </c>
    </row>
    <row r="212" spans="1:13">
      <c r="A212" s="922">
        <v>3.5</v>
      </c>
      <c r="B212" s="931">
        <v>0.94540000000000002</v>
      </c>
      <c r="C212" s="931">
        <v>0.94540000000000002</v>
      </c>
      <c r="D212" s="931">
        <v>0.93520000000000003</v>
      </c>
      <c r="E212" s="931">
        <v>0.93520000000000003</v>
      </c>
      <c r="F212" s="931">
        <v>0.93520000000000003</v>
      </c>
      <c r="G212" s="931">
        <v>0.93520000000000003</v>
      </c>
      <c r="H212" s="931">
        <v>0.93520000000000003</v>
      </c>
      <c r="I212" s="931">
        <v>0.79059999999999997</v>
      </c>
      <c r="J212" s="931">
        <v>0.79059999999999997</v>
      </c>
      <c r="K212" s="931">
        <v>0.79059999999999997</v>
      </c>
      <c r="L212" s="931">
        <v>0.79059999999999997</v>
      </c>
      <c r="M212" s="931">
        <v>0.79059999999999997</v>
      </c>
    </row>
    <row r="213" spans="1:13">
      <c r="A213" s="922">
        <v>3.6</v>
      </c>
      <c r="B213" s="931">
        <v>0.94179999999999997</v>
      </c>
      <c r="C213" s="931">
        <v>0.94179999999999997</v>
      </c>
      <c r="D213" s="931">
        <v>0.93089999999999995</v>
      </c>
      <c r="E213" s="931">
        <v>0.93089999999999995</v>
      </c>
      <c r="F213" s="931">
        <v>0.93089999999999995</v>
      </c>
      <c r="G213" s="931">
        <v>0.93089999999999995</v>
      </c>
      <c r="H213" s="931">
        <v>0.93089999999999995</v>
      </c>
      <c r="I213" s="931">
        <v>0.78569999999999995</v>
      </c>
      <c r="J213" s="931">
        <v>0.78569999999999995</v>
      </c>
      <c r="K213" s="931">
        <v>0.78569999999999995</v>
      </c>
      <c r="L213" s="931">
        <v>0.78569999999999995</v>
      </c>
      <c r="M213" s="931">
        <v>0.78569999999999995</v>
      </c>
    </row>
    <row r="214" spans="1:13">
      <c r="A214" s="922">
        <v>3.7</v>
      </c>
      <c r="B214" s="931">
        <v>0.93840000000000001</v>
      </c>
      <c r="C214" s="931">
        <v>0.93840000000000001</v>
      </c>
      <c r="D214" s="931">
        <v>0.92689999999999995</v>
      </c>
      <c r="E214" s="931">
        <v>0.92689999999999995</v>
      </c>
      <c r="F214" s="931">
        <v>0.92689999999999995</v>
      </c>
      <c r="G214" s="931">
        <v>0.92689999999999995</v>
      </c>
      <c r="H214" s="931">
        <v>0.92689999999999995</v>
      </c>
      <c r="I214" s="931">
        <v>0.78110000000000002</v>
      </c>
      <c r="J214" s="931">
        <v>0.78110000000000002</v>
      </c>
      <c r="K214" s="931">
        <v>0.78110000000000002</v>
      </c>
      <c r="L214" s="931">
        <v>0.78110000000000002</v>
      </c>
      <c r="M214" s="931">
        <v>0.78110000000000002</v>
      </c>
    </row>
    <row r="215" spans="1:13">
      <c r="A215" s="922">
        <v>3.8</v>
      </c>
      <c r="B215" s="931">
        <v>0.93530000000000002</v>
      </c>
      <c r="C215" s="931">
        <v>0.93530000000000002</v>
      </c>
      <c r="D215" s="931">
        <v>0.92310000000000003</v>
      </c>
      <c r="E215" s="931">
        <v>0.92310000000000003</v>
      </c>
      <c r="F215" s="931">
        <v>0.92310000000000003</v>
      </c>
      <c r="G215" s="931">
        <v>0.92310000000000003</v>
      </c>
      <c r="H215" s="931">
        <v>0.92310000000000003</v>
      </c>
      <c r="I215" s="931">
        <v>0.77680000000000005</v>
      </c>
      <c r="J215" s="931">
        <v>0.77680000000000005</v>
      </c>
      <c r="K215" s="931">
        <v>0.77680000000000005</v>
      </c>
      <c r="L215" s="931">
        <v>0.77680000000000005</v>
      </c>
      <c r="M215" s="931">
        <v>0.77680000000000005</v>
      </c>
    </row>
    <row r="216" spans="1:13">
      <c r="A216" s="922">
        <v>3.9</v>
      </c>
      <c r="B216" s="931">
        <v>0.93240000000000001</v>
      </c>
      <c r="C216" s="931">
        <v>0.93240000000000001</v>
      </c>
      <c r="D216" s="931">
        <v>0.91959999999999997</v>
      </c>
      <c r="E216" s="931">
        <v>0.91959999999999997</v>
      </c>
      <c r="F216" s="931">
        <v>0.91959999999999997</v>
      </c>
      <c r="G216" s="931">
        <v>0.91959999999999997</v>
      </c>
      <c r="H216" s="931">
        <v>0.91959999999999997</v>
      </c>
      <c r="I216" s="931">
        <v>0.77270000000000005</v>
      </c>
      <c r="J216" s="931">
        <v>0.77270000000000005</v>
      </c>
      <c r="K216" s="931">
        <v>0.77270000000000005</v>
      </c>
      <c r="L216" s="931">
        <v>0.77270000000000005</v>
      </c>
      <c r="M216" s="931">
        <v>0.77270000000000005</v>
      </c>
    </row>
    <row r="217" spans="1:13">
      <c r="A217" s="922">
        <v>4</v>
      </c>
      <c r="B217" s="931">
        <v>0.92969999999999997</v>
      </c>
      <c r="C217" s="931">
        <v>0.92969999999999997</v>
      </c>
      <c r="D217" s="931">
        <v>0.9163</v>
      </c>
      <c r="E217" s="931">
        <v>0.9163</v>
      </c>
      <c r="F217" s="931">
        <v>0.9163</v>
      </c>
      <c r="G217" s="931">
        <v>0.9163</v>
      </c>
      <c r="H217" s="931">
        <v>0.9163</v>
      </c>
      <c r="I217" s="931">
        <v>0.76880000000000004</v>
      </c>
      <c r="J217" s="931">
        <v>0.76880000000000004</v>
      </c>
      <c r="K217" s="931">
        <v>0.76880000000000004</v>
      </c>
      <c r="L217" s="931">
        <v>0.76880000000000004</v>
      </c>
      <c r="M217" s="931">
        <v>0.76880000000000004</v>
      </c>
    </row>
    <row r="218" spans="1:13">
      <c r="A218" s="922">
        <v>4.0999999999999996</v>
      </c>
      <c r="B218" s="931">
        <v>0.92720000000000002</v>
      </c>
      <c r="C218" s="931">
        <v>0.92720000000000002</v>
      </c>
      <c r="D218" s="931">
        <v>0.91320000000000001</v>
      </c>
      <c r="E218" s="931">
        <v>0.91320000000000001</v>
      </c>
      <c r="F218" s="931">
        <v>0.91320000000000001</v>
      </c>
      <c r="G218" s="931">
        <v>0.91320000000000001</v>
      </c>
      <c r="H218" s="931">
        <v>0.91320000000000001</v>
      </c>
      <c r="I218" s="931">
        <v>0.7651</v>
      </c>
      <c r="J218" s="931">
        <v>0.7651</v>
      </c>
      <c r="K218" s="931">
        <v>0.7651</v>
      </c>
      <c r="L218" s="931">
        <v>0.7651</v>
      </c>
      <c r="M218" s="931">
        <v>0.7651</v>
      </c>
    </row>
    <row r="219" spans="1:13">
      <c r="A219" s="922">
        <v>4.2</v>
      </c>
      <c r="B219" s="931">
        <v>0.92479999999999996</v>
      </c>
      <c r="C219" s="931">
        <v>0.92479999999999996</v>
      </c>
      <c r="D219" s="931">
        <v>0.91020000000000001</v>
      </c>
      <c r="E219" s="931">
        <v>0.91020000000000001</v>
      </c>
      <c r="F219" s="931">
        <v>0.91020000000000001</v>
      </c>
      <c r="G219" s="931">
        <v>0.91020000000000001</v>
      </c>
      <c r="H219" s="931">
        <v>0.91020000000000001</v>
      </c>
      <c r="I219" s="931">
        <v>0.76149999999999995</v>
      </c>
      <c r="J219" s="931">
        <v>0.76149999999999995</v>
      </c>
      <c r="K219" s="931">
        <v>0.76149999999999995</v>
      </c>
      <c r="L219" s="931">
        <v>0.76149999999999995</v>
      </c>
      <c r="M219" s="931">
        <v>0.76149999999999995</v>
      </c>
    </row>
    <row r="220" spans="1:13">
      <c r="A220" s="922">
        <v>4.3</v>
      </c>
      <c r="B220" s="931">
        <v>0.92249999999999999</v>
      </c>
      <c r="C220" s="931">
        <v>0.92249999999999999</v>
      </c>
      <c r="D220" s="931">
        <v>0.9073</v>
      </c>
      <c r="E220" s="931">
        <v>0.9073</v>
      </c>
      <c r="F220" s="931">
        <v>0.9073</v>
      </c>
      <c r="G220" s="931">
        <v>0.9073</v>
      </c>
      <c r="H220" s="931">
        <v>0.9073</v>
      </c>
      <c r="I220" s="931">
        <v>0.75800000000000001</v>
      </c>
      <c r="J220" s="931">
        <v>0.75800000000000001</v>
      </c>
      <c r="K220" s="931">
        <v>0.75800000000000001</v>
      </c>
      <c r="L220" s="931">
        <v>0.75800000000000001</v>
      </c>
      <c r="M220" s="931">
        <v>0.75800000000000001</v>
      </c>
    </row>
    <row r="221" spans="1:13">
      <c r="A221" s="922">
        <v>4.4000000000000004</v>
      </c>
      <c r="B221" s="931">
        <v>0.92030000000000001</v>
      </c>
      <c r="C221" s="931">
        <v>0.92030000000000001</v>
      </c>
      <c r="D221" s="931">
        <v>0.90449999999999997</v>
      </c>
      <c r="E221" s="931">
        <v>0.90449999999999997</v>
      </c>
      <c r="F221" s="931">
        <v>0.90449999999999997</v>
      </c>
      <c r="G221" s="931">
        <v>0.90449999999999997</v>
      </c>
      <c r="H221" s="931">
        <v>0.90449999999999997</v>
      </c>
      <c r="I221" s="931">
        <v>0.75460000000000005</v>
      </c>
      <c r="J221" s="931">
        <v>0.75460000000000005</v>
      </c>
      <c r="K221" s="931">
        <v>0.75460000000000005</v>
      </c>
      <c r="L221" s="931">
        <v>0.75460000000000005</v>
      </c>
      <c r="M221" s="931">
        <v>0.75460000000000005</v>
      </c>
    </row>
    <row r="222" spans="1:13">
      <c r="A222" s="922">
        <v>4.5</v>
      </c>
      <c r="B222" s="931">
        <v>0.91810000000000003</v>
      </c>
      <c r="C222" s="931">
        <v>0.91810000000000003</v>
      </c>
      <c r="D222" s="931">
        <v>0.90180000000000005</v>
      </c>
      <c r="E222" s="931">
        <v>0.90180000000000005</v>
      </c>
      <c r="F222" s="931">
        <v>0.90180000000000005</v>
      </c>
      <c r="G222" s="931">
        <v>0.90180000000000005</v>
      </c>
      <c r="H222" s="931">
        <v>0.90180000000000005</v>
      </c>
      <c r="I222" s="931">
        <v>0.75129999999999997</v>
      </c>
      <c r="J222" s="931">
        <v>0.75129999999999997</v>
      </c>
      <c r="K222" s="931">
        <v>0.75129999999999997</v>
      </c>
      <c r="L222" s="931">
        <v>0.75129999999999997</v>
      </c>
      <c r="M222" s="931">
        <v>0.75129999999999997</v>
      </c>
    </row>
    <row r="223" spans="1:13">
      <c r="A223" s="922">
        <v>4.5999999999999996</v>
      </c>
      <c r="B223" s="931">
        <v>0.91600000000000004</v>
      </c>
      <c r="C223" s="931">
        <v>0.91600000000000004</v>
      </c>
      <c r="D223" s="931">
        <v>0.8992</v>
      </c>
      <c r="E223" s="931">
        <v>0.8992</v>
      </c>
      <c r="F223" s="931">
        <v>0.8992</v>
      </c>
      <c r="G223" s="931">
        <v>0.8992</v>
      </c>
      <c r="H223" s="931">
        <v>0.8992</v>
      </c>
      <c r="I223" s="931">
        <v>0.748</v>
      </c>
      <c r="J223" s="931">
        <v>0.748</v>
      </c>
      <c r="K223" s="931">
        <v>0.748</v>
      </c>
      <c r="L223" s="931">
        <v>0.748</v>
      </c>
      <c r="M223" s="931">
        <v>0.748</v>
      </c>
    </row>
    <row r="224" spans="1:13">
      <c r="A224" s="922">
        <v>4.7</v>
      </c>
      <c r="B224" s="931">
        <v>0.91390000000000005</v>
      </c>
      <c r="C224" s="931">
        <v>0.91390000000000005</v>
      </c>
      <c r="D224" s="931">
        <v>0.89659999999999995</v>
      </c>
      <c r="E224" s="931">
        <v>0.89659999999999995</v>
      </c>
      <c r="F224" s="931">
        <v>0.89659999999999995</v>
      </c>
      <c r="G224" s="931">
        <v>0.89659999999999995</v>
      </c>
      <c r="H224" s="931">
        <v>0.89659999999999995</v>
      </c>
      <c r="I224" s="931">
        <v>0.74480000000000002</v>
      </c>
      <c r="J224" s="931">
        <v>0.74480000000000002</v>
      </c>
      <c r="K224" s="931">
        <v>0.74480000000000002</v>
      </c>
      <c r="L224" s="931">
        <v>0.74480000000000002</v>
      </c>
      <c r="M224" s="931">
        <v>0.74480000000000002</v>
      </c>
    </row>
    <row r="225" spans="1:13">
      <c r="A225" s="922">
        <v>4.8</v>
      </c>
      <c r="B225" s="931">
        <v>0.91180000000000005</v>
      </c>
      <c r="C225" s="931">
        <v>0.91180000000000005</v>
      </c>
      <c r="D225" s="931">
        <v>0.89410000000000001</v>
      </c>
      <c r="E225" s="931">
        <v>0.89410000000000001</v>
      </c>
      <c r="F225" s="931">
        <v>0.89410000000000001</v>
      </c>
      <c r="G225" s="931">
        <v>0.89410000000000001</v>
      </c>
      <c r="H225" s="931">
        <v>0.89410000000000001</v>
      </c>
      <c r="I225" s="931">
        <v>0.74160000000000004</v>
      </c>
      <c r="J225" s="931">
        <v>0.74160000000000004</v>
      </c>
      <c r="K225" s="931">
        <v>0.74160000000000004</v>
      </c>
      <c r="L225" s="931">
        <v>0.74160000000000004</v>
      </c>
      <c r="M225" s="931">
        <v>0.74160000000000004</v>
      </c>
    </row>
    <row r="226" spans="1:13">
      <c r="A226" s="922">
        <v>4.9000000000000004</v>
      </c>
      <c r="B226" s="931">
        <v>0.90980000000000005</v>
      </c>
      <c r="C226" s="931">
        <v>0.90980000000000005</v>
      </c>
      <c r="D226" s="931">
        <v>0.89159999999999995</v>
      </c>
      <c r="E226" s="931">
        <v>0.89159999999999995</v>
      </c>
      <c r="F226" s="931">
        <v>0.89159999999999995</v>
      </c>
      <c r="G226" s="931">
        <v>0.89159999999999995</v>
      </c>
      <c r="H226" s="931">
        <v>0.89159999999999995</v>
      </c>
      <c r="I226" s="931">
        <v>0.73839999999999995</v>
      </c>
      <c r="J226" s="931">
        <v>0.73839999999999995</v>
      </c>
      <c r="K226" s="931">
        <v>0.73839999999999995</v>
      </c>
      <c r="L226" s="931">
        <v>0.73839999999999995</v>
      </c>
      <c r="M226" s="931">
        <v>0.73839999999999995</v>
      </c>
    </row>
    <row r="227" spans="1:13">
      <c r="A227" s="938">
        <v>5</v>
      </c>
      <c r="B227" s="931">
        <v>0.90780000000000005</v>
      </c>
      <c r="C227" s="931">
        <v>0.90780000000000005</v>
      </c>
      <c r="D227" s="931">
        <v>0.8891</v>
      </c>
      <c r="E227" s="931">
        <v>0.8891</v>
      </c>
      <c r="F227" s="931">
        <v>0.8891</v>
      </c>
      <c r="G227" s="931">
        <v>0.8891</v>
      </c>
      <c r="H227" s="931">
        <v>0.8891</v>
      </c>
      <c r="I227" s="931">
        <v>0.73529999999999995</v>
      </c>
      <c r="J227" s="931">
        <v>0.73529999999999995</v>
      </c>
      <c r="K227" s="931">
        <v>0.73529999999999995</v>
      </c>
      <c r="L227" s="931">
        <v>0.73529999999999995</v>
      </c>
      <c r="M227" s="931">
        <v>0.73529999999999995</v>
      </c>
    </row>
    <row r="228" spans="1:13">
      <c r="A228" s="938">
        <v>5.0999999999999996</v>
      </c>
      <c r="B228" s="931">
        <v>0.90580000000000005</v>
      </c>
      <c r="C228" s="931">
        <v>0.90580000000000005</v>
      </c>
      <c r="D228" s="931">
        <v>0.88670000000000004</v>
      </c>
      <c r="E228" s="931">
        <v>0.88670000000000004</v>
      </c>
      <c r="F228" s="931">
        <v>0.88670000000000004</v>
      </c>
      <c r="G228" s="931">
        <v>0.88670000000000004</v>
      </c>
      <c r="H228" s="931">
        <v>0.88670000000000004</v>
      </c>
      <c r="I228" s="931">
        <v>0.73219999999999996</v>
      </c>
      <c r="J228" s="931">
        <v>0.73219999999999996</v>
      </c>
      <c r="K228" s="931">
        <v>0.73219999999999996</v>
      </c>
      <c r="L228" s="931">
        <v>0.73219999999999996</v>
      </c>
      <c r="M228" s="931">
        <v>0.73219999999999996</v>
      </c>
    </row>
    <row r="229" spans="1:13">
      <c r="A229" s="938">
        <v>5.2</v>
      </c>
      <c r="B229" s="931">
        <v>0.90380000000000005</v>
      </c>
      <c r="C229" s="931">
        <v>0.90380000000000005</v>
      </c>
      <c r="D229" s="931">
        <v>0.88429999999999997</v>
      </c>
      <c r="E229" s="931">
        <v>0.88429999999999997</v>
      </c>
      <c r="F229" s="931">
        <v>0.88429999999999997</v>
      </c>
      <c r="G229" s="931">
        <v>0.88429999999999997</v>
      </c>
      <c r="H229" s="931">
        <v>0.88429999999999997</v>
      </c>
      <c r="I229" s="931">
        <v>0.72909999999999997</v>
      </c>
      <c r="J229" s="931">
        <v>0.72909999999999997</v>
      </c>
      <c r="K229" s="931">
        <v>0.72909999999999997</v>
      </c>
      <c r="L229" s="931">
        <v>0.72909999999999997</v>
      </c>
      <c r="M229" s="931">
        <v>0.72909999999999997</v>
      </c>
    </row>
    <row r="230" spans="1:13">
      <c r="A230" s="938">
        <v>5.3</v>
      </c>
      <c r="B230" s="931">
        <v>0.90190000000000003</v>
      </c>
      <c r="C230" s="931">
        <v>0.90190000000000003</v>
      </c>
      <c r="D230" s="931">
        <v>0.88190000000000002</v>
      </c>
      <c r="E230" s="931">
        <v>0.88190000000000002</v>
      </c>
      <c r="F230" s="931">
        <v>0.88190000000000002</v>
      </c>
      <c r="G230" s="931">
        <v>0.88190000000000002</v>
      </c>
      <c r="H230" s="931">
        <v>0.88190000000000002</v>
      </c>
      <c r="I230" s="931">
        <v>0.72609999999999997</v>
      </c>
      <c r="J230" s="931">
        <v>0.72609999999999997</v>
      </c>
      <c r="K230" s="931">
        <v>0.72609999999999997</v>
      </c>
      <c r="L230" s="931">
        <v>0.72609999999999997</v>
      </c>
      <c r="M230" s="931">
        <v>0.72609999999999997</v>
      </c>
    </row>
    <row r="231" spans="1:13">
      <c r="A231" s="938">
        <v>5.4</v>
      </c>
      <c r="B231" s="931">
        <v>0.9</v>
      </c>
      <c r="C231" s="931">
        <v>0.9</v>
      </c>
      <c r="D231" s="931">
        <v>0.87949999999999995</v>
      </c>
      <c r="E231" s="931">
        <v>0.87949999999999995</v>
      </c>
      <c r="F231" s="931">
        <v>0.87949999999999995</v>
      </c>
      <c r="G231" s="931">
        <v>0.87949999999999995</v>
      </c>
      <c r="H231" s="931">
        <v>0.87949999999999995</v>
      </c>
      <c r="I231" s="931">
        <v>0.72309999999999997</v>
      </c>
      <c r="J231" s="931">
        <v>0.72309999999999997</v>
      </c>
      <c r="K231" s="931">
        <v>0.72309999999999997</v>
      </c>
      <c r="L231" s="931">
        <v>0.72309999999999997</v>
      </c>
      <c r="M231" s="931">
        <v>0.72309999999999997</v>
      </c>
    </row>
    <row r="232" spans="1:13">
      <c r="A232" s="938">
        <v>5.5</v>
      </c>
      <c r="B232" s="931">
        <v>0.89810000000000001</v>
      </c>
      <c r="C232" s="931">
        <v>0.89810000000000001</v>
      </c>
      <c r="D232" s="931">
        <v>0.87719999999999998</v>
      </c>
      <c r="E232" s="931">
        <v>0.87719999999999998</v>
      </c>
      <c r="F232" s="931">
        <v>0.87719999999999998</v>
      </c>
      <c r="G232" s="931">
        <v>0.87719999999999998</v>
      </c>
      <c r="H232" s="931">
        <v>0.87719999999999998</v>
      </c>
      <c r="I232" s="931">
        <v>0.72009999999999996</v>
      </c>
      <c r="J232" s="931">
        <v>0.72009999999999996</v>
      </c>
      <c r="K232" s="931">
        <v>0.72009999999999996</v>
      </c>
      <c r="L232" s="931">
        <v>0.72009999999999996</v>
      </c>
      <c r="M232" s="931">
        <v>0.72009999999999996</v>
      </c>
    </row>
    <row r="233" spans="1:13">
      <c r="A233" s="938">
        <v>5.6</v>
      </c>
      <c r="B233" s="931">
        <v>0.8962</v>
      </c>
      <c r="C233" s="931">
        <v>0.8962</v>
      </c>
      <c r="D233" s="931">
        <v>0.87490000000000001</v>
      </c>
      <c r="E233" s="931">
        <v>0.87490000000000001</v>
      </c>
      <c r="F233" s="931">
        <v>0.87490000000000001</v>
      </c>
      <c r="G233" s="931">
        <v>0.87490000000000001</v>
      </c>
      <c r="H233" s="931">
        <v>0.87490000000000001</v>
      </c>
      <c r="I233" s="931">
        <v>0.71709999999999996</v>
      </c>
      <c r="J233" s="931">
        <v>0.71709999999999996</v>
      </c>
      <c r="K233" s="931">
        <v>0.71709999999999996</v>
      </c>
      <c r="L233" s="931">
        <v>0.71709999999999996</v>
      </c>
      <c r="M233" s="931">
        <v>0.71709999999999996</v>
      </c>
    </row>
    <row r="234" spans="1:13">
      <c r="A234" s="938">
        <v>5.7</v>
      </c>
      <c r="B234" s="931">
        <v>0.89429999999999998</v>
      </c>
      <c r="C234" s="931">
        <v>0.89429999999999998</v>
      </c>
      <c r="D234" s="931">
        <v>0.87260000000000004</v>
      </c>
      <c r="E234" s="931">
        <v>0.87260000000000004</v>
      </c>
      <c r="F234" s="931">
        <v>0.87260000000000004</v>
      </c>
      <c r="G234" s="931">
        <v>0.87260000000000004</v>
      </c>
      <c r="H234" s="931">
        <v>0.87260000000000004</v>
      </c>
      <c r="I234" s="931">
        <v>0.71419999999999995</v>
      </c>
      <c r="J234" s="931">
        <v>0.71419999999999995</v>
      </c>
      <c r="K234" s="931">
        <v>0.71419999999999995</v>
      </c>
      <c r="L234" s="931">
        <v>0.71419999999999995</v>
      </c>
      <c r="M234" s="931">
        <v>0.71419999999999995</v>
      </c>
    </row>
    <row r="235" spans="1:13">
      <c r="A235" s="938">
        <v>5.8</v>
      </c>
      <c r="B235" s="931">
        <v>0.89249999999999996</v>
      </c>
      <c r="C235" s="931">
        <v>0.89249999999999996</v>
      </c>
      <c r="D235" s="931">
        <v>0.87029999999999996</v>
      </c>
      <c r="E235" s="931">
        <v>0.87029999999999996</v>
      </c>
      <c r="F235" s="931">
        <v>0.87029999999999996</v>
      </c>
      <c r="G235" s="931">
        <v>0.87029999999999996</v>
      </c>
      <c r="H235" s="931">
        <v>0.87029999999999996</v>
      </c>
      <c r="I235" s="931">
        <v>0.71130000000000004</v>
      </c>
      <c r="J235" s="931">
        <v>0.71130000000000004</v>
      </c>
      <c r="K235" s="931">
        <v>0.71130000000000004</v>
      </c>
      <c r="L235" s="931">
        <v>0.71130000000000004</v>
      </c>
      <c r="M235" s="931">
        <v>0.71130000000000004</v>
      </c>
    </row>
    <row r="236" spans="1:13">
      <c r="A236" s="938">
        <v>5.9</v>
      </c>
      <c r="B236" s="931">
        <v>0.89070000000000005</v>
      </c>
      <c r="C236" s="931">
        <v>0.89070000000000005</v>
      </c>
      <c r="D236" s="931">
        <v>0.86799999999999999</v>
      </c>
      <c r="E236" s="931">
        <v>0.86799999999999999</v>
      </c>
      <c r="F236" s="931">
        <v>0.86799999999999999</v>
      </c>
      <c r="G236" s="931">
        <v>0.86799999999999999</v>
      </c>
      <c r="H236" s="931">
        <v>0.86799999999999999</v>
      </c>
      <c r="I236" s="931">
        <v>0.70840000000000003</v>
      </c>
      <c r="J236" s="931">
        <v>0.70840000000000003</v>
      </c>
      <c r="K236" s="931">
        <v>0.70840000000000003</v>
      </c>
      <c r="L236" s="931">
        <v>0.70840000000000003</v>
      </c>
      <c r="M236" s="931">
        <v>0.70840000000000003</v>
      </c>
    </row>
    <row r="237" spans="1:13">
      <c r="A237" s="938">
        <v>6</v>
      </c>
      <c r="B237" s="931">
        <v>0.88890000000000002</v>
      </c>
      <c r="C237" s="931">
        <v>0.88890000000000002</v>
      </c>
      <c r="D237" s="931">
        <v>0.86580000000000001</v>
      </c>
      <c r="E237" s="931">
        <v>0.86580000000000001</v>
      </c>
      <c r="F237" s="931">
        <v>0.86580000000000001</v>
      </c>
      <c r="G237" s="931">
        <v>0.86580000000000001</v>
      </c>
      <c r="H237" s="931">
        <v>0.86580000000000001</v>
      </c>
      <c r="I237" s="931">
        <v>0.70550000000000002</v>
      </c>
      <c r="J237" s="931">
        <v>0.70550000000000002</v>
      </c>
      <c r="K237" s="931">
        <v>0.70550000000000002</v>
      </c>
      <c r="L237" s="931">
        <v>0.70550000000000002</v>
      </c>
      <c r="M237" s="931">
        <v>0.70550000000000002</v>
      </c>
    </row>
    <row r="238" spans="1:13">
      <c r="A238" s="938">
        <v>6.1</v>
      </c>
      <c r="B238" s="931">
        <v>0.8871</v>
      </c>
      <c r="C238" s="931">
        <v>0.8871</v>
      </c>
      <c r="D238" s="931">
        <v>0.86360000000000003</v>
      </c>
      <c r="E238" s="931">
        <v>0.86360000000000003</v>
      </c>
      <c r="F238" s="931">
        <v>0.86360000000000003</v>
      </c>
      <c r="G238" s="931">
        <v>0.86360000000000003</v>
      </c>
      <c r="H238" s="931">
        <v>0.86360000000000003</v>
      </c>
      <c r="I238" s="931">
        <v>0.70269999999999999</v>
      </c>
      <c r="J238" s="931">
        <v>0.70269999999999999</v>
      </c>
      <c r="K238" s="931">
        <v>0.70269999999999999</v>
      </c>
      <c r="L238" s="931">
        <v>0.70269999999999999</v>
      </c>
      <c r="M238" s="931">
        <v>0.70269999999999999</v>
      </c>
    </row>
    <row r="239" spans="1:13">
      <c r="A239" s="938">
        <v>6.2</v>
      </c>
      <c r="B239" s="931">
        <v>0.88529999999999998</v>
      </c>
      <c r="C239" s="931">
        <v>0.88529999999999998</v>
      </c>
      <c r="D239" s="931">
        <v>0.86140000000000005</v>
      </c>
      <c r="E239" s="931">
        <v>0.86140000000000005</v>
      </c>
      <c r="F239" s="931">
        <v>0.86140000000000005</v>
      </c>
      <c r="G239" s="931">
        <v>0.86140000000000005</v>
      </c>
      <c r="H239" s="931">
        <v>0.86140000000000005</v>
      </c>
      <c r="I239" s="931">
        <v>0.69989999999999997</v>
      </c>
      <c r="J239" s="931">
        <v>0.69989999999999997</v>
      </c>
      <c r="K239" s="931">
        <v>0.69989999999999997</v>
      </c>
      <c r="L239" s="931">
        <v>0.69989999999999997</v>
      </c>
      <c r="M239" s="931">
        <v>0.69989999999999997</v>
      </c>
    </row>
    <row r="240" spans="1:13">
      <c r="A240" s="938">
        <v>6.3</v>
      </c>
      <c r="B240" s="931">
        <v>0.88349999999999995</v>
      </c>
      <c r="C240" s="931">
        <v>0.88349999999999995</v>
      </c>
      <c r="D240" s="931">
        <v>0.85919999999999996</v>
      </c>
      <c r="E240" s="931">
        <v>0.85919999999999996</v>
      </c>
      <c r="F240" s="931">
        <v>0.85919999999999996</v>
      </c>
      <c r="G240" s="931">
        <v>0.85919999999999996</v>
      </c>
      <c r="H240" s="931">
        <v>0.85919999999999996</v>
      </c>
      <c r="I240" s="931">
        <v>0.69710000000000005</v>
      </c>
      <c r="J240" s="931">
        <v>0.69710000000000005</v>
      </c>
      <c r="K240" s="931">
        <v>0.69710000000000005</v>
      </c>
      <c r="L240" s="931">
        <v>0.69710000000000005</v>
      </c>
      <c r="M240" s="931">
        <v>0.69710000000000005</v>
      </c>
    </row>
    <row r="241" spans="1:13">
      <c r="A241" s="938">
        <v>6.4</v>
      </c>
      <c r="B241" s="931">
        <v>0.88180000000000003</v>
      </c>
      <c r="C241" s="931">
        <v>0.88180000000000003</v>
      </c>
      <c r="D241" s="931">
        <v>0.85699999999999998</v>
      </c>
      <c r="E241" s="931">
        <v>0.85699999999999998</v>
      </c>
      <c r="F241" s="931">
        <v>0.85699999999999998</v>
      </c>
      <c r="G241" s="931">
        <v>0.85699999999999998</v>
      </c>
      <c r="H241" s="931">
        <v>0.85699999999999998</v>
      </c>
      <c r="I241" s="931">
        <v>0.69430000000000003</v>
      </c>
      <c r="J241" s="931">
        <v>0.69430000000000003</v>
      </c>
      <c r="K241" s="931">
        <v>0.69430000000000003</v>
      </c>
      <c r="L241" s="931">
        <v>0.69430000000000003</v>
      </c>
      <c r="M241" s="931">
        <v>0.69430000000000003</v>
      </c>
    </row>
    <row r="242" spans="1:13">
      <c r="A242" s="938">
        <v>6.5</v>
      </c>
      <c r="B242" s="931">
        <v>0.88009999999999999</v>
      </c>
      <c r="C242" s="931">
        <v>0.88009999999999999</v>
      </c>
      <c r="D242" s="931">
        <v>0.85489999999999999</v>
      </c>
      <c r="E242" s="931">
        <v>0.85489999999999999</v>
      </c>
      <c r="F242" s="931">
        <v>0.85489999999999999</v>
      </c>
      <c r="G242" s="931">
        <v>0.85489999999999999</v>
      </c>
      <c r="H242" s="931">
        <v>0.85489999999999999</v>
      </c>
      <c r="I242" s="931">
        <v>0.69159999999999999</v>
      </c>
      <c r="J242" s="931">
        <v>0.69159999999999999</v>
      </c>
      <c r="K242" s="931">
        <v>0.69159999999999999</v>
      </c>
      <c r="L242" s="931">
        <v>0.69159999999999999</v>
      </c>
      <c r="M242" s="931">
        <v>0.69159999999999999</v>
      </c>
    </row>
    <row r="243" spans="1:13">
      <c r="A243" s="938">
        <v>6.6</v>
      </c>
      <c r="B243" s="931">
        <v>0.87839999999999996</v>
      </c>
      <c r="C243" s="931">
        <v>0.87839999999999996</v>
      </c>
      <c r="D243" s="931">
        <v>0.8528</v>
      </c>
      <c r="E243" s="931">
        <v>0.8528</v>
      </c>
      <c r="F243" s="931">
        <v>0.8528</v>
      </c>
      <c r="G243" s="931">
        <v>0.8528</v>
      </c>
      <c r="H243" s="931">
        <v>0.8528</v>
      </c>
      <c r="I243" s="931">
        <v>0.68889999999999996</v>
      </c>
      <c r="J243" s="931">
        <v>0.68889999999999996</v>
      </c>
      <c r="K243" s="931">
        <v>0.68889999999999996</v>
      </c>
      <c r="L243" s="931">
        <v>0.68889999999999996</v>
      </c>
      <c r="M243" s="931">
        <v>0.68889999999999996</v>
      </c>
    </row>
    <row r="244" spans="1:13">
      <c r="A244" s="938">
        <v>6.7</v>
      </c>
      <c r="B244" s="931">
        <v>0.87670000000000003</v>
      </c>
      <c r="C244" s="931">
        <v>0.87670000000000003</v>
      </c>
      <c r="D244" s="931">
        <v>0.85070000000000001</v>
      </c>
      <c r="E244" s="931">
        <v>0.85070000000000001</v>
      </c>
      <c r="F244" s="931">
        <v>0.85070000000000001</v>
      </c>
      <c r="G244" s="931">
        <v>0.85070000000000001</v>
      </c>
      <c r="H244" s="931">
        <v>0.85070000000000001</v>
      </c>
      <c r="I244" s="931">
        <v>0.68620000000000003</v>
      </c>
      <c r="J244" s="931">
        <v>0.68620000000000003</v>
      </c>
      <c r="K244" s="931">
        <v>0.68620000000000003</v>
      </c>
      <c r="L244" s="931">
        <v>0.68620000000000003</v>
      </c>
      <c r="M244" s="931">
        <v>0.68620000000000003</v>
      </c>
    </row>
    <row r="245" spans="1:13">
      <c r="A245" s="938">
        <v>6.8</v>
      </c>
      <c r="B245" s="931">
        <v>0.875</v>
      </c>
      <c r="C245" s="931">
        <v>0.875</v>
      </c>
      <c r="D245" s="931">
        <v>0.84860000000000002</v>
      </c>
      <c r="E245" s="931">
        <v>0.84860000000000002</v>
      </c>
      <c r="F245" s="931">
        <v>0.84860000000000002</v>
      </c>
      <c r="G245" s="931">
        <v>0.84860000000000002</v>
      </c>
      <c r="H245" s="931">
        <v>0.84860000000000002</v>
      </c>
      <c r="I245" s="931">
        <v>0.6835</v>
      </c>
      <c r="J245" s="931">
        <v>0.6835</v>
      </c>
      <c r="K245" s="931">
        <v>0.6835</v>
      </c>
      <c r="L245" s="931">
        <v>0.6835</v>
      </c>
      <c r="M245" s="931">
        <v>0.6835</v>
      </c>
    </row>
    <row r="246" spans="1:13">
      <c r="A246" s="938">
        <v>6.9</v>
      </c>
      <c r="B246" s="931">
        <v>0.87329999999999997</v>
      </c>
      <c r="C246" s="931">
        <v>0.87329999999999997</v>
      </c>
      <c r="D246" s="931">
        <v>0.84650000000000003</v>
      </c>
      <c r="E246" s="931">
        <v>0.84650000000000003</v>
      </c>
      <c r="F246" s="931">
        <v>0.84650000000000003</v>
      </c>
      <c r="G246" s="931">
        <v>0.84650000000000003</v>
      </c>
      <c r="H246" s="931">
        <v>0.84650000000000003</v>
      </c>
      <c r="I246" s="931">
        <v>0.68089999999999995</v>
      </c>
      <c r="J246" s="931">
        <v>0.68089999999999995</v>
      </c>
      <c r="K246" s="931">
        <v>0.68089999999999995</v>
      </c>
      <c r="L246" s="931">
        <v>0.68089999999999995</v>
      </c>
      <c r="M246" s="931">
        <v>0.68089999999999995</v>
      </c>
    </row>
    <row r="247" spans="1:13">
      <c r="A247" s="938">
        <v>7</v>
      </c>
      <c r="B247" s="931">
        <v>0.87170000000000003</v>
      </c>
      <c r="C247" s="931">
        <v>0.87170000000000003</v>
      </c>
      <c r="D247" s="931">
        <v>0.84450000000000003</v>
      </c>
      <c r="E247" s="931">
        <v>0.84450000000000003</v>
      </c>
      <c r="F247" s="931">
        <v>0.84450000000000003</v>
      </c>
      <c r="G247" s="931">
        <v>0.84450000000000003</v>
      </c>
      <c r="H247" s="931">
        <v>0.84450000000000003</v>
      </c>
      <c r="I247" s="931">
        <v>0.67830000000000001</v>
      </c>
      <c r="J247" s="931">
        <v>0.67830000000000001</v>
      </c>
      <c r="K247" s="931">
        <v>0.67830000000000001</v>
      </c>
      <c r="L247" s="931">
        <v>0.67830000000000001</v>
      </c>
      <c r="M247" s="931">
        <v>0.67830000000000001</v>
      </c>
    </row>
    <row r="248" spans="1:13">
      <c r="A248" s="938">
        <v>7.1</v>
      </c>
      <c r="B248" s="931">
        <v>0.87009999999999998</v>
      </c>
      <c r="C248" s="931">
        <v>0.87009999999999998</v>
      </c>
      <c r="D248" s="931">
        <v>0.84250000000000003</v>
      </c>
      <c r="E248" s="931">
        <v>0.84250000000000003</v>
      </c>
      <c r="F248" s="931">
        <v>0.84250000000000003</v>
      </c>
      <c r="G248" s="931">
        <v>0.84250000000000003</v>
      </c>
      <c r="H248" s="931">
        <v>0.84250000000000003</v>
      </c>
      <c r="I248" s="931">
        <v>0.67569999999999997</v>
      </c>
      <c r="J248" s="931">
        <v>0.67569999999999997</v>
      </c>
      <c r="K248" s="931">
        <v>0.67569999999999997</v>
      </c>
      <c r="L248" s="931">
        <v>0.67569999999999997</v>
      </c>
      <c r="M248" s="931">
        <v>0.67569999999999997</v>
      </c>
    </row>
    <row r="249" spans="1:13">
      <c r="A249" s="938">
        <v>7.2</v>
      </c>
      <c r="B249" s="931">
        <v>0.86850000000000005</v>
      </c>
      <c r="C249" s="931">
        <v>0.86850000000000005</v>
      </c>
      <c r="D249" s="931">
        <v>0.84050000000000002</v>
      </c>
      <c r="E249" s="931">
        <v>0.84050000000000002</v>
      </c>
      <c r="F249" s="931">
        <v>0.84050000000000002</v>
      </c>
      <c r="G249" s="931">
        <v>0.84050000000000002</v>
      </c>
      <c r="H249" s="931">
        <v>0.84050000000000002</v>
      </c>
      <c r="I249" s="931">
        <v>0.67310000000000003</v>
      </c>
      <c r="J249" s="931">
        <v>0.67310000000000003</v>
      </c>
      <c r="K249" s="931">
        <v>0.67310000000000003</v>
      </c>
      <c r="L249" s="931">
        <v>0.67310000000000003</v>
      </c>
      <c r="M249" s="931">
        <v>0.67310000000000003</v>
      </c>
    </row>
    <row r="250" spans="1:13">
      <c r="A250" s="938">
        <v>7.3</v>
      </c>
      <c r="B250" s="931">
        <v>0.8669</v>
      </c>
      <c r="C250" s="931">
        <v>0.8669</v>
      </c>
      <c r="D250" s="931">
        <v>0.83850000000000002</v>
      </c>
      <c r="E250" s="931">
        <v>0.83850000000000002</v>
      </c>
      <c r="F250" s="931">
        <v>0.83850000000000002</v>
      </c>
      <c r="G250" s="931">
        <v>0.83850000000000002</v>
      </c>
      <c r="H250" s="931">
        <v>0.83850000000000002</v>
      </c>
      <c r="I250" s="931">
        <v>0.67059999999999997</v>
      </c>
      <c r="J250" s="931">
        <v>0.67059999999999997</v>
      </c>
      <c r="K250" s="931">
        <v>0.67059999999999997</v>
      </c>
      <c r="L250" s="931">
        <v>0.67059999999999997</v>
      </c>
      <c r="M250" s="931">
        <v>0.67059999999999997</v>
      </c>
    </row>
    <row r="251" spans="1:13">
      <c r="A251" s="938">
        <v>7.4</v>
      </c>
      <c r="B251" s="931">
        <v>0.86529999999999996</v>
      </c>
      <c r="C251" s="931">
        <v>0.86529999999999996</v>
      </c>
      <c r="D251" s="931">
        <v>0.83650000000000002</v>
      </c>
      <c r="E251" s="931">
        <v>0.83650000000000002</v>
      </c>
      <c r="F251" s="931">
        <v>0.83650000000000002</v>
      </c>
      <c r="G251" s="931">
        <v>0.83650000000000002</v>
      </c>
      <c r="H251" s="931">
        <v>0.83650000000000002</v>
      </c>
      <c r="I251" s="931">
        <v>0.66810000000000003</v>
      </c>
      <c r="J251" s="931">
        <v>0.66810000000000003</v>
      </c>
      <c r="K251" s="931">
        <v>0.66810000000000003</v>
      </c>
      <c r="L251" s="931">
        <v>0.66810000000000003</v>
      </c>
      <c r="M251" s="931">
        <v>0.66810000000000003</v>
      </c>
    </row>
    <row r="252" spans="1:13">
      <c r="A252" s="938">
        <v>7.5</v>
      </c>
      <c r="B252" s="931">
        <v>0.86370000000000002</v>
      </c>
      <c r="C252" s="931">
        <v>0.86370000000000002</v>
      </c>
      <c r="D252" s="931">
        <v>0.83460000000000001</v>
      </c>
      <c r="E252" s="931">
        <v>0.83460000000000001</v>
      </c>
      <c r="F252" s="931">
        <v>0.83460000000000001</v>
      </c>
      <c r="G252" s="931">
        <v>0.83460000000000001</v>
      </c>
      <c r="H252" s="931">
        <v>0.83460000000000001</v>
      </c>
      <c r="I252" s="931">
        <v>0.66559999999999997</v>
      </c>
      <c r="J252" s="931">
        <v>0.66559999999999997</v>
      </c>
      <c r="K252" s="931">
        <v>0.66559999999999997</v>
      </c>
      <c r="L252" s="931">
        <v>0.66559999999999997</v>
      </c>
      <c r="M252" s="931">
        <v>0.66559999999999997</v>
      </c>
    </row>
    <row r="253" spans="1:13">
      <c r="A253" s="938">
        <v>7.6</v>
      </c>
      <c r="B253" s="931">
        <v>0.86219999999999997</v>
      </c>
      <c r="C253" s="931">
        <v>0.86219999999999997</v>
      </c>
      <c r="D253" s="931">
        <v>0.8327</v>
      </c>
      <c r="E253" s="931">
        <v>0.8327</v>
      </c>
      <c r="F253" s="931">
        <v>0.8327</v>
      </c>
      <c r="G253" s="931">
        <v>0.8327</v>
      </c>
      <c r="H253" s="931">
        <v>0.8327</v>
      </c>
      <c r="I253" s="931">
        <v>0.66310000000000002</v>
      </c>
      <c r="J253" s="931">
        <v>0.66310000000000002</v>
      </c>
      <c r="K253" s="931">
        <v>0.66310000000000002</v>
      </c>
      <c r="L253" s="931">
        <v>0.66310000000000002</v>
      </c>
      <c r="M253" s="931">
        <v>0.66310000000000002</v>
      </c>
    </row>
    <row r="254" spans="1:13">
      <c r="A254" s="938">
        <v>7.7</v>
      </c>
      <c r="B254" s="931">
        <v>0.86070000000000002</v>
      </c>
      <c r="C254" s="931">
        <v>0.86070000000000002</v>
      </c>
      <c r="D254" s="931">
        <v>0.83079999999999998</v>
      </c>
      <c r="E254" s="931">
        <v>0.83079999999999998</v>
      </c>
      <c r="F254" s="931">
        <v>0.83079999999999998</v>
      </c>
      <c r="G254" s="931">
        <v>0.83079999999999998</v>
      </c>
      <c r="H254" s="931">
        <v>0.83079999999999998</v>
      </c>
      <c r="I254" s="931">
        <v>0.66069999999999995</v>
      </c>
      <c r="J254" s="931">
        <v>0.66069999999999995</v>
      </c>
      <c r="K254" s="931">
        <v>0.66069999999999995</v>
      </c>
      <c r="L254" s="931">
        <v>0.66069999999999995</v>
      </c>
      <c r="M254" s="931">
        <v>0.66069999999999995</v>
      </c>
    </row>
    <row r="255" spans="1:13">
      <c r="A255" s="938">
        <v>7.8</v>
      </c>
      <c r="B255" s="931">
        <v>0.85919999999999996</v>
      </c>
      <c r="C255" s="931">
        <v>0.85919999999999996</v>
      </c>
      <c r="D255" s="931">
        <v>0.82889999999999997</v>
      </c>
      <c r="E255" s="931">
        <v>0.82889999999999997</v>
      </c>
      <c r="F255" s="931">
        <v>0.82889999999999997</v>
      </c>
      <c r="G255" s="931">
        <v>0.82889999999999997</v>
      </c>
      <c r="H255" s="931">
        <v>0.82889999999999997</v>
      </c>
      <c r="I255" s="931">
        <v>0.6583</v>
      </c>
      <c r="J255" s="931">
        <v>0.6583</v>
      </c>
      <c r="K255" s="931">
        <v>0.6583</v>
      </c>
      <c r="L255" s="931">
        <v>0.6583</v>
      </c>
      <c r="M255" s="931">
        <v>0.6583</v>
      </c>
    </row>
    <row r="256" spans="1:13">
      <c r="A256" s="938">
        <v>7.9</v>
      </c>
      <c r="B256" s="931">
        <v>0.85770000000000002</v>
      </c>
      <c r="C256" s="931">
        <v>0.85770000000000002</v>
      </c>
      <c r="D256" s="931">
        <v>0.82699999999999996</v>
      </c>
      <c r="E256" s="931">
        <v>0.82699999999999996</v>
      </c>
      <c r="F256" s="931">
        <v>0.82699999999999996</v>
      </c>
      <c r="G256" s="931">
        <v>0.82699999999999996</v>
      </c>
      <c r="H256" s="931">
        <v>0.82699999999999996</v>
      </c>
      <c r="I256" s="931">
        <v>0.65590000000000004</v>
      </c>
      <c r="J256" s="931">
        <v>0.65590000000000004</v>
      </c>
      <c r="K256" s="931">
        <v>0.65590000000000004</v>
      </c>
      <c r="L256" s="931">
        <v>0.65590000000000004</v>
      </c>
      <c r="M256" s="931">
        <v>0.65590000000000004</v>
      </c>
    </row>
    <row r="257" spans="1:13">
      <c r="A257" s="922">
        <v>8</v>
      </c>
      <c r="B257" s="931">
        <v>0.85619999999999996</v>
      </c>
      <c r="C257" s="931">
        <v>0.85619999999999996</v>
      </c>
      <c r="D257" s="931">
        <v>0.82509999999999994</v>
      </c>
      <c r="E257" s="931">
        <v>0.82509999999999994</v>
      </c>
      <c r="F257" s="931">
        <v>0.82509999999999994</v>
      </c>
      <c r="G257" s="931">
        <v>0.82509999999999994</v>
      </c>
      <c r="H257" s="931">
        <v>0.82509999999999994</v>
      </c>
      <c r="I257" s="931">
        <v>0.65349999999999997</v>
      </c>
      <c r="J257" s="931">
        <v>0.65349999999999997</v>
      </c>
      <c r="K257" s="931">
        <v>0.65349999999999997</v>
      </c>
      <c r="L257" s="931">
        <v>0.65349999999999997</v>
      </c>
      <c r="M257" s="931">
        <v>0.65349999999999997</v>
      </c>
    </row>
    <row r="258" spans="1:13">
      <c r="A258" s="922">
        <v>8.1</v>
      </c>
      <c r="B258" s="931">
        <v>0.85470000000000002</v>
      </c>
      <c r="C258" s="931">
        <v>0.85470000000000002</v>
      </c>
      <c r="D258" s="931">
        <v>0.82330000000000003</v>
      </c>
      <c r="E258" s="931">
        <v>0.82330000000000003</v>
      </c>
      <c r="F258" s="931">
        <v>0.82330000000000003</v>
      </c>
      <c r="G258" s="931">
        <v>0.82330000000000003</v>
      </c>
      <c r="H258" s="931">
        <v>0.82330000000000003</v>
      </c>
      <c r="I258" s="931">
        <v>0.6512</v>
      </c>
      <c r="J258" s="931">
        <v>0.6512</v>
      </c>
      <c r="K258" s="931">
        <v>0.6512</v>
      </c>
      <c r="L258" s="931">
        <v>0.6512</v>
      </c>
      <c r="M258" s="931">
        <v>0.6512</v>
      </c>
    </row>
    <row r="259" spans="1:13">
      <c r="A259" s="922">
        <v>8.1999999999999993</v>
      </c>
      <c r="B259" s="931">
        <v>0.85329999999999995</v>
      </c>
      <c r="C259" s="931">
        <v>0.85329999999999995</v>
      </c>
      <c r="D259" s="931">
        <v>0.82150000000000001</v>
      </c>
      <c r="E259" s="931">
        <v>0.82150000000000001</v>
      </c>
      <c r="F259" s="931">
        <v>0.82150000000000001</v>
      </c>
      <c r="G259" s="931">
        <v>0.82150000000000001</v>
      </c>
      <c r="H259" s="931">
        <v>0.82150000000000001</v>
      </c>
      <c r="I259" s="931">
        <v>0.64890000000000003</v>
      </c>
      <c r="J259" s="931">
        <v>0.64890000000000003</v>
      </c>
      <c r="K259" s="931">
        <v>0.64890000000000003</v>
      </c>
      <c r="L259" s="931">
        <v>0.64890000000000003</v>
      </c>
      <c r="M259" s="931">
        <v>0.64890000000000003</v>
      </c>
    </row>
    <row r="260" spans="1:13">
      <c r="A260" s="922">
        <v>8.3000000000000007</v>
      </c>
      <c r="B260" s="931">
        <v>0.85189999999999999</v>
      </c>
      <c r="C260" s="931">
        <v>0.85189999999999999</v>
      </c>
      <c r="D260" s="931">
        <v>0.81969999999999998</v>
      </c>
      <c r="E260" s="931">
        <v>0.81969999999999998</v>
      </c>
      <c r="F260" s="931">
        <v>0.81969999999999998</v>
      </c>
      <c r="G260" s="931">
        <v>0.81969999999999998</v>
      </c>
      <c r="H260" s="931">
        <v>0.81969999999999998</v>
      </c>
      <c r="I260" s="931">
        <v>0.64659999999999995</v>
      </c>
      <c r="J260" s="931">
        <v>0.64659999999999995</v>
      </c>
      <c r="K260" s="931">
        <v>0.64659999999999995</v>
      </c>
      <c r="L260" s="931">
        <v>0.64659999999999995</v>
      </c>
      <c r="M260" s="931">
        <v>0.64659999999999995</v>
      </c>
    </row>
    <row r="261" spans="1:13">
      <c r="A261" s="922">
        <v>8.4</v>
      </c>
      <c r="B261" s="931">
        <v>0.85050000000000003</v>
      </c>
      <c r="C261" s="931">
        <v>0.85050000000000003</v>
      </c>
      <c r="D261" s="931">
        <v>0.81789999999999996</v>
      </c>
      <c r="E261" s="931">
        <v>0.81789999999999996</v>
      </c>
      <c r="F261" s="931">
        <v>0.81789999999999996</v>
      </c>
      <c r="G261" s="931">
        <v>0.81789999999999996</v>
      </c>
      <c r="H261" s="931">
        <v>0.81789999999999996</v>
      </c>
      <c r="I261" s="931">
        <v>0.64429999999999998</v>
      </c>
      <c r="J261" s="931">
        <v>0.64429999999999998</v>
      </c>
      <c r="K261" s="931">
        <v>0.64429999999999998</v>
      </c>
      <c r="L261" s="931">
        <v>0.64429999999999998</v>
      </c>
      <c r="M261" s="931">
        <v>0.64429999999999998</v>
      </c>
    </row>
    <row r="262" spans="1:13">
      <c r="A262" s="922">
        <v>8.5</v>
      </c>
      <c r="B262" s="931">
        <v>0.84909999999999997</v>
      </c>
      <c r="C262" s="931">
        <v>0.84909999999999997</v>
      </c>
      <c r="D262" s="931">
        <v>0.81610000000000005</v>
      </c>
      <c r="E262" s="931">
        <v>0.81610000000000005</v>
      </c>
      <c r="F262" s="931">
        <v>0.81610000000000005</v>
      </c>
      <c r="G262" s="931">
        <v>0.81610000000000005</v>
      </c>
      <c r="H262" s="931">
        <v>0.81610000000000005</v>
      </c>
      <c r="I262" s="931">
        <v>0.6421</v>
      </c>
      <c r="J262" s="931">
        <v>0.6421</v>
      </c>
      <c r="K262" s="931">
        <v>0.6421</v>
      </c>
      <c r="L262" s="931">
        <v>0.6421</v>
      </c>
      <c r="M262" s="931">
        <v>0.6421</v>
      </c>
    </row>
    <row r="263" spans="1:13">
      <c r="A263" s="938">
        <v>8.6</v>
      </c>
      <c r="B263" s="931">
        <v>0.84770000000000001</v>
      </c>
      <c r="C263" s="931">
        <v>0.84770000000000001</v>
      </c>
      <c r="D263" s="931">
        <v>0.81440000000000001</v>
      </c>
      <c r="E263" s="931">
        <v>0.81440000000000001</v>
      </c>
      <c r="F263" s="931">
        <v>0.81440000000000001</v>
      </c>
      <c r="G263" s="931">
        <v>0.81440000000000001</v>
      </c>
      <c r="H263" s="931">
        <v>0.81440000000000001</v>
      </c>
      <c r="I263" s="931">
        <v>0.63990000000000002</v>
      </c>
      <c r="J263" s="931">
        <v>0.63990000000000002</v>
      </c>
      <c r="K263" s="931">
        <v>0.63990000000000002</v>
      </c>
      <c r="L263" s="931">
        <v>0.63990000000000002</v>
      </c>
      <c r="M263" s="931">
        <v>0.63990000000000002</v>
      </c>
    </row>
    <row r="264" spans="1:13">
      <c r="A264" s="922">
        <v>8.6999999999999993</v>
      </c>
      <c r="B264" s="931">
        <v>0.84630000000000005</v>
      </c>
      <c r="C264" s="931">
        <v>0.84630000000000005</v>
      </c>
      <c r="D264" s="931">
        <v>0.81269999999999998</v>
      </c>
      <c r="E264" s="931">
        <v>0.81269999999999998</v>
      </c>
      <c r="F264" s="931">
        <v>0.81269999999999998</v>
      </c>
      <c r="G264" s="931">
        <v>0.81269999999999998</v>
      </c>
      <c r="H264" s="931">
        <v>0.81269999999999998</v>
      </c>
      <c r="I264" s="931">
        <v>0.63770000000000004</v>
      </c>
      <c r="J264" s="931">
        <v>0.63770000000000004</v>
      </c>
      <c r="K264" s="931">
        <v>0.63770000000000004</v>
      </c>
      <c r="L264" s="931">
        <v>0.63770000000000004</v>
      </c>
      <c r="M264" s="931">
        <v>0.63770000000000004</v>
      </c>
    </row>
    <row r="265" spans="1:13">
      <c r="A265" s="922">
        <v>8.8000000000000007</v>
      </c>
      <c r="B265" s="931">
        <v>0.84489999999999998</v>
      </c>
      <c r="C265" s="931">
        <v>0.84489999999999998</v>
      </c>
      <c r="D265" s="931">
        <v>0.81100000000000005</v>
      </c>
      <c r="E265" s="931">
        <v>0.81100000000000005</v>
      </c>
      <c r="F265" s="931">
        <v>0.81100000000000005</v>
      </c>
      <c r="G265" s="931">
        <v>0.81100000000000005</v>
      </c>
      <c r="H265" s="931">
        <v>0.81100000000000005</v>
      </c>
      <c r="I265" s="931">
        <v>0.63549999999999995</v>
      </c>
      <c r="J265" s="931">
        <v>0.63549999999999995</v>
      </c>
      <c r="K265" s="931">
        <v>0.63549999999999995</v>
      </c>
      <c r="L265" s="931">
        <v>0.63549999999999995</v>
      </c>
      <c r="M265" s="931">
        <v>0.63549999999999995</v>
      </c>
    </row>
    <row r="266" spans="1:13">
      <c r="A266" s="922">
        <v>8.9</v>
      </c>
      <c r="B266" s="931">
        <v>0.84360000000000002</v>
      </c>
      <c r="C266" s="931">
        <v>0.84360000000000002</v>
      </c>
      <c r="D266" s="931">
        <v>0.80930000000000002</v>
      </c>
      <c r="E266" s="931">
        <v>0.80930000000000002</v>
      </c>
      <c r="F266" s="931">
        <v>0.80930000000000002</v>
      </c>
      <c r="G266" s="931">
        <v>0.80930000000000002</v>
      </c>
      <c r="H266" s="931">
        <v>0.80930000000000002</v>
      </c>
      <c r="I266" s="931">
        <v>0.63339999999999996</v>
      </c>
      <c r="J266" s="931">
        <v>0.63339999999999996</v>
      </c>
      <c r="K266" s="931">
        <v>0.63339999999999996</v>
      </c>
      <c r="L266" s="931">
        <v>0.63339999999999996</v>
      </c>
      <c r="M266" s="931">
        <v>0.63339999999999996</v>
      </c>
    </row>
    <row r="267" spans="1:13">
      <c r="A267" s="922">
        <v>9</v>
      </c>
      <c r="B267" s="931">
        <v>0.84230000000000005</v>
      </c>
      <c r="C267" s="931">
        <v>0.84230000000000005</v>
      </c>
      <c r="D267" s="931">
        <v>0.80759999999999998</v>
      </c>
      <c r="E267" s="931">
        <v>0.80759999999999998</v>
      </c>
      <c r="F267" s="931">
        <v>0.80759999999999998</v>
      </c>
      <c r="G267" s="931">
        <v>0.80759999999999998</v>
      </c>
      <c r="H267" s="931">
        <v>0.80759999999999998</v>
      </c>
      <c r="I267" s="931">
        <v>0.63129999999999997</v>
      </c>
      <c r="J267" s="931">
        <v>0.63129999999999997</v>
      </c>
      <c r="K267" s="931">
        <v>0.63129999999999997</v>
      </c>
      <c r="L267" s="931">
        <v>0.63129999999999997</v>
      </c>
      <c r="M267" s="931">
        <v>0.63129999999999997</v>
      </c>
    </row>
    <row r="268" spans="1:13">
      <c r="A268" s="922">
        <v>9.1</v>
      </c>
      <c r="B268" s="931">
        <v>0.84099999999999997</v>
      </c>
      <c r="C268" s="931">
        <v>0.84099999999999997</v>
      </c>
      <c r="D268" s="931">
        <v>0.80600000000000005</v>
      </c>
      <c r="E268" s="931">
        <v>0.80600000000000005</v>
      </c>
      <c r="F268" s="931">
        <v>0.80600000000000005</v>
      </c>
      <c r="G268" s="931">
        <v>0.80600000000000005</v>
      </c>
      <c r="H268" s="931">
        <v>0.80600000000000005</v>
      </c>
      <c r="I268" s="931">
        <v>0.62919999999999998</v>
      </c>
      <c r="J268" s="931">
        <v>0.62919999999999998</v>
      </c>
      <c r="K268" s="931">
        <v>0.62919999999999998</v>
      </c>
      <c r="L268" s="931">
        <v>0.62919999999999998</v>
      </c>
      <c r="M268" s="931">
        <v>0.62919999999999998</v>
      </c>
    </row>
    <row r="269" spans="1:13">
      <c r="A269" s="922">
        <v>9.1999999999999993</v>
      </c>
      <c r="B269" s="931">
        <v>0.8397</v>
      </c>
      <c r="C269" s="931">
        <v>0.8397</v>
      </c>
      <c r="D269" s="931">
        <v>0.8044</v>
      </c>
      <c r="E269" s="931">
        <v>0.8044</v>
      </c>
      <c r="F269" s="931">
        <v>0.8044</v>
      </c>
      <c r="G269" s="931">
        <v>0.8044</v>
      </c>
      <c r="H269" s="931">
        <v>0.8044</v>
      </c>
      <c r="I269" s="931">
        <v>0.62709999999999999</v>
      </c>
      <c r="J269" s="931">
        <v>0.62709999999999999</v>
      </c>
      <c r="K269" s="931">
        <v>0.62709999999999999</v>
      </c>
      <c r="L269" s="931">
        <v>0.62709999999999999</v>
      </c>
      <c r="M269" s="931">
        <v>0.62709999999999999</v>
      </c>
    </row>
    <row r="270" spans="1:13">
      <c r="A270" s="922">
        <v>9.3000000000000007</v>
      </c>
      <c r="B270" s="931">
        <v>0.83840000000000003</v>
      </c>
      <c r="C270" s="931">
        <v>0.83840000000000003</v>
      </c>
      <c r="D270" s="931">
        <v>0.80279999999999996</v>
      </c>
      <c r="E270" s="931">
        <v>0.80279999999999996</v>
      </c>
      <c r="F270" s="931">
        <v>0.80279999999999996</v>
      </c>
      <c r="G270" s="931">
        <v>0.80279999999999996</v>
      </c>
      <c r="H270" s="931">
        <v>0.80279999999999996</v>
      </c>
      <c r="I270" s="931">
        <v>0.62509999999999999</v>
      </c>
      <c r="J270" s="931">
        <v>0.62509999999999999</v>
      </c>
      <c r="K270" s="931">
        <v>0.62509999999999999</v>
      </c>
      <c r="L270" s="931">
        <v>0.62509999999999999</v>
      </c>
      <c r="M270" s="931">
        <v>0.62509999999999999</v>
      </c>
    </row>
    <row r="271" spans="1:13">
      <c r="A271" s="922">
        <v>9.4</v>
      </c>
      <c r="B271" s="931">
        <v>0.83709999999999996</v>
      </c>
      <c r="C271" s="931">
        <v>0.83709999999999996</v>
      </c>
      <c r="D271" s="931">
        <v>0.80120000000000002</v>
      </c>
      <c r="E271" s="931">
        <v>0.80120000000000002</v>
      </c>
      <c r="F271" s="931">
        <v>0.80120000000000002</v>
      </c>
      <c r="G271" s="931">
        <v>0.80120000000000002</v>
      </c>
      <c r="H271" s="931">
        <v>0.80120000000000002</v>
      </c>
      <c r="I271" s="931">
        <v>0.62309999999999999</v>
      </c>
      <c r="J271" s="931">
        <v>0.62309999999999999</v>
      </c>
      <c r="K271" s="931">
        <v>0.62309999999999999</v>
      </c>
      <c r="L271" s="931">
        <v>0.62309999999999999</v>
      </c>
      <c r="M271" s="931">
        <v>0.62309999999999999</v>
      </c>
    </row>
    <row r="272" spans="1:13">
      <c r="A272" s="922">
        <v>9.5</v>
      </c>
      <c r="B272" s="931">
        <v>0.83579999999999999</v>
      </c>
      <c r="C272" s="931">
        <v>0.83579999999999999</v>
      </c>
      <c r="D272" s="931">
        <v>0.79959999999999998</v>
      </c>
      <c r="E272" s="931">
        <v>0.79959999999999998</v>
      </c>
      <c r="F272" s="931">
        <v>0.79959999999999998</v>
      </c>
      <c r="G272" s="931">
        <v>0.79959999999999998</v>
      </c>
      <c r="H272" s="931">
        <v>0.79959999999999998</v>
      </c>
      <c r="I272" s="931">
        <v>0.62109999999999999</v>
      </c>
      <c r="J272" s="931">
        <v>0.62109999999999999</v>
      </c>
      <c r="K272" s="931">
        <v>0.62109999999999999</v>
      </c>
      <c r="L272" s="931">
        <v>0.62109999999999999</v>
      </c>
      <c r="M272" s="931">
        <v>0.62109999999999999</v>
      </c>
    </row>
    <row r="273" spans="1:13">
      <c r="A273" s="922">
        <v>9.6</v>
      </c>
      <c r="B273" s="931">
        <v>0.83460000000000001</v>
      </c>
      <c r="C273" s="931">
        <v>0.83460000000000001</v>
      </c>
      <c r="D273" s="931">
        <v>0.79800000000000004</v>
      </c>
      <c r="E273" s="931">
        <v>0.79800000000000004</v>
      </c>
      <c r="F273" s="931">
        <v>0.79800000000000004</v>
      </c>
      <c r="G273" s="931">
        <v>0.79800000000000004</v>
      </c>
      <c r="H273" s="931">
        <v>0.79800000000000004</v>
      </c>
      <c r="I273" s="931">
        <v>0.61909999999999998</v>
      </c>
      <c r="J273" s="931">
        <v>0.61909999999999998</v>
      </c>
      <c r="K273" s="931">
        <v>0.61909999999999998</v>
      </c>
      <c r="L273" s="931">
        <v>0.61909999999999998</v>
      </c>
      <c r="M273" s="931">
        <v>0.61909999999999998</v>
      </c>
    </row>
    <row r="274" spans="1:13">
      <c r="A274" s="922">
        <v>9.6999999999999993</v>
      </c>
      <c r="B274" s="931">
        <v>0.83340000000000003</v>
      </c>
      <c r="C274" s="931">
        <v>0.83340000000000003</v>
      </c>
      <c r="D274" s="931">
        <v>0.79649999999999999</v>
      </c>
      <c r="E274" s="931">
        <v>0.79649999999999999</v>
      </c>
      <c r="F274" s="931">
        <v>0.79649999999999999</v>
      </c>
      <c r="G274" s="931">
        <v>0.79649999999999999</v>
      </c>
      <c r="H274" s="931">
        <v>0.79649999999999999</v>
      </c>
      <c r="I274" s="931">
        <v>0.61719999999999997</v>
      </c>
      <c r="J274" s="931">
        <v>0.61719999999999997</v>
      </c>
      <c r="K274" s="931">
        <v>0.61719999999999997</v>
      </c>
      <c r="L274" s="931">
        <v>0.61719999999999997</v>
      </c>
      <c r="M274" s="931">
        <v>0.61719999999999997</v>
      </c>
    </row>
    <row r="275" spans="1:13">
      <c r="A275" s="922">
        <v>9.8000000000000007</v>
      </c>
      <c r="B275" s="931">
        <v>0.83220000000000005</v>
      </c>
      <c r="C275" s="931">
        <v>0.83220000000000005</v>
      </c>
      <c r="D275" s="931">
        <v>0.79500000000000004</v>
      </c>
      <c r="E275" s="931">
        <v>0.79500000000000004</v>
      </c>
      <c r="F275" s="931">
        <v>0.79500000000000004</v>
      </c>
      <c r="G275" s="931">
        <v>0.79500000000000004</v>
      </c>
      <c r="H275" s="931">
        <v>0.79500000000000004</v>
      </c>
      <c r="I275" s="931">
        <v>0.61529999999999996</v>
      </c>
      <c r="J275" s="931">
        <v>0.61529999999999996</v>
      </c>
      <c r="K275" s="931">
        <v>0.61529999999999996</v>
      </c>
      <c r="L275" s="931">
        <v>0.61529999999999996</v>
      </c>
      <c r="M275" s="931">
        <v>0.61529999999999996</v>
      </c>
    </row>
    <row r="276" spans="1:13">
      <c r="A276" s="922">
        <v>9.9</v>
      </c>
      <c r="B276" s="931">
        <v>0.83099999999999996</v>
      </c>
      <c r="C276" s="931">
        <v>0.83099999999999996</v>
      </c>
      <c r="D276" s="931">
        <v>0.79349999999999998</v>
      </c>
      <c r="E276" s="931">
        <v>0.79349999999999998</v>
      </c>
      <c r="F276" s="931">
        <v>0.79349999999999998</v>
      </c>
      <c r="G276" s="931">
        <v>0.79349999999999998</v>
      </c>
      <c r="H276" s="931">
        <v>0.79349999999999998</v>
      </c>
      <c r="I276" s="931">
        <v>0.61339999999999995</v>
      </c>
      <c r="J276" s="931">
        <v>0.61339999999999995</v>
      </c>
      <c r="K276" s="931">
        <v>0.61339999999999995</v>
      </c>
      <c r="L276" s="931">
        <v>0.61339999999999995</v>
      </c>
      <c r="M276" s="931">
        <v>0.61339999999999995</v>
      </c>
    </row>
    <row r="277" spans="1:13" ht="14.25">
      <c r="A277" s="3085" t="s">
        <v>2776</v>
      </c>
      <c r="B277" s="931"/>
      <c r="C277" s="931"/>
      <c r="D277" s="931"/>
      <c r="E277" s="931"/>
      <c r="F277" s="931"/>
      <c r="G277" s="931"/>
      <c r="H277" s="931"/>
      <c r="I277" s="931"/>
      <c r="J277" s="931"/>
      <c r="K277" s="931"/>
      <c r="L277" s="931"/>
      <c r="M277" s="931"/>
    </row>
    <row r="278" spans="1:13">
      <c r="A278" s="922" t="s">
        <v>1550</v>
      </c>
      <c r="B278" s="931" t="s">
        <v>990</v>
      </c>
      <c r="C278" s="931" t="s">
        <v>1031</v>
      </c>
      <c r="D278" s="931" t="s">
        <v>1145</v>
      </c>
      <c r="E278" s="931" t="s">
        <v>853</v>
      </c>
      <c r="F278" s="931" t="s">
        <v>1152</v>
      </c>
      <c r="G278" s="931" t="s">
        <v>1153</v>
      </c>
      <c r="H278" s="931" t="s">
        <v>1154</v>
      </c>
      <c r="I278" s="931" t="s">
        <v>1155</v>
      </c>
      <c r="J278" s="931" t="s">
        <v>1156</v>
      </c>
      <c r="K278" s="931" t="s">
        <v>1157</v>
      </c>
      <c r="L278" s="931" t="s">
        <v>2760</v>
      </c>
      <c r="M278" s="931" t="s">
        <v>2761</v>
      </c>
    </row>
    <row r="279" spans="1:13">
      <c r="A279" s="922">
        <v>1</v>
      </c>
      <c r="B279" s="931">
        <v>1.1055999999999999</v>
      </c>
      <c r="C279" s="931">
        <v>1.1055999999999999</v>
      </c>
      <c r="D279" s="931">
        <v>1.1220000000000001</v>
      </c>
      <c r="E279" s="931">
        <v>1.1220000000000001</v>
      </c>
      <c r="F279" s="931">
        <v>1.1220000000000001</v>
      </c>
      <c r="G279" s="931">
        <v>1.0583</v>
      </c>
      <c r="H279" s="931">
        <v>1.0583</v>
      </c>
      <c r="I279" s="931">
        <v>1</v>
      </c>
      <c r="J279" s="931">
        <v>1</v>
      </c>
      <c r="K279" s="931">
        <v>1</v>
      </c>
      <c r="L279" s="931">
        <v>1</v>
      </c>
      <c r="M279" s="931">
        <v>1</v>
      </c>
    </row>
    <row r="280" spans="1:13">
      <c r="A280" s="922">
        <v>1.1000000000000001</v>
      </c>
      <c r="B280" s="931">
        <v>1.0820000000000001</v>
      </c>
      <c r="C280" s="931">
        <v>1.0820000000000001</v>
      </c>
      <c r="D280" s="931">
        <v>1.0948</v>
      </c>
      <c r="E280" s="931">
        <v>1.0948</v>
      </c>
      <c r="F280" s="931">
        <v>1.0948</v>
      </c>
      <c r="G280" s="931">
        <v>1.0284</v>
      </c>
      <c r="H280" s="931">
        <v>1.0284</v>
      </c>
      <c r="I280" s="931">
        <v>0.96860000000000002</v>
      </c>
      <c r="J280" s="931">
        <v>0.96860000000000002</v>
      </c>
      <c r="K280" s="931">
        <v>0.96860000000000002</v>
      </c>
      <c r="L280" s="931">
        <v>0.96860000000000002</v>
      </c>
      <c r="M280" s="931">
        <v>0.96860000000000002</v>
      </c>
    </row>
    <row r="281" spans="1:13">
      <c r="A281" s="922">
        <v>1.2</v>
      </c>
      <c r="B281" s="931">
        <v>1.0598000000000001</v>
      </c>
      <c r="C281" s="931">
        <v>1.0598000000000001</v>
      </c>
      <c r="D281" s="931">
        <v>1.0690999999999999</v>
      </c>
      <c r="E281" s="931">
        <v>1.0690999999999999</v>
      </c>
      <c r="F281" s="931">
        <v>1.0690999999999999</v>
      </c>
      <c r="G281" s="931">
        <v>1</v>
      </c>
      <c r="H281" s="931">
        <v>1</v>
      </c>
      <c r="I281" s="931">
        <v>0.93879999999999997</v>
      </c>
      <c r="J281" s="931">
        <v>0.93879999999999997</v>
      </c>
      <c r="K281" s="931">
        <v>0.93879999999999997</v>
      </c>
      <c r="L281" s="931">
        <v>0.93879999999999997</v>
      </c>
      <c r="M281" s="931">
        <v>0.93879999999999997</v>
      </c>
    </row>
    <row r="282" spans="1:13">
      <c r="A282" s="922">
        <v>1.3</v>
      </c>
      <c r="B282" s="931">
        <v>1.0387</v>
      </c>
      <c r="C282" s="931">
        <v>1.0387</v>
      </c>
      <c r="D282" s="931">
        <v>1.0447</v>
      </c>
      <c r="E282" s="931">
        <v>1.0447</v>
      </c>
      <c r="F282" s="931">
        <v>1.0447</v>
      </c>
      <c r="G282" s="931">
        <v>0.97319999999999995</v>
      </c>
      <c r="H282" s="931">
        <v>0.97319999999999995</v>
      </c>
      <c r="I282" s="931">
        <v>0.91069999999999995</v>
      </c>
      <c r="J282" s="931">
        <v>0.91069999999999995</v>
      </c>
      <c r="K282" s="931">
        <v>0.91069999999999995</v>
      </c>
      <c r="L282" s="931">
        <v>0.91069999999999995</v>
      </c>
      <c r="M282" s="931">
        <v>0.91069999999999995</v>
      </c>
    </row>
    <row r="283" spans="1:13">
      <c r="A283" s="922">
        <v>1.4</v>
      </c>
      <c r="B283" s="931">
        <v>1.0187999999999999</v>
      </c>
      <c r="C283" s="931">
        <v>1.0187999999999999</v>
      </c>
      <c r="D283" s="931">
        <v>1.0217000000000001</v>
      </c>
      <c r="E283" s="931">
        <v>1.0217000000000001</v>
      </c>
      <c r="F283" s="931">
        <v>1.0217000000000001</v>
      </c>
      <c r="G283" s="931">
        <v>0.94779999999999998</v>
      </c>
      <c r="H283" s="931">
        <v>0.94779999999999998</v>
      </c>
      <c r="I283" s="931">
        <v>0.8841</v>
      </c>
      <c r="J283" s="931">
        <v>0.8841</v>
      </c>
      <c r="K283" s="931">
        <v>0.8841</v>
      </c>
      <c r="L283" s="931">
        <v>0.8841</v>
      </c>
      <c r="M283" s="931">
        <v>0.8841</v>
      </c>
    </row>
    <row r="284" spans="1:13">
      <c r="A284" s="922">
        <v>1.5</v>
      </c>
      <c r="B284" s="931">
        <v>1</v>
      </c>
      <c r="C284" s="931">
        <v>1</v>
      </c>
      <c r="D284" s="931">
        <v>1</v>
      </c>
      <c r="E284" s="931">
        <v>1</v>
      </c>
      <c r="F284" s="931">
        <v>1</v>
      </c>
      <c r="G284" s="931">
        <v>0.92379999999999995</v>
      </c>
      <c r="H284" s="931">
        <v>0.92379999999999995</v>
      </c>
      <c r="I284" s="931">
        <v>0.8589</v>
      </c>
      <c r="J284" s="931">
        <v>0.8589</v>
      </c>
      <c r="K284" s="931">
        <v>0.8589</v>
      </c>
      <c r="L284" s="931">
        <v>0.8589</v>
      </c>
      <c r="M284" s="931">
        <v>0.8589</v>
      </c>
    </row>
    <row r="285" spans="1:13">
      <c r="A285" s="922">
        <v>1.6</v>
      </c>
      <c r="B285" s="931">
        <v>0.98229999999999995</v>
      </c>
      <c r="C285" s="931">
        <v>0.98229999999999995</v>
      </c>
      <c r="D285" s="931">
        <v>0.97950000000000004</v>
      </c>
      <c r="E285" s="931">
        <v>0.97950000000000004</v>
      </c>
      <c r="F285" s="931">
        <v>0.97950000000000004</v>
      </c>
      <c r="G285" s="931">
        <v>0.9012</v>
      </c>
      <c r="H285" s="931">
        <v>0.9012</v>
      </c>
      <c r="I285" s="931">
        <v>0.83509999999999995</v>
      </c>
      <c r="J285" s="931">
        <v>0.83509999999999995</v>
      </c>
      <c r="K285" s="931">
        <v>0.83509999999999995</v>
      </c>
      <c r="L285" s="931">
        <v>0.83509999999999995</v>
      </c>
      <c r="M285" s="931">
        <v>0.83509999999999995</v>
      </c>
    </row>
    <row r="286" spans="1:13">
      <c r="A286" s="922">
        <v>1.7</v>
      </c>
      <c r="B286" s="931">
        <v>0.96550000000000002</v>
      </c>
      <c r="C286" s="931">
        <v>0.96550000000000002</v>
      </c>
      <c r="D286" s="931">
        <v>0.96009999999999995</v>
      </c>
      <c r="E286" s="931">
        <v>0.96009999999999995</v>
      </c>
      <c r="F286" s="931">
        <v>0.96009999999999995</v>
      </c>
      <c r="G286" s="931">
        <v>0.87980000000000003</v>
      </c>
      <c r="H286" s="931">
        <v>0.87980000000000003</v>
      </c>
      <c r="I286" s="931">
        <v>0.81269999999999998</v>
      </c>
      <c r="J286" s="931">
        <v>0.81269999999999998</v>
      </c>
      <c r="K286" s="931">
        <v>0.81269999999999998</v>
      </c>
      <c r="L286" s="931">
        <v>0.81269999999999998</v>
      </c>
      <c r="M286" s="931">
        <v>0.81269999999999998</v>
      </c>
    </row>
    <row r="287" spans="1:13">
      <c r="A287" s="922">
        <v>1.8</v>
      </c>
      <c r="B287" s="931">
        <v>0.94969999999999999</v>
      </c>
      <c r="C287" s="931">
        <v>0.94969999999999999</v>
      </c>
      <c r="D287" s="931">
        <v>0.94189999999999996</v>
      </c>
      <c r="E287" s="931">
        <v>0.94189999999999996</v>
      </c>
      <c r="F287" s="931">
        <v>0.94189999999999996</v>
      </c>
      <c r="G287" s="931">
        <v>0.85960000000000003</v>
      </c>
      <c r="H287" s="931">
        <v>0.85960000000000003</v>
      </c>
      <c r="I287" s="931">
        <v>0.79149999999999998</v>
      </c>
      <c r="J287" s="931">
        <v>0.79149999999999998</v>
      </c>
      <c r="K287" s="931">
        <v>0.79149999999999998</v>
      </c>
      <c r="L287" s="931">
        <v>0.79149999999999998</v>
      </c>
      <c r="M287" s="931">
        <v>0.79149999999999998</v>
      </c>
    </row>
    <row r="288" spans="1:13">
      <c r="A288" s="922">
        <v>1.9</v>
      </c>
      <c r="B288" s="931">
        <v>0.93479999999999996</v>
      </c>
      <c r="C288" s="931">
        <v>0.93479999999999996</v>
      </c>
      <c r="D288" s="931">
        <v>0.92459999999999998</v>
      </c>
      <c r="E288" s="931">
        <v>0.92459999999999998</v>
      </c>
      <c r="F288" s="931">
        <v>0.92459999999999998</v>
      </c>
      <c r="G288" s="931">
        <v>0.84060000000000001</v>
      </c>
      <c r="H288" s="931">
        <v>0.84060000000000001</v>
      </c>
      <c r="I288" s="931">
        <v>0.77149999999999996</v>
      </c>
      <c r="J288" s="931">
        <v>0.77149999999999996</v>
      </c>
      <c r="K288" s="931">
        <v>0.77149999999999996</v>
      </c>
      <c r="L288" s="931">
        <v>0.77149999999999996</v>
      </c>
      <c r="M288" s="931">
        <v>0.77149999999999996</v>
      </c>
    </row>
    <row r="289" spans="1:13">
      <c r="A289" s="922">
        <v>2</v>
      </c>
      <c r="B289" s="931">
        <v>0.92079999999999995</v>
      </c>
      <c r="C289" s="931">
        <v>0.92079999999999995</v>
      </c>
      <c r="D289" s="931">
        <v>0.90839999999999999</v>
      </c>
      <c r="E289" s="931">
        <v>0.90839999999999999</v>
      </c>
      <c r="F289" s="931">
        <v>0.90839999999999999</v>
      </c>
      <c r="G289" s="931">
        <v>0.82269999999999999</v>
      </c>
      <c r="H289" s="931">
        <v>0.82269999999999999</v>
      </c>
      <c r="I289" s="931">
        <v>0.75270000000000004</v>
      </c>
      <c r="J289" s="931">
        <v>0.75270000000000004</v>
      </c>
      <c r="K289" s="931">
        <v>0.75270000000000004</v>
      </c>
      <c r="L289" s="931">
        <v>0.75270000000000004</v>
      </c>
      <c r="M289" s="931">
        <v>0.75270000000000004</v>
      </c>
    </row>
    <row r="290" spans="1:13">
      <c r="A290" s="922">
        <v>2.1</v>
      </c>
      <c r="B290" s="931">
        <v>0.90759999999999996</v>
      </c>
      <c r="C290" s="931">
        <v>0.90759999999999996</v>
      </c>
      <c r="D290" s="931">
        <v>0.89319999999999999</v>
      </c>
      <c r="E290" s="931">
        <v>0.89319999999999999</v>
      </c>
      <c r="F290" s="931">
        <v>0.89319999999999999</v>
      </c>
      <c r="G290" s="931">
        <v>0.80589999999999995</v>
      </c>
      <c r="H290" s="931">
        <v>0.80589999999999995</v>
      </c>
      <c r="I290" s="931">
        <v>0.73499999999999999</v>
      </c>
      <c r="J290" s="931">
        <v>0.73499999999999999</v>
      </c>
      <c r="K290" s="931">
        <v>0.73499999999999999</v>
      </c>
      <c r="L290" s="931">
        <v>0.73499999999999999</v>
      </c>
      <c r="M290" s="931">
        <v>0.73499999999999999</v>
      </c>
    </row>
    <row r="291" spans="1:13">
      <c r="A291" s="922">
        <v>2.2000000000000002</v>
      </c>
      <c r="B291" s="931">
        <v>0.8952</v>
      </c>
      <c r="C291" s="931">
        <v>0.8952</v>
      </c>
      <c r="D291" s="931">
        <v>0.87880000000000003</v>
      </c>
      <c r="E291" s="931">
        <v>0.87880000000000003</v>
      </c>
      <c r="F291" s="931">
        <v>0.87880000000000003</v>
      </c>
      <c r="G291" s="931">
        <v>0.79</v>
      </c>
      <c r="H291" s="931">
        <v>0.79</v>
      </c>
      <c r="I291" s="931">
        <v>0.71840000000000004</v>
      </c>
      <c r="J291" s="931">
        <v>0.71840000000000004</v>
      </c>
      <c r="K291" s="931">
        <v>0.71840000000000004</v>
      </c>
      <c r="L291" s="931">
        <v>0.71840000000000004</v>
      </c>
      <c r="M291" s="931">
        <v>0.71840000000000004</v>
      </c>
    </row>
    <row r="292" spans="1:13">
      <c r="A292" s="922">
        <v>2.2999999999999998</v>
      </c>
      <c r="B292" s="931">
        <v>0.88360000000000005</v>
      </c>
      <c r="C292" s="931">
        <v>0.88360000000000005</v>
      </c>
      <c r="D292" s="931">
        <v>0.86529999999999996</v>
      </c>
      <c r="E292" s="931">
        <v>0.86529999999999996</v>
      </c>
      <c r="F292" s="931">
        <v>0.86529999999999996</v>
      </c>
      <c r="G292" s="931">
        <v>0.77510000000000001</v>
      </c>
      <c r="H292" s="931">
        <v>0.77510000000000001</v>
      </c>
      <c r="I292" s="931">
        <v>0.70269999999999999</v>
      </c>
      <c r="J292" s="931">
        <v>0.70269999999999999</v>
      </c>
      <c r="K292" s="931">
        <v>0.70269999999999999</v>
      </c>
      <c r="L292" s="931">
        <v>0.70269999999999999</v>
      </c>
      <c r="M292" s="931">
        <v>0.70269999999999999</v>
      </c>
    </row>
    <row r="293" spans="1:13">
      <c r="A293" s="922">
        <v>2.4</v>
      </c>
      <c r="B293" s="931">
        <v>0.87260000000000004</v>
      </c>
      <c r="C293" s="931">
        <v>0.87260000000000004</v>
      </c>
      <c r="D293" s="931">
        <v>0.85260000000000002</v>
      </c>
      <c r="E293" s="931">
        <v>0.85260000000000002</v>
      </c>
      <c r="F293" s="931">
        <v>0.85260000000000002</v>
      </c>
      <c r="G293" s="931">
        <v>0.76100000000000001</v>
      </c>
      <c r="H293" s="931">
        <v>0.76100000000000001</v>
      </c>
      <c r="I293" s="931">
        <v>0.68799999999999994</v>
      </c>
      <c r="J293" s="931">
        <v>0.68799999999999994</v>
      </c>
      <c r="K293" s="931">
        <v>0.68799999999999994</v>
      </c>
      <c r="L293" s="931">
        <v>0.68799999999999994</v>
      </c>
      <c r="M293" s="931">
        <v>0.68799999999999994</v>
      </c>
    </row>
    <row r="294" spans="1:13">
      <c r="A294" s="922">
        <v>2.5</v>
      </c>
      <c r="B294" s="931">
        <v>0.86229999999999996</v>
      </c>
      <c r="C294" s="931">
        <v>0.86229999999999996</v>
      </c>
      <c r="D294" s="931">
        <v>0.8407</v>
      </c>
      <c r="E294" s="931">
        <v>0.8407</v>
      </c>
      <c r="F294" s="931">
        <v>0.8407</v>
      </c>
      <c r="G294" s="931">
        <v>0.74780000000000002</v>
      </c>
      <c r="H294" s="931">
        <v>0.74780000000000002</v>
      </c>
      <c r="I294" s="931">
        <v>0.67410000000000003</v>
      </c>
      <c r="J294" s="931">
        <v>0.67410000000000003</v>
      </c>
      <c r="K294" s="931">
        <v>0.67410000000000003</v>
      </c>
      <c r="L294" s="931">
        <v>0.67410000000000003</v>
      </c>
      <c r="M294" s="931">
        <v>0.67410000000000003</v>
      </c>
    </row>
    <row r="295" spans="1:13">
      <c r="A295" s="922">
        <v>2.6</v>
      </c>
      <c r="B295" s="931">
        <v>0.85270000000000001</v>
      </c>
      <c r="C295" s="931">
        <v>0.85270000000000001</v>
      </c>
      <c r="D295" s="931">
        <v>0.82950000000000002</v>
      </c>
      <c r="E295" s="931">
        <v>0.82950000000000002</v>
      </c>
      <c r="F295" s="931">
        <v>0.82950000000000002</v>
      </c>
      <c r="G295" s="931">
        <v>0.73540000000000005</v>
      </c>
      <c r="H295" s="931">
        <v>0.73540000000000005</v>
      </c>
      <c r="I295" s="931">
        <v>0.66110000000000002</v>
      </c>
      <c r="J295" s="931">
        <v>0.66110000000000002</v>
      </c>
      <c r="K295" s="931">
        <v>0.66110000000000002</v>
      </c>
      <c r="L295" s="931">
        <v>0.66110000000000002</v>
      </c>
      <c r="M295" s="931">
        <v>0.66110000000000002</v>
      </c>
    </row>
    <row r="296" spans="1:13">
      <c r="A296" s="938">
        <v>2.7</v>
      </c>
      <c r="B296" s="931">
        <v>0.84360000000000002</v>
      </c>
      <c r="C296" s="931">
        <v>0.84360000000000002</v>
      </c>
      <c r="D296" s="931">
        <v>0.81899999999999995</v>
      </c>
      <c r="E296" s="931">
        <v>0.81899999999999995</v>
      </c>
      <c r="F296" s="931">
        <v>0.81899999999999995</v>
      </c>
      <c r="G296" s="931">
        <v>0.7238</v>
      </c>
      <c r="H296" s="931">
        <v>0.7238</v>
      </c>
      <c r="I296" s="931">
        <v>0.64880000000000004</v>
      </c>
      <c r="J296" s="931">
        <v>0.64880000000000004</v>
      </c>
      <c r="K296" s="931">
        <v>0.64880000000000004</v>
      </c>
      <c r="L296" s="931">
        <v>0.64880000000000004</v>
      </c>
      <c r="M296" s="931">
        <v>0.64880000000000004</v>
      </c>
    </row>
    <row r="297" spans="1:13">
      <c r="A297" s="938">
        <v>2.8</v>
      </c>
      <c r="B297" s="931">
        <v>0.83509999999999995</v>
      </c>
      <c r="C297" s="931">
        <v>0.83509999999999995</v>
      </c>
      <c r="D297" s="931">
        <v>0.80910000000000004</v>
      </c>
      <c r="E297" s="931">
        <v>0.80910000000000004</v>
      </c>
      <c r="F297" s="931">
        <v>0.80910000000000004</v>
      </c>
      <c r="G297" s="931">
        <v>0.71289999999999998</v>
      </c>
      <c r="H297" s="931">
        <v>0.71289999999999998</v>
      </c>
      <c r="I297" s="931">
        <v>0.63739999999999997</v>
      </c>
      <c r="J297" s="931">
        <v>0.63739999999999997</v>
      </c>
      <c r="K297" s="931">
        <v>0.63739999999999997</v>
      </c>
      <c r="L297" s="931">
        <v>0.63739999999999997</v>
      </c>
      <c r="M297" s="931">
        <v>0.63739999999999997</v>
      </c>
    </row>
    <row r="298" spans="1:13">
      <c r="A298" s="938">
        <v>2.9</v>
      </c>
      <c r="B298" s="931">
        <v>0.82720000000000005</v>
      </c>
      <c r="C298" s="931">
        <v>0.82720000000000005</v>
      </c>
      <c r="D298" s="931">
        <v>0.79990000000000006</v>
      </c>
      <c r="E298" s="931">
        <v>0.79990000000000006</v>
      </c>
      <c r="F298" s="931">
        <v>0.79990000000000006</v>
      </c>
      <c r="G298" s="931">
        <v>0.7026</v>
      </c>
      <c r="H298" s="931">
        <v>0.7026</v>
      </c>
      <c r="I298" s="931">
        <v>0.62660000000000005</v>
      </c>
      <c r="J298" s="931">
        <v>0.62660000000000005</v>
      </c>
      <c r="K298" s="931">
        <v>0.62660000000000005</v>
      </c>
      <c r="L298" s="931">
        <v>0.62660000000000005</v>
      </c>
      <c r="M298" s="931">
        <v>0.62660000000000005</v>
      </c>
    </row>
    <row r="299" spans="1:13">
      <c r="A299" s="938">
        <v>3</v>
      </c>
      <c r="B299" s="931">
        <v>0.81969999999999998</v>
      </c>
      <c r="C299" s="931">
        <v>0.81969999999999998</v>
      </c>
      <c r="D299" s="931">
        <v>0.79120000000000001</v>
      </c>
      <c r="E299" s="931">
        <v>0.79120000000000001</v>
      </c>
      <c r="F299" s="931">
        <v>0.79120000000000001</v>
      </c>
      <c r="G299" s="931">
        <v>0.69299999999999995</v>
      </c>
      <c r="H299" s="931">
        <v>0.69299999999999995</v>
      </c>
      <c r="I299" s="931">
        <v>0.61650000000000005</v>
      </c>
      <c r="J299" s="931">
        <v>0.61650000000000005</v>
      </c>
      <c r="K299" s="931">
        <v>0.61650000000000005</v>
      </c>
      <c r="L299" s="931">
        <v>0.61650000000000005</v>
      </c>
      <c r="M299" s="931">
        <v>0.61650000000000005</v>
      </c>
    </row>
    <row r="300" spans="1:13">
      <c r="A300" s="938">
        <v>3.1</v>
      </c>
      <c r="B300" s="931">
        <v>0.81279999999999997</v>
      </c>
      <c r="C300" s="931">
        <v>0.81279999999999997</v>
      </c>
      <c r="D300" s="931">
        <v>0.78310000000000002</v>
      </c>
      <c r="E300" s="931">
        <v>0.78310000000000002</v>
      </c>
      <c r="F300" s="931">
        <v>0.78310000000000002</v>
      </c>
      <c r="G300" s="931">
        <v>0.68400000000000005</v>
      </c>
      <c r="H300" s="931">
        <v>0.68400000000000005</v>
      </c>
      <c r="I300" s="931">
        <v>0.60709999999999997</v>
      </c>
      <c r="J300" s="931">
        <v>0.60709999999999997</v>
      </c>
      <c r="K300" s="931">
        <v>0.60709999999999997</v>
      </c>
      <c r="L300" s="931">
        <v>0.60709999999999997</v>
      </c>
      <c r="M300" s="931">
        <v>0.60709999999999997</v>
      </c>
    </row>
    <row r="301" spans="1:13">
      <c r="A301" s="938">
        <v>3.2</v>
      </c>
      <c r="B301" s="931">
        <v>0.80620000000000003</v>
      </c>
      <c r="C301" s="931">
        <v>0.80620000000000003</v>
      </c>
      <c r="D301" s="931">
        <v>0.77549999999999997</v>
      </c>
      <c r="E301" s="931">
        <v>0.77549999999999997</v>
      </c>
      <c r="F301" s="931">
        <v>0.77549999999999997</v>
      </c>
      <c r="G301" s="931">
        <v>0.67559999999999998</v>
      </c>
      <c r="H301" s="931">
        <v>0.67559999999999998</v>
      </c>
      <c r="I301" s="931">
        <v>0.59809999999999997</v>
      </c>
      <c r="J301" s="931">
        <v>0.59809999999999997</v>
      </c>
      <c r="K301" s="931">
        <v>0.59809999999999997</v>
      </c>
      <c r="L301" s="931">
        <v>0.59809999999999997</v>
      </c>
      <c r="M301" s="931">
        <v>0.59809999999999997</v>
      </c>
    </row>
    <row r="302" spans="1:13">
      <c r="A302" s="938">
        <v>3.3</v>
      </c>
      <c r="B302" s="931">
        <v>0.80010000000000003</v>
      </c>
      <c r="C302" s="931">
        <v>0.80010000000000003</v>
      </c>
      <c r="D302" s="931">
        <v>0.76839999999999997</v>
      </c>
      <c r="E302" s="931">
        <v>0.76839999999999997</v>
      </c>
      <c r="F302" s="931">
        <v>0.76839999999999997</v>
      </c>
      <c r="G302" s="931">
        <v>0.66769999999999996</v>
      </c>
      <c r="H302" s="931">
        <v>0.66769999999999996</v>
      </c>
      <c r="I302" s="931">
        <v>0.58979999999999999</v>
      </c>
      <c r="J302" s="931">
        <v>0.58979999999999999</v>
      </c>
      <c r="K302" s="931">
        <v>0.58979999999999999</v>
      </c>
      <c r="L302" s="931">
        <v>0.58979999999999999</v>
      </c>
      <c r="M302" s="931">
        <v>0.58979999999999999</v>
      </c>
    </row>
    <row r="303" spans="1:13">
      <c r="A303" s="938">
        <v>3.4</v>
      </c>
      <c r="B303" s="931">
        <v>0.7944</v>
      </c>
      <c r="C303" s="931">
        <v>0.7944</v>
      </c>
      <c r="D303" s="931">
        <v>0.76170000000000004</v>
      </c>
      <c r="E303" s="931">
        <v>0.76170000000000004</v>
      </c>
      <c r="F303" s="931">
        <v>0.76170000000000004</v>
      </c>
      <c r="G303" s="931">
        <v>0.66020000000000001</v>
      </c>
      <c r="H303" s="931">
        <v>0.66020000000000001</v>
      </c>
      <c r="I303" s="931">
        <v>0.58209999999999995</v>
      </c>
      <c r="J303" s="931">
        <v>0.58209999999999995</v>
      </c>
      <c r="K303" s="931">
        <v>0.58209999999999995</v>
      </c>
      <c r="L303" s="931">
        <v>0.58209999999999995</v>
      </c>
      <c r="M303" s="931">
        <v>0.58209999999999995</v>
      </c>
    </row>
    <row r="304" spans="1:13">
      <c r="A304" s="938">
        <v>3.5</v>
      </c>
      <c r="B304" s="931">
        <v>0.78910000000000002</v>
      </c>
      <c r="C304" s="931">
        <v>0.78910000000000002</v>
      </c>
      <c r="D304" s="931">
        <v>0.75549999999999995</v>
      </c>
      <c r="E304" s="931">
        <v>0.75549999999999995</v>
      </c>
      <c r="F304" s="931">
        <v>0.75549999999999995</v>
      </c>
      <c r="G304" s="931">
        <v>0.65329999999999999</v>
      </c>
      <c r="H304" s="931">
        <v>0.65329999999999999</v>
      </c>
      <c r="I304" s="931">
        <v>0.57479999999999998</v>
      </c>
      <c r="J304" s="931">
        <v>0.57479999999999998</v>
      </c>
      <c r="K304" s="931">
        <v>0.57479999999999998</v>
      </c>
      <c r="L304" s="931">
        <v>0.57479999999999998</v>
      </c>
      <c r="M304" s="931">
        <v>0.57479999999999998</v>
      </c>
    </row>
    <row r="305" spans="1:13">
      <c r="A305" s="938">
        <v>3.6</v>
      </c>
      <c r="B305" s="931">
        <v>0.78410000000000002</v>
      </c>
      <c r="C305" s="931">
        <v>0.78410000000000002</v>
      </c>
      <c r="D305" s="931">
        <v>0.74960000000000004</v>
      </c>
      <c r="E305" s="931">
        <v>0.74960000000000004</v>
      </c>
      <c r="F305" s="931">
        <v>0.74960000000000004</v>
      </c>
      <c r="G305" s="931">
        <v>0.64680000000000004</v>
      </c>
      <c r="H305" s="931">
        <v>0.64680000000000004</v>
      </c>
      <c r="I305" s="931">
        <v>0.56789999999999996</v>
      </c>
      <c r="J305" s="931">
        <v>0.56789999999999996</v>
      </c>
      <c r="K305" s="931">
        <v>0.56789999999999996</v>
      </c>
      <c r="L305" s="931">
        <v>0.56789999999999996</v>
      </c>
      <c r="M305" s="931">
        <v>0.56789999999999996</v>
      </c>
    </row>
    <row r="306" spans="1:13">
      <c r="A306" s="938">
        <v>3.7</v>
      </c>
      <c r="B306" s="931">
        <v>0.77939999999999998</v>
      </c>
      <c r="C306" s="931">
        <v>0.77939999999999998</v>
      </c>
      <c r="D306" s="931">
        <v>0.74409999999999998</v>
      </c>
      <c r="E306" s="931">
        <v>0.74409999999999998</v>
      </c>
      <c r="F306" s="931">
        <v>0.74409999999999998</v>
      </c>
      <c r="G306" s="931">
        <v>0.64070000000000005</v>
      </c>
      <c r="H306" s="931">
        <v>0.64070000000000005</v>
      </c>
      <c r="I306" s="931">
        <v>0.5615</v>
      </c>
      <c r="J306" s="931">
        <v>0.5615</v>
      </c>
      <c r="K306" s="931">
        <v>0.5615</v>
      </c>
      <c r="L306" s="931">
        <v>0.5615</v>
      </c>
      <c r="M306" s="931">
        <v>0.5615</v>
      </c>
    </row>
    <row r="307" spans="1:13">
      <c r="A307" s="938">
        <v>3.8</v>
      </c>
      <c r="B307" s="931">
        <v>0.77500000000000002</v>
      </c>
      <c r="C307" s="931">
        <v>0.77500000000000002</v>
      </c>
      <c r="D307" s="931">
        <v>0.73899999999999999</v>
      </c>
      <c r="E307" s="931">
        <v>0.73899999999999999</v>
      </c>
      <c r="F307" s="931">
        <v>0.73899999999999999</v>
      </c>
      <c r="G307" s="931">
        <v>0.63490000000000002</v>
      </c>
      <c r="H307" s="931">
        <v>0.63490000000000002</v>
      </c>
      <c r="I307" s="931">
        <v>0.55549999999999999</v>
      </c>
      <c r="J307" s="931">
        <v>0.55549999999999999</v>
      </c>
      <c r="K307" s="931">
        <v>0.55549999999999999</v>
      </c>
      <c r="L307" s="931">
        <v>0.55549999999999999</v>
      </c>
      <c r="M307" s="931">
        <v>0.55549999999999999</v>
      </c>
    </row>
    <row r="308" spans="1:13">
      <c r="A308" s="922">
        <v>3.9</v>
      </c>
      <c r="B308" s="923">
        <v>0.77090000000000003</v>
      </c>
      <c r="C308" s="923">
        <v>0.77090000000000003</v>
      </c>
      <c r="D308" s="923">
        <v>0.73419999999999996</v>
      </c>
      <c r="E308" s="923">
        <v>0.73419999999999996</v>
      </c>
      <c r="F308" s="923">
        <v>0.73419999999999996</v>
      </c>
      <c r="G308" s="923">
        <v>0.62949999999999995</v>
      </c>
      <c r="H308" s="924">
        <v>0.62949999999999995</v>
      </c>
      <c r="I308" s="924">
        <v>0.54990000000000006</v>
      </c>
      <c r="J308" s="925">
        <v>0.54990000000000006</v>
      </c>
      <c r="K308" s="925">
        <v>0.54990000000000006</v>
      </c>
      <c r="L308" s="925">
        <v>0.54990000000000006</v>
      </c>
      <c r="M308" s="925">
        <v>0.54990000000000006</v>
      </c>
    </row>
    <row r="309" spans="1:13">
      <c r="A309" s="922">
        <v>4</v>
      </c>
      <c r="B309" s="931">
        <v>0.7671</v>
      </c>
      <c r="C309" s="931">
        <v>0.7671</v>
      </c>
      <c r="D309" s="931">
        <v>0.72970000000000002</v>
      </c>
      <c r="E309" s="931">
        <v>0.72970000000000002</v>
      </c>
      <c r="F309" s="931">
        <v>0.72970000000000002</v>
      </c>
      <c r="G309" s="931">
        <v>0.62450000000000006</v>
      </c>
      <c r="H309" s="931">
        <v>0.62450000000000006</v>
      </c>
      <c r="I309" s="931">
        <v>0.54449999999999998</v>
      </c>
      <c r="J309" s="931">
        <v>0.54449999999999998</v>
      </c>
      <c r="K309" s="931">
        <v>0.54449999999999998</v>
      </c>
      <c r="L309" s="931">
        <v>0.54449999999999998</v>
      </c>
      <c r="M309" s="931">
        <v>0.54449999999999998</v>
      </c>
    </row>
    <row r="310" spans="1:13">
      <c r="A310" s="922">
        <v>4.0999999999999996</v>
      </c>
      <c r="B310" s="931">
        <v>0.76349999999999996</v>
      </c>
      <c r="C310" s="931">
        <v>0.76349999999999996</v>
      </c>
      <c r="D310" s="931">
        <v>0.72540000000000004</v>
      </c>
      <c r="E310" s="931">
        <v>0.72540000000000004</v>
      </c>
      <c r="F310" s="931">
        <v>0.72540000000000004</v>
      </c>
      <c r="G310" s="931">
        <v>0.61970000000000003</v>
      </c>
      <c r="H310" s="931">
        <v>0.61970000000000003</v>
      </c>
      <c r="I310" s="931">
        <v>0.53959999999999997</v>
      </c>
      <c r="J310" s="931">
        <v>0.53959999999999997</v>
      </c>
      <c r="K310" s="931">
        <v>0.53959999999999997</v>
      </c>
      <c r="L310" s="931">
        <v>0.53959999999999997</v>
      </c>
      <c r="M310" s="931">
        <v>0.53959999999999997</v>
      </c>
    </row>
    <row r="311" spans="1:13">
      <c r="A311" s="922">
        <v>4.2</v>
      </c>
      <c r="B311" s="931">
        <v>0.7601</v>
      </c>
      <c r="C311" s="931">
        <v>0.7601</v>
      </c>
      <c r="D311" s="931">
        <v>0.72140000000000004</v>
      </c>
      <c r="E311" s="931">
        <v>0.72140000000000004</v>
      </c>
      <c r="F311" s="931">
        <v>0.72140000000000004</v>
      </c>
      <c r="G311" s="931">
        <v>0.61529999999999996</v>
      </c>
      <c r="H311" s="931">
        <v>0.61529999999999996</v>
      </c>
      <c r="I311" s="931">
        <v>0.53490000000000004</v>
      </c>
      <c r="J311" s="931">
        <v>0.53490000000000004</v>
      </c>
      <c r="K311" s="931">
        <v>0.53490000000000004</v>
      </c>
      <c r="L311" s="931">
        <v>0.53490000000000004</v>
      </c>
      <c r="M311" s="931">
        <v>0.53490000000000004</v>
      </c>
    </row>
    <row r="312" spans="1:13">
      <c r="A312" s="922">
        <v>4.3</v>
      </c>
      <c r="B312" s="931">
        <v>0.75700000000000001</v>
      </c>
      <c r="C312" s="931">
        <v>0.75700000000000001</v>
      </c>
      <c r="D312" s="931">
        <v>0.7177</v>
      </c>
      <c r="E312" s="931">
        <v>0.7177</v>
      </c>
      <c r="F312" s="931">
        <v>0.7177</v>
      </c>
      <c r="G312" s="931">
        <v>0.61109999999999998</v>
      </c>
      <c r="H312" s="931">
        <v>0.61109999999999998</v>
      </c>
      <c r="I312" s="931">
        <v>0.53049999999999997</v>
      </c>
      <c r="J312" s="931">
        <v>0.53049999999999997</v>
      </c>
      <c r="K312" s="931">
        <v>0.53049999999999997</v>
      </c>
      <c r="L312" s="931">
        <v>0.53049999999999997</v>
      </c>
      <c r="M312" s="931">
        <v>0.53049999999999997</v>
      </c>
    </row>
    <row r="313" spans="1:13">
      <c r="A313" s="922">
        <v>4.4000000000000004</v>
      </c>
      <c r="B313" s="931">
        <v>0.754</v>
      </c>
      <c r="C313" s="931">
        <v>0.754</v>
      </c>
      <c r="D313" s="931">
        <v>0.71409999999999996</v>
      </c>
      <c r="E313" s="931">
        <v>0.71409999999999996</v>
      </c>
      <c r="F313" s="931">
        <v>0.71409999999999996</v>
      </c>
      <c r="G313" s="931">
        <v>0.60709999999999997</v>
      </c>
      <c r="H313" s="931">
        <v>0.60709999999999997</v>
      </c>
      <c r="I313" s="931">
        <v>0.52639999999999998</v>
      </c>
      <c r="J313" s="931">
        <v>0.52639999999999998</v>
      </c>
      <c r="K313" s="931">
        <v>0.52639999999999998</v>
      </c>
      <c r="L313" s="931">
        <v>0.52639999999999998</v>
      </c>
      <c r="M313" s="931">
        <v>0.52639999999999998</v>
      </c>
    </row>
    <row r="314" spans="1:13">
      <c r="A314" s="922">
        <v>4.5</v>
      </c>
      <c r="B314" s="931">
        <v>0.75119999999999998</v>
      </c>
      <c r="C314" s="931">
        <v>0.75119999999999998</v>
      </c>
      <c r="D314" s="931">
        <v>0.71079999999999999</v>
      </c>
      <c r="E314" s="931">
        <v>0.71079999999999999</v>
      </c>
      <c r="F314" s="931">
        <v>0.71079999999999999</v>
      </c>
      <c r="G314" s="931">
        <v>0.60329999999999995</v>
      </c>
      <c r="H314" s="931">
        <v>0.60329999999999995</v>
      </c>
      <c r="I314" s="931">
        <v>0.52249999999999996</v>
      </c>
      <c r="J314" s="931">
        <v>0.52249999999999996</v>
      </c>
      <c r="K314" s="931">
        <v>0.52249999999999996</v>
      </c>
      <c r="L314" s="931">
        <v>0.52249999999999996</v>
      </c>
      <c r="M314" s="931">
        <v>0.52249999999999996</v>
      </c>
    </row>
    <row r="315" spans="1:13">
      <c r="A315" s="922">
        <v>4.5999999999999996</v>
      </c>
      <c r="B315" s="931">
        <v>0.74860000000000004</v>
      </c>
      <c r="C315" s="931">
        <v>0.74860000000000004</v>
      </c>
      <c r="D315" s="931">
        <v>0.70760000000000001</v>
      </c>
      <c r="E315" s="931">
        <v>0.70760000000000001</v>
      </c>
      <c r="F315" s="931">
        <v>0.70760000000000001</v>
      </c>
      <c r="G315" s="931">
        <v>0.59970000000000001</v>
      </c>
      <c r="H315" s="931">
        <v>0.59970000000000001</v>
      </c>
      <c r="I315" s="931">
        <v>0.51890000000000003</v>
      </c>
      <c r="J315" s="931">
        <v>0.51890000000000003</v>
      </c>
      <c r="K315" s="931">
        <v>0.51890000000000003</v>
      </c>
      <c r="L315" s="931">
        <v>0.51890000000000003</v>
      </c>
      <c r="M315" s="931">
        <v>0.51890000000000003</v>
      </c>
    </row>
    <row r="316" spans="1:13">
      <c r="A316" s="922">
        <v>4.7</v>
      </c>
      <c r="B316" s="931">
        <v>0.74609999999999999</v>
      </c>
      <c r="C316" s="931">
        <v>0.74609999999999999</v>
      </c>
      <c r="D316" s="931">
        <v>0.7046</v>
      </c>
      <c r="E316" s="931">
        <v>0.7046</v>
      </c>
      <c r="F316" s="931">
        <v>0.7046</v>
      </c>
      <c r="G316" s="931">
        <v>0.59630000000000005</v>
      </c>
      <c r="H316" s="931">
        <v>0.59630000000000005</v>
      </c>
      <c r="I316" s="931">
        <v>0.51529999999999998</v>
      </c>
      <c r="J316" s="931">
        <v>0.51529999999999998</v>
      </c>
      <c r="K316" s="931">
        <v>0.51529999999999998</v>
      </c>
      <c r="L316" s="931">
        <v>0.51529999999999998</v>
      </c>
      <c r="M316" s="931">
        <v>0.51529999999999998</v>
      </c>
    </row>
    <row r="317" spans="1:13">
      <c r="A317" s="922">
        <v>4.8</v>
      </c>
      <c r="B317" s="931">
        <v>0.74380000000000002</v>
      </c>
      <c r="C317" s="931">
        <v>0.74380000000000002</v>
      </c>
      <c r="D317" s="931">
        <v>0.70169999999999999</v>
      </c>
      <c r="E317" s="931">
        <v>0.70169999999999999</v>
      </c>
      <c r="F317" s="931">
        <v>0.70169999999999999</v>
      </c>
      <c r="G317" s="931">
        <v>0.59309999999999996</v>
      </c>
      <c r="H317" s="931">
        <v>0.59309999999999996</v>
      </c>
      <c r="I317" s="931">
        <v>0.5121</v>
      </c>
      <c r="J317" s="931">
        <v>0.5121</v>
      </c>
      <c r="K317" s="931">
        <v>0.5121</v>
      </c>
      <c r="L317" s="931">
        <v>0.5121</v>
      </c>
      <c r="M317" s="931">
        <v>0.5121</v>
      </c>
    </row>
    <row r="318" spans="1:13">
      <c r="A318" s="922">
        <v>4.9000000000000004</v>
      </c>
      <c r="B318" s="931">
        <v>0.74160000000000004</v>
      </c>
      <c r="C318" s="931">
        <v>0.74160000000000004</v>
      </c>
      <c r="D318" s="931">
        <v>0.69889999999999997</v>
      </c>
      <c r="E318" s="931">
        <v>0.69889999999999997</v>
      </c>
      <c r="F318" s="931">
        <v>0.69889999999999997</v>
      </c>
      <c r="G318" s="931">
        <v>0.59009999999999996</v>
      </c>
      <c r="H318" s="931">
        <v>0.59009999999999996</v>
      </c>
      <c r="I318" s="931">
        <v>0.50900000000000001</v>
      </c>
      <c r="J318" s="931">
        <v>0.50900000000000001</v>
      </c>
      <c r="K318" s="931">
        <v>0.50900000000000001</v>
      </c>
      <c r="L318" s="931">
        <v>0.50900000000000001</v>
      </c>
      <c r="M318" s="931">
        <v>0.50900000000000001</v>
      </c>
    </row>
    <row r="319" spans="1:13">
      <c r="A319" s="922">
        <v>5</v>
      </c>
      <c r="B319" s="931">
        <v>0.73950000000000005</v>
      </c>
      <c r="C319" s="931">
        <v>0.73950000000000005</v>
      </c>
      <c r="D319" s="931">
        <v>0.69620000000000004</v>
      </c>
      <c r="E319" s="931">
        <v>0.69620000000000004</v>
      </c>
      <c r="F319" s="931">
        <v>0.69620000000000004</v>
      </c>
      <c r="G319" s="931">
        <v>0.58720000000000006</v>
      </c>
      <c r="H319" s="931">
        <v>0.58720000000000006</v>
      </c>
      <c r="I319" s="931">
        <v>0.50609999999999999</v>
      </c>
      <c r="J319" s="931">
        <v>0.50609999999999999</v>
      </c>
      <c r="K319" s="931">
        <v>0.50609999999999999</v>
      </c>
      <c r="L319" s="931">
        <v>0.50609999999999999</v>
      </c>
      <c r="M319" s="931">
        <v>0.50609999999999999</v>
      </c>
    </row>
    <row r="320" spans="1:13">
      <c r="A320" s="922">
        <v>5.0999999999999996</v>
      </c>
      <c r="B320" s="931">
        <v>0.73750000000000004</v>
      </c>
      <c r="C320" s="931">
        <v>0.73750000000000004</v>
      </c>
      <c r="D320" s="931">
        <v>0.69359999999999999</v>
      </c>
      <c r="E320" s="931">
        <v>0.69359999999999999</v>
      </c>
      <c r="F320" s="931">
        <v>0.69359999999999999</v>
      </c>
      <c r="G320" s="931">
        <v>0.58440000000000003</v>
      </c>
      <c r="H320" s="931">
        <v>0.58440000000000003</v>
      </c>
      <c r="I320" s="931">
        <v>0.50329999999999997</v>
      </c>
      <c r="J320" s="931">
        <v>0.50329999999999997</v>
      </c>
      <c r="K320" s="931">
        <v>0.50329999999999997</v>
      </c>
      <c r="L320" s="931">
        <v>0.50329999999999997</v>
      </c>
      <c r="M320" s="931">
        <v>0.50329999999999997</v>
      </c>
    </row>
    <row r="321" spans="1:13">
      <c r="A321" s="922">
        <v>5.2</v>
      </c>
      <c r="B321" s="931">
        <v>0.73560000000000003</v>
      </c>
      <c r="C321" s="931">
        <v>0.73560000000000003</v>
      </c>
      <c r="D321" s="931">
        <v>0.69110000000000005</v>
      </c>
      <c r="E321" s="931">
        <v>0.69110000000000005</v>
      </c>
      <c r="F321" s="931">
        <v>0.69110000000000005</v>
      </c>
      <c r="G321" s="931">
        <v>0.58169999999999999</v>
      </c>
      <c r="H321" s="931">
        <v>0.58169999999999999</v>
      </c>
      <c r="I321" s="931">
        <v>0.50060000000000004</v>
      </c>
      <c r="J321" s="931">
        <v>0.50060000000000004</v>
      </c>
      <c r="K321" s="931">
        <v>0.50060000000000004</v>
      </c>
      <c r="L321" s="931">
        <v>0.50060000000000004</v>
      </c>
      <c r="M321" s="931">
        <v>0.50060000000000004</v>
      </c>
    </row>
    <row r="322" spans="1:13">
      <c r="A322" s="922">
        <v>5.3</v>
      </c>
      <c r="B322" s="931">
        <v>0.73380000000000001</v>
      </c>
      <c r="C322" s="931">
        <v>0.73380000000000001</v>
      </c>
      <c r="D322" s="931">
        <v>0.68869999999999998</v>
      </c>
      <c r="E322" s="931">
        <v>0.68869999999999998</v>
      </c>
      <c r="F322" s="931">
        <v>0.68869999999999998</v>
      </c>
      <c r="G322" s="931">
        <v>0.57909999999999995</v>
      </c>
      <c r="H322" s="931">
        <v>0.57909999999999995</v>
      </c>
      <c r="I322" s="931">
        <v>0.49809999999999999</v>
      </c>
      <c r="J322" s="931">
        <v>0.49809999999999999</v>
      </c>
      <c r="K322" s="931">
        <v>0.49809999999999999</v>
      </c>
      <c r="L322" s="931">
        <v>0.49809999999999999</v>
      </c>
      <c r="M322" s="931">
        <v>0.49809999999999999</v>
      </c>
    </row>
    <row r="323" spans="1:13">
      <c r="A323" s="922">
        <v>5.4</v>
      </c>
      <c r="B323" s="931">
        <v>0.73199999999999998</v>
      </c>
      <c r="C323" s="931">
        <v>0.73199999999999998</v>
      </c>
      <c r="D323" s="931">
        <v>0.68640000000000001</v>
      </c>
      <c r="E323" s="931">
        <v>0.68640000000000001</v>
      </c>
      <c r="F323" s="931">
        <v>0.68640000000000001</v>
      </c>
      <c r="G323" s="931">
        <v>0.57650000000000001</v>
      </c>
      <c r="H323" s="931">
        <v>0.57650000000000001</v>
      </c>
      <c r="I323" s="931">
        <v>0.49559999999999998</v>
      </c>
      <c r="J323" s="931">
        <v>0.49559999999999998</v>
      </c>
      <c r="K323" s="931">
        <v>0.49559999999999998</v>
      </c>
      <c r="L323" s="931">
        <v>0.49559999999999998</v>
      </c>
      <c r="M323" s="931">
        <v>0.49559999999999998</v>
      </c>
    </row>
    <row r="324" spans="1:13">
      <c r="A324" s="922">
        <v>5.5</v>
      </c>
      <c r="B324" s="931">
        <v>0.73009999999999997</v>
      </c>
      <c r="C324" s="931">
        <v>0.73009999999999997</v>
      </c>
      <c r="D324" s="931">
        <v>0.68420000000000003</v>
      </c>
      <c r="E324" s="931">
        <v>0.68420000000000003</v>
      </c>
      <c r="F324" s="931">
        <v>0.68420000000000003</v>
      </c>
      <c r="G324" s="931">
        <v>0.57399999999999995</v>
      </c>
      <c r="H324" s="931">
        <v>0.57399999999999995</v>
      </c>
      <c r="I324" s="931">
        <v>0.49320000000000003</v>
      </c>
      <c r="J324" s="931">
        <v>0.49320000000000003</v>
      </c>
      <c r="K324" s="931">
        <v>0.49320000000000003</v>
      </c>
      <c r="L324" s="931">
        <v>0.49320000000000003</v>
      </c>
      <c r="M324" s="931">
        <v>0.49320000000000003</v>
      </c>
    </row>
    <row r="325" spans="1:13">
      <c r="A325" s="922">
        <v>5.6</v>
      </c>
      <c r="B325" s="931">
        <v>0.72819999999999996</v>
      </c>
      <c r="C325" s="931">
        <v>0.72819999999999996</v>
      </c>
      <c r="D325" s="931">
        <v>0.68200000000000005</v>
      </c>
      <c r="E325" s="931">
        <v>0.68200000000000005</v>
      </c>
      <c r="F325" s="931">
        <v>0.68200000000000005</v>
      </c>
      <c r="G325" s="931">
        <v>0.57150000000000001</v>
      </c>
      <c r="H325" s="931">
        <v>0.57150000000000001</v>
      </c>
      <c r="I325" s="931">
        <v>0.49080000000000001</v>
      </c>
      <c r="J325" s="931">
        <v>0.49080000000000001</v>
      </c>
      <c r="K325" s="931">
        <v>0.49080000000000001</v>
      </c>
      <c r="L325" s="931">
        <v>0.49080000000000001</v>
      </c>
      <c r="M325" s="931">
        <v>0.49080000000000001</v>
      </c>
    </row>
    <row r="326" spans="1:13">
      <c r="A326" s="922">
        <v>5.7</v>
      </c>
      <c r="B326" s="931">
        <v>0.72640000000000005</v>
      </c>
      <c r="C326" s="931">
        <v>0.72640000000000005</v>
      </c>
      <c r="D326" s="931">
        <v>0.67989999999999995</v>
      </c>
      <c r="E326" s="931">
        <v>0.67989999999999995</v>
      </c>
      <c r="F326" s="931">
        <v>0.67989999999999995</v>
      </c>
      <c r="G326" s="931">
        <v>0.56899999999999995</v>
      </c>
      <c r="H326" s="931">
        <v>0.56899999999999995</v>
      </c>
      <c r="I326" s="931">
        <v>0.4884</v>
      </c>
      <c r="J326" s="931">
        <v>0.4884</v>
      </c>
      <c r="K326" s="931">
        <v>0.4884</v>
      </c>
      <c r="L326" s="931">
        <v>0.4884</v>
      </c>
      <c r="M326" s="931">
        <v>0.4884</v>
      </c>
    </row>
    <row r="327" spans="1:13">
      <c r="A327" s="922">
        <v>5.8</v>
      </c>
      <c r="B327" s="931">
        <v>0.72460000000000002</v>
      </c>
      <c r="C327" s="931">
        <v>0.72460000000000002</v>
      </c>
      <c r="D327" s="931">
        <v>0.67779999999999996</v>
      </c>
      <c r="E327" s="931">
        <v>0.67779999999999996</v>
      </c>
      <c r="F327" s="931">
        <v>0.67779999999999996</v>
      </c>
      <c r="G327" s="931">
        <v>0.56659999999999999</v>
      </c>
      <c r="H327" s="931">
        <v>0.56659999999999999</v>
      </c>
      <c r="I327" s="931">
        <v>0.48609999999999998</v>
      </c>
      <c r="J327" s="931">
        <v>0.48609999999999998</v>
      </c>
      <c r="K327" s="931">
        <v>0.48609999999999998</v>
      </c>
      <c r="L327" s="931">
        <v>0.48609999999999998</v>
      </c>
      <c r="M327" s="931">
        <v>0.48609999999999998</v>
      </c>
    </row>
    <row r="328" spans="1:13">
      <c r="A328" s="922">
        <v>5.9</v>
      </c>
      <c r="B328" s="931">
        <v>0.7228</v>
      </c>
      <c r="C328" s="931">
        <v>0.7228</v>
      </c>
      <c r="D328" s="931">
        <v>0.67569999999999997</v>
      </c>
      <c r="E328" s="931">
        <v>0.67569999999999997</v>
      </c>
      <c r="F328" s="931">
        <v>0.67569999999999997</v>
      </c>
      <c r="G328" s="931">
        <v>0.56420000000000003</v>
      </c>
      <c r="H328" s="931">
        <v>0.56420000000000003</v>
      </c>
      <c r="I328" s="931">
        <v>0.48380000000000001</v>
      </c>
      <c r="J328" s="931">
        <v>0.48380000000000001</v>
      </c>
      <c r="K328" s="931">
        <v>0.48380000000000001</v>
      </c>
      <c r="L328" s="931">
        <v>0.48380000000000001</v>
      </c>
      <c r="M328" s="931">
        <v>0.48380000000000001</v>
      </c>
    </row>
    <row r="329" spans="1:13">
      <c r="A329" s="938">
        <v>6</v>
      </c>
      <c r="B329" s="931">
        <v>0.72099999999999997</v>
      </c>
      <c r="C329" s="931">
        <v>0.72099999999999997</v>
      </c>
      <c r="D329" s="931">
        <v>0.67359999999999998</v>
      </c>
      <c r="E329" s="931">
        <v>0.67359999999999998</v>
      </c>
      <c r="F329" s="931">
        <v>0.67359999999999998</v>
      </c>
      <c r="G329" s="931">
        <v>0.56179999999999997</v>
      </c>
      <c r="H329" s="931">
        <v>0.56179999999999997</v>
      </c>
      <c r="I329" s="931">
        <v>0.48159999999999997</v>
      </c>
      <c r="J329" s="931">
        <v>0.48159999999999997</v>
      </c>
      <c r="K329" s="931">
        <v>0.48159999999999997</v>
      </c>
      <c r="L329" s="931">
        <v>0.48159999999999997</v>
      </c>
      <c r="M329" s="931">
        <v>0.48159999999999997</v>
      </c>
    </row>
    <row r="330" spans="1:13">
      <c r="A330" s="938">
        <v>6.1</v>
      </c>
      <c r="B330" s="931">
        <v>0.71930000000000005</v>
      </c>
      <c r="C330" s="931">
        <v>0.71930000000000005</v>
      </c>
      <c r="D330" s="931">
        <v>0.67159999999999997</v>
      </c>
      <c r="E330" s="931">
        <v>0.67159999999999997</v>
      </c>
      <c r="F330" s="931">
        <v>0.67159999999999997</v>
      </c>
      <c r="G330" s="931">
        <v>0.55940000000000001</v>
      </c>
      <c r="H330" s="931">
        <v>0.55940000000000001</v>
      </c>
      <c r="I330" s="931">
        <v>0.4793</v>
      </c>
      <c r="J330" s="931">
        <v>0.4793</v>
      </c>
      <c r="K330" s="931">
        <v>0.4793</v>
      </c>
      <c r="L330" s="931">
        <v>0.4793</v>
      </c>
      <c r="M330" s="931">
        <v>0.4793</v>
      </c>
    </row>
    <row r="331" spans="1:13">
      <c r="A331" s="938">
        <v>6.2</v>
      </c>
      <c r="B331" s="931">
        <v>0.71760000000000002</v>
      </c>
      <c r="C331" s="931">
        <v>0.71760000000000002</v>
      </c>
      <c r="D331" s="931">
        <v>0.66959999999999997</v>
      </c>
      <c r="E331" s="931">
        <v>0.66959999999999997</v>
      </c>
      <c r="F331" s="931">
        <v>0.66959999999999997</v>
      </c>
      <c r="G331" s="931">
        <v>0.55710000000000004</v>
      </c>
      <c r="H331" s="931">
        <v>0.55710000000000004</v>
      </c>
      <c r="I331" s="931">
        <v>0.47710000000000002</v>
      </c>
      <c r="J331" s="931">
        <v>0.47710000000000002</v>
      </c>
      <c r="K331" s="931">
        <v>0.47710000000000002</v>
      </c>
      <c r="L331" s="931">
        <v>0.47710000000000002</v>
      </c>
      <c r="M331" s="931">
        <v>0.47710000000000002</v>
      </c>
    </row>
    <row r="332" spans="1:13">
      <c r="A332" s="938">
        <v>6.3</v>
      </c>
      <c r="B332" s="931">
        <v>0.71589999999999998</v>
      </c>
      <c r="C332" s="931">
        <v>0.71589999999999998</v>
      </c>
      <c r="D332" s="931">
        <v>0.66759999999999997</v>
      </c>
      <c r="E332" s="931">
        <v>0.66759999999999997</v>
      </c>
      <c r="F332" s="931">
        <v>0.66759999999999997</v>
      </c>
      <c r="G332" s="931">
        <v>0.55479999999999996</v>
      </c>
      <c r="H332" s="931">
        <v>0.55479999999999996</v>
      </c>
      <c r="I332" s="931">
        <v>0.47489999999999999</v>
      </c>
      <c r="J332" s="931">
        <v>0.47489999999999999</v>
      </c>
      <c r="K332" s="931">
        <v>0.47489999999999999</v>
      </c>
      <c r="L332" s="931">
        <v>0.47489999999999999</v>
      </c>
      <c r="M332" s="931">
        <v>0.47489999999999999</v>
      </c>
    </row>
    <row r="333" spans="1:13">
      <c r="A333" s="938">
        <v>6.4</v>
      </c>
      <c r="B333" s="931">
        <v>0.71419999999999995</v>
      </c>
      <c r="C333" s="931">
        <v>0.71419999999999995</v>
      </c>
      <c r="D333" s="931">
        <v>0.66559999999999997</v>
      </c>
      <c r="E333" s="931">
        <v>0.66559999999999997</v>
      </c>
      <c r="F333" s="931">
        <v>0.66559999999999997</v>
      </c>
      <c r="G333" s="931">
        <v>0.55249999999999999</v>
      </c>
      <c r="H333" s="931">
        <v>0.55249999999999999</v>
      </c>
      <c r="I333" s="931">
        <v>0.47270000000000001</v>
      </c>
      <c r="J333" s="931">
        <v>0.47270000000000001</v>
      </c>
      <c r="K333" s="931">
        <v>0.47270000000000001</v>
      </c>
      <c r="L333" s="931">
        <v>0.47270000000000001</v>
      </c>
      <c r="M333" s="931">
        <v>0.47270000000000001</v>
      </c>
    </row>
    <row r="334" spans="1:13">
      <c r="A334" s="938">
        <v>6.5</v>
      </c>
      <c r="B334" s="931">
        <v>0.71250000000000002</v>
      </c>
      <c r="C334" s="931">
        <v>0.71250000000000002</v>
      </c>
      <c r="D334" s="931">
        <v>0.66359999999999997</v>
      </c>
      <c r="E334" s="931">
        <v>0.66359999999999997</v>
      </c>
      <c r="F334" s="931">
        <v>0.66359999999999997</v>
      </c>
      <c r="G334" s="931">
        <v>0.55020000000000002</v>
      </c>
      <c r="H334" s="931">
        <v>0.55020000000000002</v>
      </c>
      <c r="I334" s="931">
        <v>0.47060000000000002</v>
      </c>
      <c r="J334" s="931">
        <v>0.47060000000000002</v>
      </c>
      <c r="K334" s="931">
        <v>0.47060000000000002</v>
      </c>
      <c r="L334" s="931">
        <v>0.47060000000000002</v>
      </c>
      <c r="M334" s="931">
        <v>0.47060000000000002</v>
      </c>
    </row>
    <row r="335" spans="1:13">
      <c r="A335" s="938">
        <v>6.6</v>
      </c>
      <c r="B335" s="931">
        <v>0.71089999999999998</v>
      </c>
      <c r="C335" s="931">
        <v>0.71089999999999998</v>
      </c>
      <c r="D335" s="931">
        <v>0.66159999999999997</v>
      </c>
      <c r="E335" s="931">
        <v>0.66159999999999997</v>
      </c>
      <c r="F335" s="931">
        <v>0.66159999999999997</v>
      </c>
      <c r="G335" s="931">
        <v>0.54800000000000004</v>
      </c>
      <c r="H335" s="931">
        <v>0.54800000000000004</v>
      </c>
      <c r="I335" s="931">
        <v>0.46839999999999998</v>
      </c>
      <c r="J335" s="931">
        <v>0.46839999999999998</v>
      </c>
      <c r="K335" s="931">
        <v>0.46839999999999998</v>
      </c>
      <c r="L335" s="931">
        <v>0.46839999999999998</v>
      </c>
      <c r="M335" s="931">
        <v>0.46839999999999998</v>
      </c>
    </row>
    <row r="336" spans="1:13">
      <c r="A336" s="938">
        <v>6.7</v>
      </c>
      <c r="B336" s="931">
        <v>0.70930000000000004</v>
      </c>
      <c r="C336" s="931">
        <v>0.70930000000000004</v>
      </c>
      <c r="D336" s="931">
        <v>0.65969999999999995</v>
      </c>
      <c r="E336" s="931">
        <v>0.65969999999999995</v>
      </c>
      <c r="F336" s="931">
        <v>0.65969999999999995</v>
      </c>
      <c r="G336" s="931">
        <v>0.54579999999999995</v>
      </c>
      <c r="H336" s="931">
        <v>0.54579999999999995</v>
      </c>
      <c r="I336" s="931">
        <v>0.46629999999999999</v>
      </c>
      <c r="J336" s="931">
        <v>0.46629999999999999</v>
      </c>
      <c r="K336" s="931">
        <v>0.46629999999999999</v>
      </c>
      <c r="L336" s="931">
        <v>0.46629999999999999</v>
      </c>
      <c r="M336" s="931">
        <v>0.46629999999999999</v>
      </c>
    </row>
    <row r="337" spans="1:13">
      <c r="A337" s="938">
        <v>6.8</v>
      </c>
      <c r="B337" s="931">
        <v>0.7077</v>
      </c>
      <c r="C337" s="931">
        <v>0.7077</v>
      </c>
      <c r="D337" s="931">
        <v>0.65780000000000005</v>
      </c>
      <c r="E337" s="931">
        <v>0.65780000000000005</v>
      </c>
      <c r="F337" s="931">
        <v>0.65780000000000005</v>
      </c>
      <c r="G337" s="931">
        <v>0.54359999999999997</v>
      </c>
      <c r="H337" s="931">
        <v>0.54359999999999997</v>
      </c>
      <c r="I337" s="931">
        <v>0.46410000000000001</v>
      </c>
      <c r="J337" s="931">
        <v>0.46410000000000001</v>
      </c>
      <c r="K337" s="931">
        <v>0.46410000000000001</v>
      </c>
      <c r="L337" s="931">
        <v>0.46410000000000001</v>
      </c>
      <c r="M337" s="931">
        <v>0.46410000000000001</v>
      </c>
    </row>
    <row r="338" spans="1:13">
      <c r="A338" s="938">
        <v>6.9</v>
      </c>
      <c r="B338" s="931">
        <v>0.70609999999999995</v>
      </c>
      <c r="C338" s="931">
        <v>0.70609999999999995</v>
      </c>
      <c r="D338" s="931">
        <v>0.65590000000000004</v>
      </c>
      <c r="E338" s="931">
        <v>0.65590000000000004</v>
      </c>
      <c r="F338" s="931">
        <v>0.65590000000000004</v>
      </c>
      <c r="G338" s="931">
        <v>0.54139999999999999</v>
      </c>
      <c r="H338" s="931">
        <v>0.54139999999999999</v>
      </c>
      <c r="I338" s="931">
        <v>0.46200000000000002</v>
      </c>
      <c r="J338" s="931">
        <v>0.46200000000000002</v>
      </c>
      <c r="K338" s="931">
        <v>0.46200000000000002</v>
      </c>
      <c r="L338" s="931">
        <v>0.46200000000000002</v>
      </c>
      <c r="M338" s="931">
        <v>0.46200000000000002</v>
      </c>
    </row>
    <row r="339" spans="1:13">
      <c r="A339" s="938">
        <v>7</v>
      </c>
      <c r="B339" s="931">
        <v>0.70450000000000002</v>
      </c>
      <c r="C339" s="931">
        <v>0.70450000000000002</v>
      </c>
      <c r="D339" s="931">
        <v>0.65400000000000003</v>
      </c>
      <c r="E339" s="931">
        <v>0.65400000000000003</v>
      </c>
      <c r="F339" s="931">
        <v>0.65400000000000003</v>
      </c>
      <c r="G339" s="931">
        <v>0.53920000000000001</v>
      </c>
      <c r="H339" s="931">
        <v>0.53920000000000001</v>
      </c>
      <c r="I339" s="931">
        <v>0.45979999999999999</v>
      </c>
      <c r="J339" s="931">
        <v>0.45979999999999999</v>
      </c>
      <c r="K339" s="931">
        <v>0.45979999999999999</v>
      </c>
      <c r="L339" s="931">
        <v>0.45979999999999999</v>
      </c>
      <c r="M339" s="931">
        <v>0.45979999999999999</v>
      </c>
    </row>
    <row r="340" spans="1:13">
      <c r="A340" s="938">
        <v>7.1</v>
      </c>
      <c r="B340" s="931">
        <v>0.70289999999999997</v>
      </c>
      <c r="C340" s="931">
        <v>0.70289999999999997</v>
      </c>
      <c r="D340" s="931">
        <v>0.65210000000000001</v>
      </c>
      <c r="E340" s="931">
        <v>0.65210000000000001</v>
      </c>
      <c r="F340" s="931">
        <v>0.65210000000000001</v>
      </c>
      <c r="G340" s="931">
        <v>0.53710000000000002</v>
      </c>
      <c r="H340" s="931">
        <v>0.53710000000000002</v>
      </c>
      <c r="I340" s="931">
        <v>0.45779999999999998</v>
      </c>
      <c r="J340" s="931">
        <v>0.45779999999999998</v>
      </c>
      <c r="K340" s="931">
        <v>0.45779999999999998</v>
      </c>
      <c r="L340" s="931">
        <v>0.45779999999999998</v>
      </c>
      <c r="M340" s="931">
        <v>0.45779999999999998</v>
      </c>
    </row>
    <row r="341" spans="1:13">
      <c r="A341" s="938">
        <v>7.2</v>
      </c>
      <c r="B341" s="931">
        <v>0.70140000000000002</v>
      </c>
      <c r="C341" s="931">
        <v>0.70140000000000002</v>
      </c>
      <c r="D341" s="931">
        <v>0.6502</v>
      </c>
      <c r="E341" s="931">
        <v>0.6502</v>
      </c>
      <c r="F341" s="931">
        <v>0.6502</v>
      </c>
      <c r="G341" s="931">
        <v>0.53500000000000003</v>
      </c>
      <c r="H341" s="931">
        <v>0.53500000000000003</v>
      </c>
      <c r="I341" s="931">
        <v>0.45569999999999999</v>
      </c>
      <c r="J341" s="931">
        <v>0.45569999999999999</v>
      </c>
      <c r="K341" s="931">
        <v>0.45569999999999999</v>
      </c>
      <c r="L341" s="931">
        <v>0.45569999999999999</v>
      </c>
      <c r="M341" s="931">
        <v>0.45569999999999999</v>
      </c>
    </row>
    <row r="342" spans="1:13">
      <c r="A342" s="938">
        <v>7.3</v>
      </c>
      <c r="B342" s="931">
        <v>0.69989999999999997</v>
      </c>
      <c r="C342" s="931">
        <v>0.69989999999999997</v>
      </c>
      <c r="D342" s="931">
        <v>0.64829999999999999</v>
      </c>
      <c r="E342" s="931">
        <v>0.64829999999999999</v>
      </c>
      <c r="F342" s="931">
        <v>0.64829999999999999</v>
      </c>
      <c r="G342" s="931">
        <v>0.53290000000000004</v>
      </c>
      <c r="H342" s="931">
        <v>0.53290000000000004</v>
      </c>
      <c r="I342" s="931">
        <v>0.45369999999999999</v>
      </c>
      <c r="J342" s="931">
        <v>0.45369999999999999</v>
      </c>
      <c r="K342" s="931">
        <v>0.45369999999999999</v>
      </c>
      <c r="L342" s="931">
        <v>0.45369999999999999</v>
      </c>
      <c r="M342" s="931">
        <v>0.45369999999999999</v>
      </c>
    </row>
    <row r="343" spans="1:13">
      <c r="A343" s="938">
        <v>7.4</v>
      </c>
      <c r="B343" s="931">
        <v>0.69840000000000002</v>
      </c>
      <c r="C343" s="931">
        <v>0.69840000000000002</v>
      </c>
      <c r="D343" s="931">
        <v>0.64649999999999996</v>
      </c>
      <c r="E343" s="931">
        <v>0.64649999999999996</v>
      </c>
      <c r="F343" s="931">
        <v>0.64649999999999996</v>
      </c>
      <c r="G343" s="931">
        <v>0.53080000000000005</v>
      </c>
      <c r="H343" s="931">
        <v>0.53080000000000005</v>
      </c>
      <c r="I343" s="931">
        <v>0.4516</v>
      </c>
      <c r="J343" s="931">
        <v>0.4516</v>
      </c>
      <c r="K343" s="931">
        <v>0.4516</v>
      </c>
      <c r="L343" s="931">
        <v>0.4516</v>
      </c>
      <c r="M343" s="931">
        <v>0.4516</v>
      </c>
    </row>
    <row r="344" spans="1:13">
      <c r="A344" s="938">
        <v>7.5</v>
      </c>
      <c r="B344" s="931">
        <v>0.69689999999999996</v>
      </c>
      <c r="C344" s="931">
        <v>0.69689999999999996</v>
      </c>
      <c r="D344" s="931">
        <v>0.64470000000000005</v>
      </c>
      <c r="E344" s="931">
        <v>0.64470000000000005</v>
      </c>
      <c r="F344" s="931">
        <v>0.64470000000000005</v>
      </c>
      <c r="G344" s="931">
        <v>0.52869999999999995</v>
      </c>
      <c r="H344" s="931">
        <v>0.52869999999999995</v>
      </c>
      <c r="I344" s="931">
        <v>0.44950000000000001</v>
      </c>
      <c r="J344" s="931">
        <v>0.44950000000000001</v>
      </c>
      <c r="K344" s="931">
        <v>0.44950000000000001</v>
      </c>
      <c r="L344" s="931">
        <v>0.44950000000000001</v>
      </c>
      <c r="M344" s="931">
        <v>0.44950000000000001</v>
      </c>
    </row>
    <row r="345" spans="1:13">
      <c r="A345" s="938">
        <v>7.6</v>
      </c>
      <c r="B345" s="931">
        <v>0.69540000000000002</v>
      </c>
      <c r="C345" s="931">
        <v>0.69540000000000002</v>
      </c>
      <c r="D345" s="931">
        <v>0.64290000000000003</v>
      </c>
      <c r="E345" s="931">
        <v>0.64290000000000003</v>
      </c>
      <c r="F345" s="931">
        <v>0.64290000000000003</v>
      </c>
      <c r="G345" s="931">
        <v>0.52659999999999996</v>
      </c>
      <c r="H345" s="931">
        <v>0.52659999999999996</v>
      </c>
      <c r="I345" s="931">
        <v>0.44750000000000001</v>
      </c>
      <c r="J345" s="931">
        <v>0.44750000000000001</v>
      </c>
      <c r="K345" s="931">
        <v>0.44750000000000001</v>
      </c>
      <c r="L345" s="931">
        <v>0.44750000000000001</v>
      </c>
      <c r="M345" s="931">
        <v>0.44750000000000001</v>
      </c>
    </row>
    <row r="346" spans="1:13">
      <c r="A346" s="938">
        <v>7.7</v>
      </c>
      <c r="B346" s="931">
        <v>0.69389999999999996</v>
      </c>
      <c r="C346" s="931">
        <v>0.69389999999999996</v>
      </c>
      <c r="D346" s="931">
        <v>0.6411</v>
      </c>
      <c r="E346" s="931">
        <v>0.6411</v>
      </c>
      <c r="F346" s="931">
        <v>0.6411</v>
      </c>
      <c r="G346" s="931">
        <v>0.52459999999999996</v>
      </c>
      <c r="H346" s="931">
        <v>0.52459999999999996</v>
      </c>
      <c r="I346" s="931">
        <v>0.44540000000000002</v>
      </c>
      <c r="J346" s="931">
        <v>0.44540000000000002</v>
      </c>
      <c r="K346" s="931">
        <v>0.44540000000000002</v>
      </c>
      <c r="L346" s="931">
        <v>0.44540000000000002</v>
      </c>
      <c r="M346" s="931">
        <v>0.44540000000000002</v>
      </c>
    </row>
    <row r="347" spans="1:13">
      <c r="A347" s="938">
        <v>7.8</v>
      </c>
      <c r="B347" s="931">
        <v>0.69240000000000002</v>
      </c>
      <c r="C347" s="931">
        <v>0.69240000000000002</v>
      </c>
      <c r="D347" s="931">
        <v>0.63929999999999998</v>
      </c>
      <c r="E347" s="931">
        <v>0.63929999999999998</v>
      </c>
      <c r="F347" s="931">
        <v>0.63929999999999998</v>
      </c>
      <c r="G347" s="931">
        <v>0.52259999999999995</v>
      </c>
      <c r="H347" s="931">
        <v>0.52259999999999995</v>
      </c>
      <c r="I347" s="931">
        <v>0.44340000000000002</v>
      </c>
      <c r="J347" s="931">
        <v>0.44340000000000002</v>
      </c>
      <c r="K347" s="931">
        <v>0.44340000000000002</v>
      </c>
      <c r="L347" s="931">
        <v>0.44340000000000002</v>
      </c>
      <c r="M347" s="931">
        <v>0.44340000000000002</v>
      </c>
    </row>
    <row r="348" spans="1:13">
      <c r="A348" s="938">
        <v>7.9</v>
      </c>
      <c r="B348" s="931">
        <v>0.69099999999999995</v>
      </c>
      <c r="C348" s="931">
        <v>0.69099999999999995</v>
      </c>
      <c r="D348" s="931">
        <v>0.63749999999999996</v>
      </c>
      <c r="E348" s="931">
        <v>0.63749999999999996</v>
      </c>
      <c r="F348" s="931">
        <v>0.63749999999999996</v>
      </c>
      <c r="G348" s="931">
        <v>0.52059999999999995</v>
      </c>
      <c r="H348" s="931">
        <v>0.52059999999999995</v>
      </c>
      <c r="I348" s="931">
        <v>0.44130000000000003</v>
      </c>
      <c r="J348" s="931">
        <v>0.44130000000000003</v>
      </c>
      <c r="K348" s="931">
        <v>0.44130000000000003</v>
      </c>
      <c r="L348" s="931">
        <v>0.44130000000000003</v>
      </c>
      <c r="M348" s="931">
        <v>0.44130000000000003</v>
      </c>
    </row>
    <row r="349" spans="1:13">
      <c r="A349" s="938">
        <v>8</v>
      </c>
      <c r="B349" s="931">
        <v>0.68959999999999999</v>
      </c>
      <c r="C349" s="931">
        <v>0.68959999999999999</v>
      </c>
      <c r="D349" s="931">
        <v>0.63570000000000004</v>
      </c>
      <c r="E349" s="931">
        <v>0.63570000000000004</v>
      </c>
      <c r="F349" s="931">
        <v>0.63570000000000004</v>
      </c>
      <c r="G349" s="931">
        <v>0.51859999999999995</v>
      </c>
      <c r="H349" s="931">
        <v>0.51859999999999995</v>
      </c>
      <c r="I349" s="931">
        <v>0.43919999999999998</v>
      </c>
      <c r="J349" s="931">
        <v>0.43919999999999998</v>
      </c>
      <c r="K349" s="931">
        <v>0.43919999999999998</v>
      </c>
      <c r="L349" s="931">
        <v>0.43919999999999998</v>
      </c>
      <c r="M349" s="931">
        <v>0.43919999999999998</v>
      </c>
    </row>
    <row r="350" spans="1:13">
      <c r="A350" s="938">
        <v>8.1</v>
      </c>
      <c r="B350" s="931">
        <v>0.68820000000000003</v>
      </c>
      <c r="C350" s="931">
        <v>0.68820000000000003</v>
      </c>
      <c r="D350" s="931">
        <v>0.63390000000000002</v>
      </c>
      <c r="E350" s="931">
        <v>0.63390000000000002</v>
      </c>
      <c r="F350" s="931">
        <v>0.63390000000000002</v>
      </c>
      <c r="G350" s="931">
        <v>0.51659999999999995</v>
      </c>
      <c r="H350" s="931">
        <v>0.51659999999999995</v>
      </c>
      <c r="I350" s="931">
        <v>0.43730000000000002</v>
      </c>
      <c r="J350" s="931">
        <v>0.43730000000000002</v>
      </c>
      <c r="K350" s="931">
        <v>0.43730000000000002</v>
      </c>
      <c r="L350" s="931">
        <v>0.43730000000000002</v>
      </c>
      <c r="M350" s="931">
        <v>0.43730000000000002</v>
      </c>
    </row>
    <row r="351" spans="1:13">
      <c r="A351" s="938">
        <v>8.1999999999999993</v>
      </c>
      <c r="B351" s="931">
        <v>0.68679999999999997</v>
      </c>
      <c r="C351" s="931">
        <v>0.68679999999999997</v>
      </c>
      <c r="D351" s="931">
        <v>0.63219999999999998</v>
      </c>
      <c r="E351" s="931">
        <v>0.63219999999999998</v>
      </c>
      <c r="F351" s="931">
        <v>0.63219999999999998</v>
      </c>
      <c r="G351" s="931">
        <v>0.51459999999999995</v>
      </c>
      <c r="H351" s="931">
        <v>0.51459999999999995</v>
      </c>
      <c r="I351" s="931">
        <v>0.43530000000000002</v>
      </c>
      <c r="J351" s="931">
        <v>0.43530000000000002</v>
      </c>
      <c r="K351" s="931">
        <v>0.43530000000000002</v>
      </c>
      <c r="L351" s="931">
        <v>0.43530000000000002</v>
      </c>
      <c r="M351" s="931">
        <v>0.43530000000000002</v>
      </c>
    </row>
    <row r="352" spans="1:13">
      <c r="A352" s="938">
        <v>8.3000000000000007</v>
      </c>
      <c r="B352" s="931">
        <v>0.68540000000000001</v>
      </c>
      <c r="C352" s="931">
        <v>0.68540000000000001</v>
      </c>
      <c r="D352" s="931">
        <v>0.63049999999999995</v>
      </c>
      <c r="E352" s="931">
        <v>0.63049999999999995</v>
      </c>
      <c r="F352" s="931">
        <v>0.63049999999999995</v>
      </c>
      <c r="G352" s="931">
        <v>0.51259999999999994</v>
      </c>
      <c r="H352" s="931">
        <v>0.51259999999999994</v>
      </c>
      <c r="I352" s="931">
        <v>0.43330000000000002</v>
      </c>
      <c r="J352" s="931">
        <v>0.43330000000000002</v>
      </c>
      <c r="K352" s="931">
        <v>0.43330000000000002</v>
      </c>
      <c r="L352" s="931">
        <v>0.43330000000000002</v>
      </c>
      <c r="M352" s="931">
        <v>0.43330000000000002</v>
      </c>
    </row>
    <row r="353" spans="1:13">
      <c r="A353" s="938">
        <v>8.4</v>
      </c>
      <c r="B353" s="931">
        <v>0.68400000000000005</v>
      </c>
      <c r="C353" s="931">
        <v>0.68400000000000005</v>
      </c>
      <c r="D353" s="931">
        <v>0.62880000000000003</v>
      </c>
      <c r="E353" s="931">
        <v>0.62880000000000003</v>
      </c>
      <c r="F353" s="931">
        <v>0.62880000000000003</v>
      </c>
      <c r="G353" s="931">
        <v>0.51070000000000004</v>
      </c>
      <c r="H353" s="931">
        <v>0.51070000000000004</v>
      </c>
      <c r="I353" s="931">
        <v>0.43130000000000002</v>
      </c>
      <c r="J353" s="931">
        <v>0.43130000000000002</v>
      </c>
      <c r="K353" s="931">
        <v>0.43130000000000002</v>
      </c>
      <c r="L353" s="931">
        <v>0.43130000000000002</v>
      </c>
      <c r="M353" s="931">
        <v>0.43130000000000002</v>
      </c>
    </row>
    <row r="354" spans="1:13">
      <c r="A354" s="938">
        <v>8.5</v>
      </c>
      <c r="B354" s="931">
        <v>0.68259999999999998</v>
      </c>
      <c r="C354" s="931">
        <v>0.68259999999999998</v>
      </c>
      <c r="D354" s="931">
        <v>0.62709999999999999</v>
      </c>
      <c r="E354" s="931">
        <v>0.62709999999999999</v>
      </c>
      <c r="F354" s="931">
        <v>0.62709999999999999</v>
      </c>
      <c r="G354" s="931">
        <v>0.50880000000000003</v>
      </c>
      <c r="H354" s="931">
        <v>0.50880000000000003</v>
      </c>
      <c r="I354" s="931">
        <v>0.4294</v>
      </c>
      <c r="J354" s="931">
        <v>0.4294</v>
      </c>
      <c r="K354" s="931">
        <v>0.4294</v>
      </c>
      <c r="L354" s="931">
        <v>0.4294</v>
      </c>
      <c r="M354" s="931">
        <v>0.4294</v>
      </c>
    </row>
    <row r="355" spans="1:13">
      <c r="A355" s="938">
        <v>8.6</v>
      </c>
      <c r="B355" s="931">
        <v>0.68120000000000003</v>
      </c>
      <c r="C355" s="931">
        <v>0.68120000000000003</v>
      </c>
      <c r="D355" s="931">
        <v>0.62539999999999996</v>
      </c>
      <c r="E355" s="931">
        <v>0.62539999999999996</v>
      </c>
      <c r="F355" s="931">
        <v>0.62539999999999996</v>
      </c>
      <c r="G355" s="931">
        <v>0.50690000000000002</v>
      </c>
      <c r="H355" s="931">
        <v>0.50690000000000002</v>
      </c>
      <c r="I355" s="931">
        <v>0.4274</v>
      </c>
      <c r="J355" s="931">
        <v>0.4274</v>
      </c>
      <c r="K355" s="931">
        <v>0.4274</v>
      </c>
      <c r="L355" s="931">
        <v>0.4274</v>
      </c>
      <c r="M355" s="931">
        <v>0.4274</v>
      </c>
    </row>
    <row r="356" spans="1:13">
      <c r="A356" s="938">
        <v>8.6999999999999993</v>
      </c>
      <c r="B356" s="931">
        <v>0.67989999999999995</v>
      </c>
      <c r="C356" s="931">
        <v>0.67989999999999995</v>
      </c>
      <c r="D356" s="931">
        <v>0.62370000000000003</v>
      </c>
      <c r="E356" s="931">
        <v>0.62370000000000003</v>
      </c>
      <c r="F356" s="931">
        <v>0.62370000000000003</v>
      </c>
      <c r="G356" s="931">
        <v>0.505</v>
      </c>
      <c r="H356" s="931">
        <v>0.505</v>
      </c>
      <c r="I356" s="931">
        <v>0.4254</v>
      </c>
      <c r="J356" s="931">
        <v>0.4254</v>
      </c>
      <c r="K356" s="931">
        <v>0.4254</v>
      </c>
      <c r="L356" s="931">
        <v>0.4254</v>
      </c>
      <c r="M356" s="931">
        <v>0.4254</v>
      </c>
    </row>
    <row r="357" spans="1:13">
      <c r="A357" s="938">
        <v>8.8000000000000007</v>
      </c>
      <c r="B357" s="931">
        <v>0.67859999999999998</v>
      </c>
      <c r="C357" s="931">
        <v>0.67859999999999998</v>
      </c>
      <c r="D357" s="931">
        <v>0.622</v>
      </c>
      <c r="E357" s="931">
        <v>0.622</v>
      </c>
      <c r="F357" s="931">
        <v>0.622</v>
      </c>
      <c r="G357" s="931">
        <v>0.50309999999999999</v>
      </c>
      <c r="H357" s="931">
        <v>0.50309999999999999</v>
      </c>
      <c r="I357" s="931">
        <v>0.4234</v>
      </c>
      <c r="J357" s="931">
        <v>0.4234</v>
      </c>
      <c r="K357" s="931">
        <v>0.4234</v>
      </c>
      <c r="L357" s="931">
        <v>0.4234</v>
      </c>
      <c r="M357" s="931">
        <v>0.4234</v>
      </c>
    </row>
    <row r="358" spans="1:13">
      <c r="A358" s="938">
        <v>8.9</v>
      </c>
      <c r="B358" s="931">
        <v>0.67730000000000001</v>
      </c>
      <c r="C358" s="931">
        <v>0.67730000000000001</v>
      </c>
      <c r="D358" s="931">
        <v>0.62029999999999996</v>
      </c>
      <c r="E358" s="931">
        <v>0.62029999999999996</v>
      </c>
      <c r="F358" s="931">
        <v>0.62029999999999996</v>
      </c>
      <c r="G358" s="931">
        <v>0.50119999999999998</v>
      </c>
      <c r="H358" s="931">
        <v>0.50119999999999998</v>
      </c>
      <c r="I358" s="931">
        <v>0.42149999999999999</v>
      </c>
      <c r="J358" s="931">
        <v>0.42149999999999999</v>
      </c>
      <c r="K358" s="931">
        <v>0.42149999999999999</v>
      </c>
      <c r="L358" s="931">
        <v>0.42149999999999999</v>
      </c>
      <c r="M358" s="931">
        <v>0.42149999999999999</v>
      </c>
    </row>
    <row r="359" spans="1:13">
      <c r="A359" s="922">
        <v>9</v>
      </c>
      <c r="B359" s="931">
        <v>0.67600000000000005</v>
      </c>
      <c r="C359" s="931">
        <v>0.67600000000000005</v>
      </c>
      <c r="D359" s="931">
        <v>0.61870000000000003</v>
      </c>
      <c r="E359" s="931">
        <v>0.61870000000000003</v>
      </c>
      <c r="F359" s="931">
        <v>0.61870000000000003</v>
      </c>
      <c r="G359" s="931">
        <v>0.49930000000000002</v>
      </c>
      <c r="H359" s="931">
        <v>0.49930000000000002</v>
      </c>
      <c r="I359" s="931">
        <v>0.41949999999999998</v>
      </c>
      <c r="J359" s="931">
        <v>0.41949999999999998</v>
      </c>
      <c r="K359" s="931">
        <v>0.41949999999999998</v>
      </c>
      <c r="L359" s="931">
        <v>0.41949999999999998</v>
      </c>
      <c r="M359" s="931">
        <v>0.41949999999999998</v>
      </c>
    </row>
    <row r="360" spans="1:13">
      <c r="A360" s="922">
        <v>9.1</v>
      </c>
      <c r="B360" s="931">
        <v>0.67469999999999997</v>
      </c>
      <c r="C360" s="931">
        <v>0.67469999999999997</v>
      </c>
      <c r="D360" s="931">
        <v>0.61709999999999998</v>
      </c>
      <c r="E360" s="931">
        <v>0.61709999999999998</v>
      </c>
      <c r="F360" s="931">
        <v>0.61709999999999998</v>
      </c>
      <c r="G360" s="931">
        <v>0.49740000000000001</v>
      </c>
      <c r="H360" s="931">
        <v>0.49740000000000001</v>
      </c>
      <c r="I360" s="931">
        <v>0.41760000000000003</v>
      </c>
      <c r="J360" s="931">
        <v>0.41760000000000003</v>
      </c>
      <c r="K360" s="931">
        <v>0.41760000000000003</v>
      </c>
      <c r="L360" s="931">
        <v>0.41760000000000003</v>
      </c>
      <c r="M360" s="931">
        <v>0.41760000000000003</v>
      </c>
    </row>
    <row r="361" spans="1:13">
      <c r="A361" s="922">
        <v>9.1999999999999993</v>
      </c>
      <c r="B361" s="931">
        <v>0.6734</v>
      </c>
      <c r="C361" s="931">
        <v>0.6734</v>
      </c>
      <c r="D361" s="931">
        <v>0.61550000000000005</v>
      </c>
      <c r="E361" s="931">
        <v>0.61550000000000005</v>
      </c>
      <c r="F361" s="931">
        <v>0.61550000000000005</v>
      </c>
      <c r="G361" s="931">
        <v>0.49559999999999998</v>
      </c>
      <c r="H361" s="931">
        <v>0.49559999999999998</v>
      </c>
      <c r="I361" s="931">
        <v>0.41570000000000001</v>
      </c>
      <c r="J361" s="931">
        <v>0.41570000000000001</v>
      </c>
      <c r="K361" s="931">
        <v>0.41570000000000001</v>
      </c>
      <c r="L361" s="931">
        <v>0.41570000000000001</v>
      </c>
      <c r="M361" s="931">
        <v>0.41570000000000001</v>
      </c>
    </row>
    <row r="362" spans="1:13">
      <c r="A362" s="922">
        <v>9.3000000000000007</v>
      </c>
      <c r="B362" s="931">
        <v>0.67210000000000003</v>
      </c>
      <c r="C362" s="931">
        <v>0.67210000000000003</v>
      </c>
      <c r="D362" s="931">
        <v>0.6139</v>
      </c>
      <c r="E362" s="931">
        <v>0.6139</v>
      </c>
      <c r="F362" s="931">
        <v>0.6139</v>
      </c>
      <c r="G362" s="931">
        <v>0.49380000000000002</v>
      </c>
      <c r="H362" s="931">
        <v>0.49380000000000002</v>
      </c>
      <c r="I362" s="931">
        <v>0.4138</v>
      </c>
      <c r="J362" s="931">
        <v>0.4138</v>
      </c>
      <c r="K362" s="931">
        <v>0.4138</v>
      </c>
      <c r="L362" s="931">
        <v>0.4138</v>
      </c>
      <c r="M362" s="931">
        <v>0.4138</v>
      </c>
    </row>
    <row r="363" spans="1:13">
      <c r="A363" s="922">
        <v>9.4</v>
      </c>
      <c r="B363" s="931">
        <v>0.67079999999999995</v>
      </c>
      <c r="C363" s="931">
        <v>0.67079999999999995</v>
      </c>
      <c r="D363" s="931">
        <v>0.61229999999999996</v>
      </c>
      <c r="E363" s="931">
        <v>0.61229999999999996</v>
      </c>
      <c r="F363" s="931">
        <v>0.61229999999999996</v>
      </c>
      <c r="G363" s="931">
        <v>0.49199999999999999</v>
      </c>
      <c r="H363" s="931">
        <v>0.49199999999999999</v>
      </c>
      <c r="I363" s="931">
        <v>0.41189999999999999</v>
      </c>
      <c r="J363" s="931">
        <v>0.41189999999999999</v>
      </c>
      <c r="K363" s="931">
        <v>0.41189999999999999</v>
      </c>
      <c r="L363" s="931">
        <v>0.41189999999999999</v>
      </c>
      <c r="M363" s="931">
        <v>0.41189999999999999</v>
      </c>
    </row>
    <row r="364" spans="1:13">
      <c r="A364" s="922">
        <v>9.5</v>
      </c>
      <c r="B364" s="931">
        <v>0.66959999999999997</v>
      </c>
      <c r="C364" s="931">
        <v>0.66959999999999997</v>
      </c>
      <c r="D364" s="931">
        <v>0.61070000000000002</v>
      </c>
      <c r="E364" s="931">
        <v>0.61070000000000002</v>
      </c>
      <c r="F364" s="931">
        <v>0.61070000000000002</v>
      </c>
      <c r="G364" s="931">
        <v>0.49020000000000002</v>
      </c>
      <c r="H364" s="931">
        <v>0.49020000000000002</v>
      </c>
      <c r="I364" s="931">
        <v>0.41</v>
      </c>
      <c r="J364" s="931">
        <v>0.41</v>
      </c>
      <c r="K364" s="931">
        <v>0.41</v>
      </c>
      <c r="L364" s="931">
        <v>0.41</v>
      </c>
      <c r="M364" s="931">
        <v>0.41</v>
      </c>
    </row>
    <row r="365" spans="1:13">
      <c r="A365" s="938">
        <v>9.6</v>
      </c>
      <c r="B365" s="931">
        <v>0.66839999999999999</v>
      </c>
      <c r="C365" s="931">
        <v>0.66839999999999999</v>
      </c>
      <c r="D365" s="931">
        <v>0.60909999999999997</v>
      </c>
      <c r="E365" s="931">
        <v>0.60909999999999997</v>
      </c>
      <c r="F365" s="931">
        <v>0.60909999999999997</v>
      </c>
      <c r="G365" s="931">
        <v>0.4884</v>
      </c>
      <c r="H365" s="931">
        <v>0.4884</v>
      </c>
      <c r="I365" s="931">
        <v>0.40810000000000002</v>
      </c>
      <c r="J365" s="931">
        <v>0.40810000000000002</v>
      </c>
      <c r="K365" s="931">
        <v>0.40810000000000002</v>
      </c>
      <c r="L365" s="931">
        <v>0.40810000000000002</v>
      </c>
      <c r="M365" s="931">
        <v>0.40810000000000002</v>
      </c>
    </row>
    <row r="366" spans="1:13">
      <c r="A366" s="922">
        <v>9.6999999999999993</v>
      </c>
      <c r="B366" s="931">
        <v>0.66720000000000002</v>
      </c>
      <c r="C366" s="931">
        <v>0.66720000000000002</v>
      </c>
      <c r="D366" s="931">
        <v>0.60750000000000004</v>
      </c>
      <c r="E366" s="931">
        <v>0.60750000000000004</v>
      </c>
      <c r="F366" s="931">
        <v>0.60750000000000004</v>
      </c>
      <c r="G366" s="931">
        <v>0.48659999999999998</v>
      </c>
      <c r="H366" s="931">
        <v>0.48659999999999998</v>
      </c>
      <c r="I366" s="931">
        <v>0.40620000000000001</v>
      </c>
      <c r="J366" s="931">
        <v>0.40620000000000001</v>
      </c>
      <c r="K366" s="931">
        <v>0.40620000000000001</v>
      </c>
      <c r="L366" s="931">
        <v>0.40620000000000001</v>
      </c>
      <c r="M366" s="931">
        <v>0.40620000000000001</v>
      </c>
    </row>
    <row r="367" spans="1:13">
      <c r="A367" s="922">
        <v>9.8000000000000007</v>
      </c>
      <c r="B367" s="931">
        <v>0.66600000000000004</v>
      </c>
      <c r="C367" s="931">
        <v>0.66600000000000004</v>
      </c>
      <c r="D367" s="931">
        <v>0.60599999999999998</v>
      </c>
      <c r="E367" s="931">
        <v>0.60599999999999998</v>
      </c>
      <c r="F367" s="931">
        <v>0.60599999999999998</v>
      </c>
      <c r="G367" s="931">
        <v>0.48480000000000001</v>
      </c>
      <c r="H367" s="931">
        <v>0.48480000000000001</v>
      </c>
      <c r="I367" s="931">
        <v>0.40429999999999999</v>
      </c>
      <c r="J367" s="931">
        <v>0.40429999999999999</v>
      </c>
      <c r="K367" s="931">
        <v>0.40429999999999999</v>
      </c>
      <c r="L367" s="931">
        <v>0.40429999999999999</v>
      </c>
      <c r="M367" s="931">
        <v>0.40429999999999999</v>
      </c>
    </row>
    <row r="368" spans="1:13">
      <c r="A368" s="922">
        <v>9.9</v>
      </c>
      <c r="B368" s="931">
        <v>0.66479999999999995</v>
      </c>
      <c r="C368" s="931">
        <v>0.66479999999999995</v>
      </c>
      <c r="D368" s="931">
        <v>0.60450000000000004</v>
      </c>
      <c r="E368" s="931">
        <v>0.60450000000000004</v>
      </c>
      <c r="F368" s="931">
        <v>0.60450000000000004</v>
      </c>
      <c r="G368" s="931">
        <v>0.48299999999999998</v>
      </c>
      <c r="H368" s="931">
        <v>0.48299999999999998</v>
      </c>
      <c r="I368" s="931">
        <v>0.40239999999999998</v>
      </c>
      <c r="J368" s="931">
        <v>0.40239999999999998</v>
      </c>
      <c r="K368" s="931">
        <v>0.40239999999999998</v>
      </c>
      <c r="L368" s="931">
        <v>0.40239999999999998</v>
      </c>
      <c r="M368" s="931">
        <v>0.40239999999999998</v>
      </c>
    </row>
    <row r="369" spans="1:14" ht="14.25">
      <c r="A369" s="3085" t="s">
        <v>2777</v>
      </c>
      <c r="B369" s="931"/>
      <c r="C369" s="931"/>
      <c r="D369" s="931"/>
      <c r="E369" s="931"/>
      <c r="F369" s="931"/>
      <c r="G369" s="931"/>
      <c r="H369" s="931"/>
      <c r="I369" s="931"/>
      <c r="J369" s="931"/>
      <c r="K369" s="931"/>
      <c r="L369" s="931"/>
      <c r="M369" s="931"/>
    </row>
    <row r="370" spans="1:14">
      <c r="A370" s="922" t="s">
        <v>1550</v>
      </c>
      <c r="B370" s="931" t="s">
        <v>990</v>
      </c>
      <c r="C370" s="931" t="s">
        <v>1031</v>
      </c>
      <c r="D370" s="931" t="s">
        <v>1145</v>
      </c>
      <c r="E370" s="931" t="s">
        <v>853</v>
      </c>
      <c r="F370" s="931" t="s">
        <v>1152</v>
      </c>
      <c r="G370" s="931" t="s">
        <v>1153</v>
      </c>
      <c r="H370" s="931" t="s">
        <v>1154</v>
      </c>
      <c r="I370" s="931" t="s">
        <v>1155</v>
      </c>
      <c r="J370" s="931" t="s">
        <v>1156</v>
      </c>
      <c r="K370" s="931" t="s">
        <v>1157</v>
      </c>
      <c r="L370" s="931" t="s">
        <v>2760</v>
      </c>
      <c r="M370" s="931" t="s">
        <v>2761</v>
      </c>
      <c r="N370" s="921" t="e">
        <f>SUMPRODUCT((A371:A460=ROUNDDOWN([3]基准地价修正!G3,1))*(B370:M370=[3]基准地价修正!G2)*(B371:M460))</f>
        <v>#REF!</v>
      </c>
    </row>
    <row r="371" spans="1:14">
      <c r="A371" s="922">
        <v>1</v>
      </c>
      <c r="B371" s="931">
        <v>1.1839999999999999</v>
      </c>
      <c r="C371" s="931">
        <v>1.1839999999999999</v>
      </c>
      <c r="D371" s="931">
        <v>1.1565000000000001</v>
      </c>
      <c r="E371" s="931">
        <v>1.1565000000000001</v>
      </c>
      <c r="F371" s="931">
        <v>1.1565000000000001</v>
      </c>
      <c r="G371" s="931">
        <v>1.1565000000000001</v>
      </c>
      <c r="H371" s="931">
        <v>1.1565000000000001</v>
      </c>
      <c r="I371" s="931">
        <v>1.1198999999999999</v>
      </c>
      <c r="J371" s="931">
        <v>1.1198999999999999</v>
      </c>
      <c r="K371" s="931">
        <v>1.1198999999999999</v>
      </c>
      <c r="L371" s="931">
        <v>1.1198999999999999</v>
      </c>
      <c r="M371" s="931">
        <v>1.1198999999999999</v>
      </c>
    </row>
    <row r="372" spans="1:14">
      <c r="A372" s="922">
        <v>1.1000000000000001</v>
      </c>
      <c r="B372" s="931">
        <v>1.1658999999999999</v>
      </c>
      <c r="C372" s="931">
        <v>1.1658999999999999</v>
      </c>
      <c r="D372" s="931">
        <v>1.1364000000000001</v>
      </c>
      <c r="E372" s="931">
        <v>1.1364000000000001</v>
      </c>
      <c r="F372" s="931">
        <v>1.1364000000000001</v>
      </c>
      <c r="G372" s="931">
        <v>1.1364000000000001</v>
      </c>
      <c r="H372" s="931">
        <v>1.1364000000000001</v>
      </c>
      <c r="I372" s="931">
        <v>1.0931</v>
      </c>
      <c r="J372" s="931">
        <v>1.0931</v>
      </c>
      <c r="K372" s="931">
        <v>1.0931</v>
      </c>
      <c r="L372" s="931">
        <v>1.0931</v>
      </c>
      <c r="M372" s="931">
        <v>1.0931</v>
      </c>
    </row>
    <row r="373" spans="1:14">
      <c r="A373" s="922">
        <v>1.2</v>
      </c>
      <c r="B373" s="931">
        <v>1.1489</v>
      </c>
      <c r="C373" s="931">
        <v>1.1489</v>
      </c>
      <c r="D373" s="931">
        <v>1.1174999999999999</v>
      </c>
      <c r="E373" s="931">
        <v>1.1174999999999999</v>
      </c>
      <c r="F373" s="931">
        <v>1.1174999999999999</v>
      </c>
      <c r="G373" s="931">
        <v>1.1174999999999999</v>
      </c>
      <c r="H373" s="931">
        <v>1.1174999999999999</v>
      </c>
      <c r="I373" s="931">
        <v>1.0678000000000001</v>
      </c>
      <c r="J373" s="931">
        <v>1.0678000000000001</v>
      </c>
      <c r="K373" s="931">
        <v>1.0678000000000001</v>
      </c>
      <c r="L373" s="931">
        <v>1.0678000000000001</v>
      </c>
      <c r="M373" s="931">
        <v>1.0678000000000001</v>
      </c>
    </row>
    <row r="374" spans="1:14">
      <c r="A374" s="922">
        <v>1.3</v>
      </c>
      <c r="B374" s="931">
        <v>1.1328</v>
      </c>
      <c r="C374" s="931">
        <v>1.1328</v>
      </c>
      <c r="D374" s="931">
        <v>1.0995999999999999</v>
      </c>
      <c r="E374" s="931">
        <v>1.0995999999999999</v>
      </c>
      <c r="F374" s="931">
        <v>1.0995999999999999</v>
      </c>
      <c r="G374" s="931">
        <v>1.0995999999999999</v>
      </c>
      <c r="H374" s="931">
        <v>1.0995999999999999</v>
      </c>
      <c r="I374" s="931">
        <v>1.044</v>
      </c>
      <c r="J374" s="931">
        <v>1.044</v>
      </c>
      <c r="K374" s="931">
        <v>1.044</v>
      </c>
      <c r="L374" s="931">
        <v>1.044</v>
      </c>
      <c r="M374" s="931">
        <v>1.044</v>
      </c>
    </row>
    <row r="375" spans="1:14">
      <c r="A375" s="922">
        <v>1.4</v>
      </c>
      <c r="B375" s="931">
        <v>1.1175999999999999</v>
      </c>
      <c r="C375" s="931">
        <v>1.1175999999999999</v>
      </c>
      <c r="D375" s="931">
        <v>1.0827</v>
      </c>
      <c r="E375" s="931">
        <v>1.0827</v>
      </c>
      <c r="F375" s="931">
        <v>1.0827</v>
      </c>
      <c r="G375" s="931">
        <v>1.0827</v>
      </c>
      <c r="H375" s="931">
        <v>1.0827</v>
      </c>
      <c r="I375" s="931">
        <v>1.0214000000000001</v>
      </c>
      <c r="J375" s="931">
        <v>1.0214000000000001</v>
      </c>
      <c r="K375" s="931">
        <v>1.0214000000000001</v>
      </c>
      <c r="L375" s="931">
        <v>1.0214000000000001</v>
      </c>
      <c r="M375" s="931">
        <v>1.0214000000000001</v>
      </c>
    </row>
    <row r="376" spans="1:14">
      <c r="A376" s="922">
        <v>1.5</v>
      </c>
      <c r="B376" s="931">
        <v>1.1032999999999999</v>
      </c>
      <c r="C376" s="931">
        <v>1.1032999999999999</v>
      </c>
      <c r="D376" s="931">
        <v>1.0668</v>
      </c>
      <c r="E376" s="931">
        <v>1.0668</v>
      </c>
      <c r="F376" s="931">
        <v>1.0668</v>
      </c>
      <c r="G376" s="931">
        <v>1.0668</v>
      </c>
      <c r="H376" s="931">
        <v>1.0668</v>
      </c>
      <c r="I376" s="931">
        <v>1</v>
      </c>
      <c r="J376" s="931">
        <v>1</v>
      </c>
      <c r="K376" s="931">
        <v>1</v>
      </c>
      <c r="L376" s="931">
        <v>1</v>
      </c>
      <c r="M376" s="931">
        <v>1</v>
      </c>
    </row>
    <row r="377" spans="1:14">
      <c r="A377" s="922">
        <v>1.6</v>
      </c>
      <c r="B377" s="931">
        <v>1.0899000000000001</v>
      </c>
      <c r="C377" s="931">
        <v>1.0899000000000001</v>
      </c>
      <c r="D377" s="931">
        <v>1.0517000000000001</v>
      </c>
      <c r="E377" s="931">
        <v>1.0517000000000001</v>
      </c>
      <c r="F377" s="931">
        <v>1.0517000000000001</v>
      </c>
      <c r="G377" s="931">
        <v>1.0517000000000001</v>
      </c>
      <c r="H377" s="931">
        <v>1.0517000000000001</v>
      </c>
      <c r="I377" s="931">
        <v>0.97989999999999999</v>
      </c>
      <c r="J377" s="931">
        <v>0.97989999999999999</v>
      </c>
      <c r="K377" s="931">
        <v>0.97989999999999999</v>
      </c>
      <c r="L377" s="931">
        <v>0.97989999999999999</v>
      </c>
      <c r="M377" s="931">
        <v>0.97989999999999999</v>
      </c>
    </row>
    <row r="378" spans="1:14">
      <c r="A378" s="922">
        <v>1.7</v>
      </c>
      <c r="B378" s="931">
        <v>1.0771999999999999</v>
      </c>
      <c r="C378" s="931">
        <v>1.0771999999999999</v>
      </c>
      <c r="D378" s="931">
        <v>1.0376000000000001</v>
      </c>
      <c r="E378" s="931">
        <v>1.0376000000000001</v>
      </c>
      <c r="F378" s="931">
        <v>1.0376000000000001</v>
      </c>
      <c r="G378" s="931">
        <v>1.0376000000000001</v>
      </c>
      <c r="H378" s="931">
        <v>1.0376000000000001</v>
      </c>
      <c r="I378" s="931">
        <v>0.96089999999999998</v>
      </c>
      <c r="J378" s="931">
        <v>0.96089999999999998</v>
      </c>
      <c r="K378" s="931">
        <v>0.96089999999999998</v>
      </c>
      <c r="L378" s="931">
        <v>0.96089999999999998</v>
      </c>
      <c r="M378" s="931">
        <v>0.96089999999999998</v>
      </c>
    </row>
    <row r="379" spans="1:14">
      <c r="A379" s="922">
        <v>1.8</v>
      </c>
      <c r="B379" s="931">
        <v>1.0652999999999999</v>
      </c>
      <c r="C379" s="931">
        <v>1.0652999999999999</v>
      </c>
      <c r="D379" s="931">
        <v>1.0243</v>
      </c>
      <c r="E379" s="931">
        <v>1.0243</v>
      </c>
      <c r="F379" s="931">
        <v>1.0243</v>
      </c>
      <c r="G379" s="931">
        <v>1.0243</v>
      </c>
      <c r="H379" s="931">
        <v>1.0243</v>
      </c>
      <c r="I379" s="931">
        <v>0.94299999999999995</v>
      </c>
      <c r="J379" s="931">
        <v>0.94299999999999995</v>
      </c>
      <c r="K379" s="931">
        <v>0.94299999999999995</v>
      </c>
      <c r="L379" s="931">
        <v>0.94299999999999995</v>
      </c>
      <c r="M379" s="931">
        <v>0.94299999999999995</v>
      </c>
    </row>
    <row r="380" spans="1:14">
      <c r="A380" s="922">
        <v>1.9</v>
      </c>
      <c r="B380" s="931">
        <v>1.054</v>
      </c>
      <c r="C380" s="931">
        <v>1.054</v>
      </c>
      <c r="D380" s="931">
        <v>1.0118</v>
      </c>
      <c r="E380" s="931">
        <v>1.0118</v>
      </c>
      <c r="F380" s="931">
        <v>1.0118</v>
      </c>
      <c r="G380" s="931">
        <v>1.0118</v>
      </c>
      <c r="H380" s="931">
        <v>1.0118</v>
      </c>
      <c r="I380" s="931">
        <v>0.92620000000000002</v>
      </c>
      <c r="J380" s="931">
        <v>0.92620000000000002</v>
      </c>
      <c r="K380" s="931">
        <v>0.92620000000000002</v>
      </c>
      <c r="L380" s="931">
        <v>0.92620000000000002</v>
      </c>
      <c r="M380" s="931">
        <v>0.92620000000000002</v>
      </c>
    </row>
    <row r="381" spans="1:14">
      <c r="A381" s="922">
        <v>2</v>
      </c>
      <c r="B381" s="931">
        <v>1.0435000000000001</v>
      </c>
      <c r="C381" s="931">
        <v>1.0435000000000001</v>
      </c>
      <c r="D381" s="931">
        <v>1</v>
      </c>
      <c r="E381" s="931">
        <v>1</v>
      </c>
      <c r="F381" s="931">
        <v>1</v>
      </c>
      <c r="G381" s="931">
        <v>1</v>
      </c>
      <c r="H381" s="931">
        <v>1</v>
      </c>
      <c r="I381" s="931">
        <v>0.9103</v>
      </c>
      <c r="J381" s="931">
        <v>0.9103</v>
      </c>
      <c r="K381" s="931">
        <v>0.9103</v>
      </c>
      <c r="L381" s="931">
        <v>0.9103</v>
      </c>
      <c r="M381" s="931">
        <v>0.9103</v>
      </c>
    </row>
    <row r="382" spans="1:14">
      <c r="A382" s="922">
        <v>2.1</v>
      </c>
      <c r="B382" s="931">
        <v>1.0336000000000001</v>
      </c>
      <c r="C382" s="931">
        <v>1.0336000000000001</v>
      </c>
      <c r="D382" s="931">
        <v>0.98899999999999999</v>
      </c>
      <c r="E382" s="931">
        <v>0.98899999999999999</v>
      </c>
      <c r="F382" s="931">
        <v>0.98899999999999999</v>
      </c>
      <c r="G382" s="931">
        <v>0.98899999999999999</v>
      </c>
      <c r="H382" s="931">
        <v>0.98899999999999999</v>
      </c>
      <c r="I382" s="931">
        <v>0.89539999999999997</v>
      </c>
      <c r="J382" s="931">
        <v>0.89539999999999997</v>
      </c>
      <c r="K382" s="931">
        <v>0.89539999999999997</v>
      </c>
      <c r="L382" s="931">
        <v>0.89539999999999997</v>
      </c>
      <c r="M382" s="931">
        <v>0.89539999999999997</v>
      </c>
    </row>
    <row r="383" spans="1:14">
      <c r="A383" s="922">
        <v>2.2000000000000002</v>
      </c>
      <c r="B383" s="931">
        <v>1.0243</v>
      </c>
      <c r="C383" s="931">
        <v>1.0243</v>
      </c>
      <c r="D383" s="931">
        <v>0.97860000000000003</v>
      </c>
      <c r="E383" s="931">
        <v>0.97860000000000003</v>
      </c>
      <c r="F383" s="931">
        <v>0.97860000000000003</v>
      </c>
      <c r="G383" s="931">
        <v>0.97860000000000003</v>
      </c>
      <c r="H383" s="931">
        <v>0.97860000000000003</v>
      </c>
      <c r="I383" s="931">
        <v>0.88139999999999996</v>
      </c>
      <c r="J383" s="931">
        <v>0.88139999999999996</v>
      </c>
      <c r="K383" s="931">
        <v>0.88139999999999996</v>
      </c>
      <c r="L383" s="931">
        <v>0.88139999999999996</v>
      </c>
      <c r="M383" s="931">
        <v>0.88139999999999996</v>
      </c>
    </row>
    <row r="384" spans="1:14">
      <c r="A384" s="922">
        <v>2.2999999999999998</v>
      </c>
      <c r="B384" s="931">
        <v>1.0157</v>
      </c>
      <c r="C384" s="931">
        <v>1.0157</v>
      </c>
      <c r="D384" s="931">
        <v>0.96889999999999998</v>
      </c>
      <c r="E384" s="931">
        <v>0.96889999999999998</v>
      </c>
      <c r="F384" s="931">
        <v>0.96889999999999998</v>
      </c>
      <c r="G384" s="931">
        <v>0.96889999999999998</v>
      </c>
      <c r="H384" s="931">
        <v>0.96889999999999998</v>
      </c>
      <c r="I384" s="931">
        <v>0.86819999999999997</v>
      </c>
      <c r="J384" s="931">
        <v>0.86819999999999997</v>
      </c>
      <c r="K384" s="931">
        <v>0.86819999999999997</v>
      </c>
      <c r="L384" s="931">
        <v>0.86819999999999997</v>
      </c>
      <c r="M384" s="931">
        <v>0.86819999999999997</v>
      </c>
    </row>
    <row r="385" spans="1:13">
      <c r="A385" s="922">
        <v>2.4</v>
      </c>
      <c r="B385" s="931">
        <v>1.0076000000000001</v>
      </c>
      <c r="C385" s="931">
        <v>1.0076000000000001</v>
      </c>
      <c r="D385" s="931">
        <v>0.95979999999999999</v>
      </c>
      <c r="E385" s="931">
        <v>0.95979999999999999</v>
      </c>
      <c r="F385" s="931">
        <v>0.95979999999999999</v>
      </c>
      <c r="G385" s="931">
        <v>0.95979999999999999</v>
      </c>
      <c r="H385" s="931">
        <v>0.95979999999999999</v>
      </c>
      <c r="I385" s="931">
        <v>0.85580000000000001</v>
      </c>
      <c r="J385" s="931">
        <v>0.85580000000000001</v>
      </c>
      <c r="K385" s="931">
        <v>0.85580000000000001</v>
      </c>
      <c r="L385" s="931">
        <v>0.85580000000000001</v>
      </c>
      <c r="M385" s="931">
        <v>0.85580000000000001</v>
      </c>
    </row>
    <row r="386" spans="1:13">
      <c r="A386" s="922">
        <v>2.5</v>
      </c>
      <c r="B386" s="931">
        <v>1</v>
      </c>
      <c r="C386" s="931">
        <v>1</v>
      </c>
      <c r="D386" s="931">
        <v>0.95120000000000005</v>
      </c>
      <c r="E386" s="931">
        <v>0.95120000000000005</v>
      </c>
      <c r="F386" s="931">
        <v>0.95120000000000005</v>
      </c>
      <c r="G386" s="931">
        <v>0.95120000000000005</v>
      </c>
      <c r="H386" s="931">
        <v>0.95120000000000005</v>
      </c>
      <c r="I386" s="931">
        <v>0.84419999999999995</v>
      </c>
      <c r="J386" s="931">
        <v>0.84419999999999995</v>
      </c>
      <c r="K386" s="931">
        <v>0.84419999999999995</v>
      </c>
      <c r="L386" s="931">
        <v>0.84419999999999995</v>
      </c>
      <c r="M386" s="931">
        <v>0.84419999999999995</v>
      </c>
    </row>
    <row r="387" spans="1:13">
      <c r="A387" s="922">
        <v>2.6</v>
      </c>
      <c r="B387" s="931">
        <v>0.9929</v>
      </c>
      <c r="C387" s="931">
        <v>0.9929</v>
      </c>
      <c r="D387" s="931">
        <v>0.94320000000000004</v>
      </c>
      <c r="E387" s="931">
        <v>0.94320000000000004</v>
      </c>
      <c r="F387" s="931">
        <v>0.94320000000000004</v>
      </c>
      <c r="G387" s="931">
        <v>0.94320000000000004</v>
      </c>
      <c r="H387" s="931">
        <v>0.94320000000000004</v>
      </c>
      <c r="I387" s="931">
        <v>0.83330000000000004</v>
      </c>
      <c r="J387" s="931">
        <v>0.83330000000000004</v>
      </c>
      <c r="K387" s="931">
        <v>0.83330000000000004</v>
      </c>
      <c r="L387" s="931">
        <v>0.83330000000000004</v>
      </c>
      <c r="M387" s="931">
        <v>0.83330000000000004</v>
      </c>
    </row>
    <row r="388" spans="1:13">
      <c r="A388" s="922">
        <v>2.7</v>
      </c>
      <c r="B388" s="931">
        <v>0.98629999999999995</v>
      </c>
      <c r="C388" s="931">
        <v>0.98629999999999995</v>
      </c>
      <c r="D388" s="931">
        <v>0.93569999999999998</v>
      </c>
      <c r="E388" s="931">
        <v>0.93569999999999998</v>
      </c>
      <c r="F388" s="931">
        <v>0.93569999999999998</v>
      </c>
      <c r="G388" s="931">
        <v>0.93569999999999998</v>
      </c>
      <c r="H388" s="931">
        <v>0.93569999999999998</v>
      </c>
      <c r="I388" s="931">
        <v>0.82320000000000004</v>
      </c>
      <c r="J388" s="931">
        <v>0.82320000000000004</v>
      </c>
      <c r="K388" s="931">
        <v>0.82320000000000004</v>
      </c>
      <c r="L388" s="931">
        <v>0.82320000000000004</v>
      </c>
      <c r="M388" s="931">
        <v>0.82320000000000004</v>
      </c>
    </row>
    <row r="389" spans="1:13">
      <c r="A389" s="922">
        <v>2.8</v>
      </c>
      <c r="B389" s="931">
        <v>0.98009999999999997</v>
      </c>
      <c r="C389" s="931">
        <v>0.98009999999999997</v>
      </c>
      <c r="D389" s="931">
        <v>0.92879999999999996</v>
      </c>
      <c r="E389" s="931">
        <v>0.92879999999999996</v>
      </c>
      <c r="F389" s="931">
        <v>0.92879999999999996</v>
      </c>
      <c r="G389" s="931">
        <v>0.92879999999999996</v>
      </c>
      <c r="H389" s="931">
        <v>0.92879999999999996</v>
      </c>
      <c r="I389" s="931">
        <v>0.81359999999999999</v>
      </c>
      <c r="J389" s="931">
        <v>0.81359999999999999</v>
      </c>
      <c r="K389" s="931">
        <v>0.81359999999999999</v>
      </c>
      <c r="L389" s="931">
        <v>0.81359999999999999</v>
      </c>
      <c r="M389" s="931">
        <v>0.81359999999999999</v>
      </c>
    </row>
    <row r="390" spans="1:13">
      <c r="A390" s="922">
        <v>2.9</v>
      </c>
      <c r="B390" s="931">
        <v>0.97430000000000005</v>
      </c>
      <c r="C390" s="931">
        <v>0.97430000000000005</v>
      </c>
      <c r="D390" s="931">
        <v>0.92220000000000002</v>
      </c>
      <c r="E390" s="931">
        <v>0.92220000000000002</v>
      </c>
      <c r="F390" s="931">
        <v>0.92220000000000002</v>
      </c>
      <c r="G390" s="931">
        <v>0.92220000000000002</v>
      </c>
      <c r="H390" s="931">
        <v>0.92220000000000002</v>
      </c>
      <c r="I390" s="931">
        <v>0.80459999999999998</v>
      </c>
      <c r="J390" s="931">
        <v>0.80459999999999998</v>
      </c>
      <c r="K390" s="931">
        <v>0.80459999999999998</v>
      </c>
      <c r="L390" s="931">
        <v>0.80459999999999998</v>
      </c>
      <c r="M390" s="931">
        <v>0.80459999999999998</v>
      </c>
    </row>
    <row r="391" spans="1:13">
      <c r="A391" s="922">
        <v>3</v>
      </c>
      <c r="B391" s="931">
        <v>0.96889999999999998</v>
      </c>
      <c r="C391" s="931">
        <v>0.96889999999999998</v>
      </c>
      <c r="D391" s="931">
        <v>0.91610000000000003</v>
      </c>
      <c r="E391" s="931">
        <v>0.91610000000000003</v>
      </c>
      <c r="F391" s="931">
        <v>0.91610000000000003</v>
      </c>
      <c r="G391" s="931">
        <v>0.91610000000000003</v>
      </c>
      <c r="H391" s="931">
        <v>0.91610000000000003</v>
      </c>
      <c r="I391" s="931">
        <v>0.79620000000000002</v>
      </c>
      <c r="J391" s="931">
        <v>0.79620000000000002</v>
      </c>
      <c r="K391" s="931">
        <v>0.79620000000000002</v>
      </c>
      <c r="L391" s="931">
        <v>0.79620000000000002</v>
      </c>
      <c r="M391" s="931">
        <v>0.79620000000000002</v>
      </c>
    </row>
    <row r="392" spans="1:13">
      <c r="A392" s="922">
        <v>3.1</v>
      </c>
      <c r="B392" s="931">
        <v>0.96389999999999998</v>
      </c>
      <c r="C392" s="931">
        <v>0.96389999999999998</v>
      </c>
      <c r="D392" s="931">
        <v>0.91039999999999999</v>
      </c>
      <c r="E392" s="931">
        <v>0.91039999999999999</v>
      </c>
      <c r="F392" s="931">
        <v>0.91039999999999999</v>
      </c>
      <c r="G392" s="931">
        <v>0.91039999999999999</v>
      </c>
      <c r="H392" s="931">
        <v>0.91039999999999999</v>
      </c>
      <c r="I392" s="931">
        <v>0.7883</v>
      </c>
      <c r="J392" s="931">
        <v>0.7883</v>
      </c>
      <c r="K392" s="931">
        <v>0.7883</v>
      </c>
      <c r="L392" s="931">
        <v>0.7883</v>
      </c>
      <c r="M392" s="931">
        <v>0.7883</v>
      </c>
    </row>
    <row r="393" spans="1:13">
      <c r="A393" s="922">
        <v>3.2</v>
      </c>
      <c r="B393" s="931">
        <v>0.95930000000000004</v>
      </c>
      <c r="C393" s="931">
        <v>0.95930000000000004</v>
      </c>
      <c r="D393" s="931">
        <v>0.9052</v>
      </c>
      <c r="E393" s="931">
        <v>0.9052</v>
      </c>
      <c r="F393" s="931">
        <v>0.9052</v>
      </c>
      <c r="G393" s="931">
        <v>0.9052</v>
      </c>
      <c r="H393" s="931">
        <v>0.9052</v>
      </c>
      <c r="I393" s="931">
        <v>0.78090000000000004</v>
      </c>
      <c r="J393" s="931">
        <v>0.78090000000000004</v>
      </c>
      <c r="K393" s="931">
        <v>0.78090000000000004</v>
      </c>
      <c r="L393" s="931">
        <v>0.78090000000000004</v>
      </c>
      <c r="M393" s="931">
        <v>0.78090000000000004</v>
      </c>
    </row>
    <row r="394" spans="1:13">
      <c r="A394" s="922">
        <v>3.3</v>
      </c>
      <c r="B394" s="931">
        <v>0.95489999999999997</v>
      </c>
      <c r="C394" s="931">
        <v>0.95489999999999997</v>
      </c>
      <c r="D394" s="931">
        <v>0.9002</v>
      </c>
      <c r="E394" s="931">
        <v>0.9002</v>
      </c>
      <c r="F394" s="931">
        <v>0.9002</v>
      </c>
      <c r="G394" s="931">
        <v>0.9002</v>
      </c>
      <c r="H394" s="931">
        <v>0.9002</v>
      </c>
      <c r="I394" s="931">
        <v>0.77410000000000001</v>
      </c>
      <c r="J394" s="931">
        <v>0.77410000000000001</v>
      </c>
      <c r="K394" s="931">
        <v>0.77410000000000001</v>
      </c>
      <c r="L394" s="931">
        <v>0.77410000000000001</v>
      </c>
      <c r="M394" s="931">
        <v>0.77410000000000001</v>
      </c>
    </row>
    <row r="395" spans="1:13">
      <c r="A395" s="922">
        <v>3.4</v>
      </c>
      <c r="B395" s="931">
        <v>0.95089999999999997</v>
      </c>
      <c r="C395" s="931">
        <v>0.95089999999999997</v>
      </c>
      <c r="D395" s="931">
        <v>0.89559999999999995</v>
      </c>
      <c r="E395" s="931">
        <v>0.89559999999999995</v>
      </c>
      <c r="F395" s="931">
        <v>0.89559999999999995</v>
      </c>
      <c r="G395" s="931">
        <v>0.89559999999999995</v>
      </c>
      <c r="H395" s="931">
        <v>0.89559999999999995</v>
      </c>
      <c r="I395" s="931">
        <v>0.76759999999999995</v>
      </c>
      <c r="J395" s="931">
        <v>0.76759999999999995</v>
      </c>
      <c r="K395" s="931">
        <v>0.76759999999999995</v>
      </c>
      <c r="L395" s="931">
        <v>0.76759999999999995</v>
      </c>
      <c r="M395" s="931">
        <v>0.76759999999999995</v>
      </c>
    </row>
    <row r="396" spans="1:13">
      <c r="A396" s="922">
        <v>3.5</v>
      </c>
      <c r="B396" s="931">
        <v>0.94710000000000005</v>
      </c>
      <c r="C396" s="931">
        <v>0.94710000000000005</v>
      </c>
      <c r="D396" s="931">
        <v>0.89129999999999998</v>
      </c>
      <c r="E396" s="931">
        <v>0.89129999999999998</v>
      </c>
      <c r="F396" s="931">
        <v>0.89129999999999998</v>
      </c>
      <c r="G396" s="931">
        <v>0.89129999999999998</v>
      </c>
      <c r="H396" s="931">
        <v>0.89129999999999998</v>
      </c>
      <c r="I396" s="931">
        <v>0.76160000000000005</v>
      </c>
      <c r="J396" s="931">
        <v>0.76160000000000005</v>
      </c>
      <c r="K396" s="931">
        <v>0.76160000000000005</v>
      </c>
      <c r="L396" s="931">
        <v>0.76160000000000005</v>
      </c>
      <c r="M396" s="931">
        <v>0.76160000000000005</v>
      </c>
    </row>
    <row r="397" spans="1:13">
      <c r="A397" s="922">
        <v>3.6</v>
      </c>
      <c r="B397" s="931">
        <v>0.94359999999999999</v>
      </c>
      <c r="C397" s="931">
        <v>0.94359999999999999</v>
      </c>
      <c r="D397" s="931">
        <v>0.88729999999999998</v>
      </c>
      <c r="E397" s="931">
        <v>0.88729999999999998</v>
      </c>
      <c r="F397" s="931">
        <v>0.88729999999999998</v>
      </c>
      <c r="G397" s="931">
        <v>0.88729999999999998</v>
      </c>
      <c r="H397" s="931">
        <v>0.88729999999999998</v>
      </c>
      <c r="I397" s="931">
        <v>0.75590000000000002</v>
      </c>
      <c r="J397" s="931">
        <v>0.75590000000000002</v>
      </c>
      <c r="K397" s="931">
        <v>0.75590000000000002</v>
      </c>
      <c r="L397" s="931">
        <v>0.75590000000000002</v>
      </c>
      <c r="M397" s="931">
        <v>0.75590000000000002</v>
      </c>
    </row>
    <row r="398" spans="1:13">
      <c r="A398" s="938">
        <v>3.7</v>
      </c>
      <c r="B398" s="931">
        <v>0.94040000000000001</v>
      </c>
      <c r="C398" s="931">
        <v>0.94040000000000001</v>
      </c>
      <c r="D398" s="931">
        <v>0.88349999999999995</v>
      </c>
      <c r="E398" s="931">
        <v>0.88349999999999995</v>
      </c>
      <c r="F398" s="931">
        <v>0.88349999999999995</v>
      </c>
      <c r="G398" s="931">
        <v>0.88349999999999995</v>
      </c>
      <c r="H398" s="931">
        <v>0.88349999999999995</v>
      </c>
      <c r="I398" s="931">
        <v>0.75070000000000003</v>
      </c>
      <c r="J398" s="931">
        <v>0.75070000000000003</v>
      </c>
      <c r="K398" s="931">
        <v>0.75070000000000003</v>
      </c>
      <c r="L398" s="931">
        <v>0.75070000000000003</v>
      </c>
      <c r="M398" s="931">
        <v>0.75070000000000003</v>
      </c>
    </row>
    <row r="399" spans="1:13">
      <c r="A399" s="938">
        <v>3.8</v>
      </c>
      <c r="B399" s="931">
        <v>0.93740000000000001</v>
      </c>
      <c r="C399" s="931">
        <v>0.93740000000000001</v>
      </c>
      <c r="D399" s="931">
        <v>0.88009999999999999</v>
      </c>
      <c r="E399" s="931">
        <v>0.88009999999999999</v>
      </c>
      <c r="F399" s="931">
        <v>0.88009999999999999</v>
      </c>
      <c r="G399" s="931">
        <v>0.88009999999999999</v>
      </c>
      <c r="H399" s="931">
        <v>0.88009999999999999</v>
      </c>
      <c r="I399" s="931">
        <v>0.74570000000000003</v>
      </c>
      <c r="J399" s="931">
        <v>0.74570000000000003</v>
      </c>
      <c r="K399" s="931">
        <v>0.74570000000000003</v>
      </c>
      <c r="L399" s="931">
        <v>0.74570000000000003</v>
      </c>
      <c r="M399" s="931">
        <v>0.74570000000000003</v>
      </c>
    </row>
    <row r="400" spans="1:13">
      <c r="A400" s="938">
        <v>3.9</v>
      </c>
      <c r="B400" s="931">
        <v>0.93459999999999999</v>
      </c>
      <c r="C400" s="931">
        <v>0.93459999999999999</v>
      </c>
      <c r="D400" s="931">
        <v>0.87680000000000002</v>
      </c>
      <c r="E400" s="931">
        <v>0.87680000000000002</v>
      </c>
      <c r="F400" s="931">
        <v>0.87680000000000002</v>
      </c>
      <c r="G400" s="931">
        <v>0.87680000000000002</v>
      </c>
      <c r="H400" s="931">
        <v>0.87680000000000002</v>
      </c>
      <c r="I400" s="931">
        <v>0.74109999999999998</v>
      </c>
      <c r="J400" s="931">
        <v>0.74109999999999998</v>
      </c>
      <c r="K400" s="931">
        <v>0.74109999999999998</v>
      </c>
      <c r="L400" s="931">
        <v>0.74109999999999998</v>
      </c>
      <c r="M400" s="931">
        <v>0.74109999999999998</v>
      </c>
    </row>
    <row r="401" spans="1:13">
      <c r="A401" s="938">
        <v>4</v>
      </c>
      <c r="B401" s="931">
        <v>0.93179999999999996</v>
      </c>
      <c r="C401" s="931">
        <v>0.93179999999999996</v>
      </c>
      <c r="D401" s="931">
        <v>0.87380000000000002</v>
      </c>
      <c r="E401" s="931">
        <v>0.87380000000000002</v>
      </c>
      <c r="F401" s="931">
        <v>0.87380000000000002</v>
      </c>
      <c r="G401" s="931">
        <v>0.87380000000000002</v>
      </c>
      <c r="H401" s="931">
        <v>0.87380000000000002</v>
      </c>
      <c r="I401" s="931">
        <v>0.73680000000000001</v>
      </c>
      <c r="J401" s="931">
        <v>0.73680000000000001</v>
      </c>
      <c r="K401" s="931">
        <v>0.73680000000000001</v>
      </c>
      <c r="L401" s="931">
        <v>0.73680000000000001</v>
      </c>
      <c r="M401" s="931">
        <v>0.73680000000000001</v>
      </c>
    </row>
    <row r="402" spans="1:13">
      <c r="A402" s="938">
        <v>4.0999999999999996</v>
      </c>
      <c r="B402" s="931">
        <v>0.92920000000000003</v>
      </c>
      <c r="C402" s="931">
        <v>0.92920000000000003</v>
      </c>
      <c r="D402" s="931">
        <v>0.87090000000000001</v>
      </c>
      <c r="E402" s="931">
        <v>0.87090000000000001</v>
      </c>
      <c r="F402" s="931">
        <v>0.87090000000000001</v>
      </c>
      <c r="G402" s="931">
        <v>0.87090000000000001</v>
      </c>
      <c r="H402" s="931">
        <v>0.87090000000000001</v>
      </c>
      <c r="I402" s="931">
        <v>0.73270000000000002</v>
      </c>
      <c r="J402" s="931">
        <v>0.73270000000000002</v>
      </c>
      <c r="K402" s="931">
        <v>0.73270000000000002</v>
      </c>
      <c r="L402" s="931">
        <v>0.73270000000000002</v>
      </c>
      <c r="M402" s="931">
        <v>0.73270000000000002</v>
      </c>
    </row>
    <row r="403" spans="1:13">
      <c r="A403" s="938">
        <v>4.2</v>
      </c>
      <c r="B403" s="931">
        <v>0.92659999999999998</v>
      </c>
      <c r="C403" s="931">
        <v>0.92659999999999998</v>
      </c>
      <c r="D403" s="931">
        <v>0.86819999999999997</v>
      </c>
      <c r="E403" s="931">
        <v>0.86819999999999997</v>
      </c>
      <c r="F403" s="931">
        <v>0.86819999999999997</v>
      </c>
      <c r="G403" s="931">
        <v>0.86819999999999997</v>
      </c>
      <c r="H403" s="931">
        <v>0.86819999999999997</v>
      </c>
      <c r="I403" s="931">
        <v>0.7288</v>
      </c>
      <c r="J403" s="931">
        <v>0.7288</v>
      </c>
      <c r="K403" s="931">
        <v>0.7288</v>
      </c>
      <c r="L403" s="931">
        <v>0.7288</v>
      </c>
      <c r="M403" s="931">
        <v>0.7288</v>
      </c>
    </row>
    <row r="404" spans="1:13">
      <c r="A404" s="938">
        <v>4.3</v>
      </c>
      <c r="B404" s="931">
        <v>0.92410000000000003</v>
      </c>
      <c r="C404" s="931">
        <v>0.92410000000000003</v>
      </c>
      <c r="D404" s="931">
        <v>0.86550000000000005</v>
      </c>
      <c r="E404" s="931">
        <v>0.86550000000000005</v>
      </c>
      <c r="F404" s="931">
        <v>0.86550000000000005</v>
      </c>
      <c r="G404" s="931">
        <v>0.86550000000000005</v>
      </c>
      <c r="H404" s="931">
        <v>0.86550000000000005</v>
      </c>
      <c r="I404" s="931">
        <v>0.72509999999999997</v>
      </c>
      <c r="J404" s="931">
        <v>0.72509999999999997</v>
      </c>
      <c r="K404" s="931">
        <v>0.72509999999999997</v>
      </c>
      <c r="L404" s="931">
        <v>0.72509999999999997</v>
      </c>
      <c r="M404" s="931">
        <v>0.72509999999999997</v>
      </c>
    </row>
    <row r="405" spans="1:13">
      <c r="A405" s="938">
        <v>4.4000000000000004</v>
      </c>
      <c r="B405" s="931">
        <v>0.92179999999999995</v>
      </c>
      <c r="C405" s="931">
        <v>0.92179999999999995</v>
      </c>
      <c r="D405" s="931">
        <v>0.8629</v>
      </c>
      <c r="E405" s="931">
        <v>0.8629</v>
      </c>
      <c r="F405" s="931">
        <v>0.8629</v>
      </c>
      <c r="G405" s="931">
        <v>0.8629</v>
      </c>
      <c r="H405" s="931">
        <v>0.8629</v>
      </c>
      <c r="I405" s="931">
        <v>0.72150000000000003</v>
      </c>
      <c r="J405" s="931">
        <v>0.72150000000000003</v>
      </c>
      <c r="K405" s="931">
        <v>0.72150000000000003</v>
      </c>
      <c r="L405" s="931">
        <v>0.72150000000000003</v>
      </c>
      <c r="M405" s="931">
        <v>0.72150000000000003</v>
      </c>
    </row>
    <row r="406" spans="1:13">
      <c r="A406" s="938">
        <v>4.5</v>
      </c>
      <c r="B406" s="931">
        <v>0.91949999999999998</v>
      </c>
      <c r="C406" s="931">
        <v>0.91949999999999998</v>
      </c>
      <c r="D406" s="931">
        <v>0.86050000000000004</v>
      </c>
      <c r="E406" s="931">
        <v>0.86050000000000004</v>
      </c>
      <c r="F406" s="931">
        <v>0.86050000000000004</v>
      </c>
      <c r="G406" s="931">
        <v>0.86050000000000004</v>
      </c>
      <c r="H406" s="931">
        <v>0.86050000000000004</v>
      </c>
      <c r="I406" s="931">
        <v>0.71819999999999995</v>
      </c>
      <c r="J406" s="931">
        <v>0.71819999999999995</v>
      </c>
      <c r="K406" s="931">
        <v>0.71819999999999995</v>
      </c>
      <c r="L406" s="931">
        <v>0.71819999999999995</v>
      </c>
      <c r="M406" s="931">
        <v>0.71819999999999995</v>
      </c>
    </row>
    <row r="407" spans="1:13">
      <c r="A407" s="938">
        <v>4.5999999999999996</v>
      </c>
      <c r="B407" s="931">
        <v>0.9173</v>
      </c>
      <c r="C407" s="931">
        <v>0.9173</v>
      </c>
      <c r="D407" s="931">
        <v>0.85809999999999997</v>
      </c>
      <c r="E407" s="931">
        <v>0.85809999999999997</v>
      </c>
      <c r="F407" s="931">
        <v>0.85809999999999997</v>
      </c>
      <c r="G407" s="931">
        <v>0.85809999999999997</v>
      </c>
      <c r="H407" s="931">
        <v>0.85809999999999997</v>
      </c>
      <c r="I407" s="931">
        <v>0.71499999999999997</v>
      </c>
      <c r="J407" s="931">
        <v>0.71499999999999997</v>
      </c>
      <c r="K407" s="931">
        <v>0.71499999999999997</v>
      </c>
      <c r="L407" s="931">
        <v>0.71499999999999997</v>
      </c>
      <c r="M407" s="931">
        <v>0.71499999999999997</v>
      </c>
    </row>
    <row r="408" spans="1:13">
      <c r="A408" s="938">
        <v>4.7</v>
      </c>
      <c r="B408" s="931">
        <v>0.91520000000000001</v>
      </c>
      <c r="C408" s="931">
        <v>0.91520000000000001</v>
      </c>
      <c r="D408" s="931">
        <v>0.85570000000000002</v>
      </c>
      <c r="E408" s="931">
        <v>0.85570000000000002</v>
      </c>
      <c r="F408" s="931">
        <v>0.85570000000000002</v>
      </c>
      <c r="G408" s="931">
        <v>0.85570000000000002</v>
      </c>
      <c r="H408" s="931">
        <v>0.85570000000000002</v>
      </c>
      <c r="I408" s="931">
        <v>0.71199999999999997</v>
      </c>
      <c r="J408" s="931">
        <v>0.71199999999999997</v>
      </c>
      <c r="K408" s="931">
        <v>0.71199999999999997</v>
      </c>
      <c r="L408" s="931">
        <v>0.71199999999999997</v>
      </c>
      <c r="M408" s="931">
        <v>0.71199999999999997</v>
      </c>
    </row>
    <row r="409" spans="1:13">
      <c r="A409" s="938">
        <v>4.8</v>
      </c>
      <c r="B409" s="931">
        <v>0.91310000000000002</v>
      </c>
      <c r="C409" s="931">
        <v>0.91310000000000002</v>
      </c>
      <c r="D409" s="931">
        <v>0.85340000000000005</v>
      </c>
      <c r="E409" s="931">
        <v>0.85340000000000005</v>
      </c>
      <c r="F409" s="931">
        <v>0.85340000000000005</v>
      </c>
      <c r="G409" s="931">
        <v>0.85340000000000005</v>
      </c>
      <c r="H409" s="931">
        <v>0.85340000000000005</v>
      </c>
      <c r="I409" s="931">
        <v>0.70909999999999995</v>
      </c>
      <c r="J409" s="931">
        <v>0.70909999999999995</v>
      </c>
      <c r="K409" s="931">
        <v>0.70909999999999995</v>
      </c>
      <c r="L409" s="931">
        <v>0.70909999999999995</v>
      </c>
      <c r="M409" s="931">
        <v>0.70909999999999995</v>
      </c>
    </row>
    <row r="410" spans="1:13">
      <c r="A410" s="938">
        <v>4.9000000000000004</v>
      </c>
      <c r="B410" s="931">
        <v>0.91120000000000001</v>
      </c>
      <c r="C410" s="931">
        <v>0.91120000000000001</v>
      </c>
      <c r="D410" s="931">
        <v>0.85109999999999997</v>
      </c>
      <c r="E410" s="931">
        <v>0.85109999999999997</v>
      </c>
      <c r="F410" s="931">
        <v>0.85109999999999997</v>
      </c>
      <c r="G410" s="931">
        <v>0.85109999999999997</v>
      </c>
      <c r="H410" s="931">
        <v>0.85109999999999997</v>
      </c>
      <c r="I410" s="931">
        <v>0.70620000000000005</v>
      </c>
      <c r="J410" s="931">
        <v>0.70620000000000005</v>
      </c>
      <c r="K410" s="931">
        <v>0.70620000000000005</v>
      </c>
      <c r="L410" s="931">
        <v>0.70620000000000005</v>
      </c>
      <c r="M410" s="931">
        <v>0.70620000000000005</v>
      </c>
    </row>
    <row r="411" spans="1:13">
      <c r="A411" s="938">
        <v>5</v>
      </c>
      <c r="B411" s="931">
        <v>0.90920000000000001</v>
      </c>
      <c r="C411" s="931">
        <v>0.90920000000000001</v>
      </c>
      <c r="D411" s="931">
        <v>0.84889999999999999</v>
      </c>
      <c r="E411" s="931">
        <v>0.84889999999999999</v>
      </c>
      <c r="F411" s="931">
        <v>0.84889999999999999</v>
      </c>
      <c r="G411" s="931">
        <v>0.84889999999999999</v>
      </c>
      <c r="H411" s="931">
        <v>0.84889999999999999</v>
      </c>
      <c r="I411" s="931">
        <v>0.70350000000000001</v>
      </c>
      <c r="J411" s="931">
        <v>0.70350000000000001</v>
      </c>
      <c r="K411" s="931">
        <v>0.70350000000000001</v>
      </c>
      <c r="L411" s="931">
        <v>0.70350000000000001</v>
      </c>
      <c r="M411" s="931">
        <v>0.70350000000000001</v>
      </c>
    </row>
    <row r="412" spans="1:13">
      <c r="A412" s="938">
        <v>5.0999999999999996</v>
      </c>
      <c r="B412" s="931">
        <v>0.90720000000000001</v>
      </c>
      <c r="C412" s="931">
        <v>0.90720000000000001</v>
      </c>
      <c r="D412" s="931">
        <v>0.84670000000000001</v>
      </c>
      <c r="E412" s="931">
        <v>0.84670000000000001</v>
      </c>
      <c r="F412" s="931">
        <v>0.84670000000000001</v>
      </c>
      <c r="G412" s="931">
        <v>0.84670000000000001</v>
      </c>
      <c r="H412" s="931">
        <v>0.84670000000000001</v>
      </c>
      <c r="I412" s="931">
        <v>0.70089999999999997</v>
      </c>
      <c r="J412" s="931">
        <v>0.70089999999999997</v>
      </c>
      <c r="K412" s="931">
        <v>0.70089999999999997</v>
      </c>
      <c r="L412" s="931">
        <v>0.70089999999999997</v>
      </c>
      <c r="M412" s="931">
        <v>0.70089999999999997</v>
      </c>
    </row>
    <row r="413" spans="1:13">
      <c r="A413" s="938">
        <v>5.2</v>
      </c>
      <c r="B413" s="931">
        <v>0.90529999999999999</v>
      </c>
      <c r="C413" s="931">
        <v>0.90529999999999999</v>
      </c>
      <c r="D413" s="931">
        <v>0.84450000000000003</v>
      </c>
      <c r="E413" s="931">
        <v>0.84450000000000003</v>
      </c>
      <c r="F413" s="931">
        <v>0.84450000000000003</v>
      </c>
      <c r="G413" s="931">
        <v>0.84450000000000003</v>
      </c>
      <c r="H413" s="931">
        <v>0.84450000000000003</v>
      </c>
      <c r="I413" s="931">
        <v>0.69820000000000004</v>
      </c>
      <c r="J413" s="931">
        <v>0.69820000000000004</v>
      </c>
      <c r="K413" s="931">
        <v>0.69820000000000004</v>
      </c>
      <c r="L413" s="931">
        <v>0.69820000000000004</v>
      </c>
      <c r="M413" s="931">
        <v>0.69820000000000004</v>
      </c>
    </row>
    <row r="414" spans="1:13">
      <c r="A414" s="938">
        <v>5.3</v>
      </c>
      <c r="B414" s="931">
        <v>0.90339999999999998</v>
      </c>
      <c r="C414" s="931">
        <v>0.90339999999999998</v>
      </c>
      <c r="D414" s="931">
        <v>0.84230000000000005</v>
      </c>
      <c r="E414" s="931">
        <v>0.84230000000000005</v>
      </c>
      <c r="F414" s="931">
        <v>0.84230000000000005</v>
      </c>
      <c r="G414" s="931">
        <v>0.84230000000000005</v>
      </c>
      <c r="H414" s="931">
        <v>0.84230000000000005</v>
      </c>
      <c r="I414" s="931">
        <v>0.69569999999999999</v>
      </c>
      <c r="J414" s="931">
        <v>0.69569999999999999</v>
      </c>
      <c r="K414" s="931">
        <v>0.69569999999999999</v>
      </c>
      <c r="L414" s="931">
        <v>0.69569999999999999</v>
      </c>
      <c r="M414" s="931">
        <v>0.69569999999999999</v>
      </c>
    </row>
    <row r="415" spans="1:13">
      <c r="A415" s="938">
        <v>5.4</v>
      </c>
      <c r="B415" s="931">
        <v>0.90149999999999997</v>
      </c>
      <c r="C415" s="931">
        <v>0.90149999999999997</v>
      </c>
      <c r="D415" s="931">
        <v>0.84019999999999995</v>
      </c>
      <c r="E415" s="931">
        <v>0.84019999999999995</v>
      </c>
      <c r="F415" s="931">
        <v>0.84019999999999995</v>
      </c>
      <c r="G415" s="931">
        <v>0.84019999999999995</v>
      </c>
      <c r="H415" s="931">
        <v>0.84019999999999995</v>
      </c>
      <c r="I415" s="931">
        <v>0.69310000000000005</v>
      </c>
      <c r="J415" s="931">
        <v>0.69310000000000005</v>
      </c>
      <c r="K415" s="931">
        <v>0.69310000000000005</v>
      </c>
      <c r="L415" s="931">
        <v>0.69310000000000005</v>
      </c>
      <c r="M415" s="931">
        <v>0.69310000000000005</v>
      </c>
    </row>
    <row r="416" spans="1:13">
      <c r="A416" s="938">
        <v>5.5</v>
      </c>
      <c r="B416" s="931">
        <v>0.89959999999999996</v>
      </c>
      <c r="C416" s="931">
        <v>0.89959999999999996</v>
      </c>
      <c r="D416" s="931">
        <v>0.83809999999999996</v>
      </c>
      <c r="E416" s="931">
        <v>0.83809999999999996</v>
      </c>
      <c r="F416" s="931">
        <v>0.83809999999999996</v>
      </c>
      <c r="G416" s="931">
        <v>0.83809999999999996</v>
      </c>
      <c r="H416" s="931">
        <v>0.83809999999999996</v>
      </c>
      <c r="I416" s="931">
        <v>0.69059999999999999</v>
      </c>
      <c r="J416" s="931">
        <v>0.69059999999999999</v>
      </c>
      <c r="K416" s="931">
        <v>0.69059999999999999</v>
      </c>
      <c r="L416" s="931">
        <v>0.69059999999999999</v>
      </c>
      <c r="M416" s="931">
        <v>0.69059999999999999</v>
      </c>
    </row>
    <row r="417" spans="1:13">
      <c r="A417" s="938">
        <v>5.6</v>
      </c>
      <c r="B417" s="931">
        <v>0.89780000000000004</v>
      </c>
      <c r="C417" s="931">
        <v>0.89780000000000004</v>
      </c>
      <c r="D417" s="931">
        <v>0.83599999999999997</v>
      </c>
      <c r="E417" s="931">
        <v>0.83599999999999997</v>
      </c>
      <c r="F417" s="931">
        <v>0.83599999999999997</v>
      </c>
      <c r="G417" s="931">
        <v>0.83599999999999997</v>
      </c>
      <c r="H417" s="931">
        <v>0.83599999999999997</v>
      </c>
      <c r="I417" s="931">
        <v>0.68810000000000004</v>
      </c>
      <c r="J417" s="931">
        <v>0.68810000000000004</v>
      </c>
      <c r="K417" s="931">
        <v>0.68810000000000004</v>
      </c>
      <c r="L417" s="931">
        <v>0.68810000000000004</v>
      </c>
      <c r="M417" s="931">
        <v>0.68810000000000004</v>
      </c>
    </row>
    <row r="418" spans="1:13">
      <c r="A418" s="938">
        <v>5.7</v>
      </c>
      <c r="B418" s="931">
        <v>0.89600000000000002</v>
      </c>
      <c r="C418" s="931">
        <v>0.89600000000000002</v>
      </c>
      <c r="D418" s="931">
        <v>0.83389999999999997</v>
      </c>
      <c r="E418" s="931">
        <v>0.83389999999999997</v>
      </c>
      <c r="F418" s="931">
        <v>0.83389999999999997</v>
      </c>
      <c r="G418" s="931">
        <v>0.83389999999999997</v>
      </c>
      <c r="H418" s="931">
        <v>0.83389999999999997</v>
      </c>
      <c r="I418" s="931">
        <v>0.68569999999999998</v>
      </c>
      <c r="J418" s="931">
        <v>0.68569999999999998</v>
      </c>
      <c r="K418" s="931">
        <v>0.68569999999999998</v>
      </c>
      <c r="L418" s="931">
        <v>0.68569999999999998</v>
      </c>
      <c r="M418" s="931">
        <v>0.68569999999999998</v>
      </c>
    </row>
    <row r="419" spans="1:13">
      <c r="A419" s="938">
        <v>5.8</v>
      </c>
      <c r="B419" s="931">
        <v>0.89419999999999999</v>
      </c>
      <c r="C419" s="931">
        <v>0.89419999999999999</v>
      </c>
      <c r="D419" s="931">
        <v>0.83189999999999997</v>
      </c>
      <c r="E419" s="931">
        <v>0.83189999999999997</v>
      </c>
      <c r="F419" s="931">
        <v>0.83189999999999997</v>
      </c>
      <c r="G419" s="931">
        <v>0.83189999999999997</v>
      </c>
      <c r="H419" s="931">
        <v>0.83189999999999997</v>
      </c>
      <c r="I419" s="931">
        <v>0.68320000000000003</v>
      </c>
      <c r="J419" s="931">
        <v>0.68320000000000003</v>
      </c>
      <c r="K419" s="931">
        <v>0.68320000000000003</v>
      </c>
      <c r="L419" s="931">
        <v>0.68320000000000003</v>
      </c>
      <c r="M419" s="931">
        <v>0.68320000000000003</v>
      </c>
    </row>
    <row r="420" spans="1:13">
      <c r="A420" s="938">
        <v>5.9</v>
      </c>
      <c r="B420" s="931">
        <v>0.89239999999999997</v>
      </c>
      <c r="C420" s="931">
        <v>0.89239999999999997</v>
      </c>
      <c r="D420" s="931">
        <v>0.82989999999999997</v>
      </c>
      <c r="E420" s="931">
        <v>0.82989999999999997</v>
      </c>
      <c r="F420" s="931">
        <v>0.82989999999999997</v>
      </c>
      <c r="G420" s="931">
        <v>0.82989999999999997</v>
      </c>
      <c r="H420" s="931">
        <v>0.82989999999999997</v>
      </c>
      <c r="I420" s="931">
        <v>0.68069999999999997</v>
      </c>
      <c r="J420" s="931">
        <v>0.68069999999999997</v>
      </c>
      <c r="K420" s="931">
        <v>0.68069999999999997</v>
      </c>
      <c r="L420" s="931">
        <v>0.68069999999999997</v>
      </c>
      <c r="M420" s="931">
        <v>0.68069999999999997</v>
      </c>
    </row>
    <row r="421" spans="1:13">
      <c r="A421" s="938">
        <v>6</v>
      </c>
      <c r="B421" s="931">
        <v>0.89070000000000005</v>
      </c>
      <c r="C421" s="931">
        <v>0.89070000000000005</v>
      </c>
      <c r="D421" s="931">
        <v>0.82789999999999997</v>
      </c>
      <c r="E421" s="931">
        <v>0.82789999999999997</v>
      </c>
      <c r="F421" s="931">
        <v>0.82789999999999997</v>
      </c>
      <c r="G421" s="931">
        <v>0.82789999999999997</v>
      </c>
      <c r="H421" s="931">
        <v>0.82789999999999997</v>
      </c>
      <c r="I421" s="931">
        <v>0.6784</v>
      </c>
      <c r="J421" s="931">
        <v>0.6784</v>
      </c>
      <c r="K421" s="931">
        <v>0.6784</v>
      </c>
      <c r="L421" s="931">
        <v>0.6784</v>
      </c>
      <c r="M421" s="931">
        <v>0.6784</v>
      </c>
    </row>
    <row r="422" spans="1:13">
      <c r="A422" s="938">
        <v>6.1</v>
      </c>
      <c r="B422" s="931">
        <v>0.88900000000000001</v>
      </c>
      <c r="C422" s="931">
        <v>0.88900000000000001</v>
      </c>
      <c r="D422" s="931">
        <v>0.82589999999999997</v>
      </c>
      <c r="E422" s="931">
        <v>0.82589999999999997</v>
      </c>
      <c r="F422" s="931">
        <v>0.82589999999999997</v>
      </c>
      <c r="G422" s="931">
        <v>0.82589999999999997</v>
      </c>
      <c r="H422" s="931">
        <v>0.82589999999999997</v>
      </c>
      <c r="I422" s="931">
        <v>0.67600000000000005</v>
      </c>
      <c r="J422" s="931">
        <v>0.67600000000000005</v>
      </c>
      <c r="K422" s="931">
        <v>0.67600000000000005</v>
      </c>
      <c r="L422" s="931">
        <v>0.67600000000000005</v>
      </c>
      <c r="M422" s="931">
        <v>0.67600000000000005</v>
      </c>
    </row>
    <row r="423" spans="1:13">
      <c r="A423" s="938">
        <v>6.2</v>
      </c>
      <c r="B423" s="931">
        <v>0.88729999999999998</v>
      </c>
      <c r="C423" s="931">
        <v>0.88729999999999998</v>
      </c>
      <c r="D423" s="931">
        <v>0.82389999999999997</v>
      </c>
      <c r="E423" s="931">
        <v>0.82389999999999997</v>
      </c>
      <c r="F423" s="931">
        <v>0.82389999999999997</v>
      </c>
      <c r="G423" s="931">
        <v>0.82389999999999997</v>
      </c>
      <c r="H423" s="931">
        <v>0.82389999999999997</v>
      </c>
      <c r="I423" s="931">
        <v>0.67359999999999998</v>
      </c>
      <c r="J423" s="931">
        <v>0.67359999999999998</v>
      </c>
      <c r="K423" s="931">
        <v>0.67359999999999998</v>
      </c>
      <c r="L423" s="931">
        <v>0.67359999999999998</v>
      </c>
      <c r="M423" s="931">
        <v>0.67359999999999998</v>
      </c>
    </row>
    <row r="424" spans="1:13">
      <c r="A424" s="938">
        <v>6.3</v>
      </c>
      <c r="B424" s="931">
        <v>0.88560000000000005</v>
      </c>
      <c r="C424" s="931">
        <v>0.88560000000000005</v>
      </c>
      <c r="D424" s="931">
        <v>0.82189999999999996</v>
      </c>
      <c r="E424" s="931">
        <v>0.82189999999999996</v>
      </c>
      <c r="F424" s="931">
        <v>0.82189999999999996</v>
      </c>
      <c r="G424" s="931">
        <v>0.82189999999999996</v>
      </c>
      <c r="H424" s="931">
        <v>0.82189999999999996</v>
      </c>
      <c r="I424" s="931">
        <v>0.67130000000000001</v>
      </c>
      <c r="J424" s="931">
        <v>0.67130000000000001</v>
      </c>
      <c r="K424" s="931">
        <v>0.67130000000000001</v>
      </c>
      <c r="L424" s="931">
        <v>0.67130000000000001</v>
      </c>
      <c r="M424" s="931">
        <v>0.67130000000000001</v>
      </c>
    </row>
    <row r="425" spans="1:13">
      <c r="A425" s="938">
        <v>6.4</v>
      </c>
      <c r="B425" s="931">
        <v>0.88390000000000002</v>
      </c>
      <c r="C425" s="931">
        <v>0.88390000000000002</v>
      </c>
      <c r="D425" s="931">
        <v>0.82</v>
      </c>
      <c r="E425" s="931">
        <v>0.82</v>
      </c>
      <c r="F425" s="931">
        <v>0.82</v>
      </c>
      <c r="G425" s="931">
        <v>0.82</v>
      </c>
      <c r="H425" s="931">
        <v>0.82</v>
      </c>
      <c r="I425" s="931">
        <v>0.66890000000000005</v>
      </c>
      <c r="J425" s="931">
        <v>0.66890000000000005</v>
      </c>
      <c r="K425" s="931">
        <v>0.66890000000000005</v>
      </c>
      <c r="L425" s="931">
        <v>0.66890000000000005</v>
      </c>
      <c r="M425" s="931">
        <v>0.66890000000000005</v>
      </c>
    </row>
    <row r="426" spans="1:13">
      <c r="A426" s="938">
        <v>6.5</v>
      </c>
      <c r="B426" s="931">
        <v>0.88229999999999997</v>
      </c>
      <c r="C426" s="931">
        <v>0.88229999999999997</v>
      </c>
      <c r="D426" s="931">
        <v>0.81810000000000005</v>
      </c>
      <c r="E426" s="931">
        <v>0.81810000000000005</v>
      </c>
      <c r="F426" s="931">
        <v>0.81810000000000005</v>
      </c>
      <c r="G426" s="931">
        <v>0.81810000000000005</v>
      </c>
      <c r="H426" s="931">
        <v>0.81810000000000005</v>
      </c>
      <c r="I426" s="931">
        <v>0.66659999999999997</v>
      </c>
      <c r="J426" s="931">
        <v>0.66659999999999997</v>
      </c>
      <c r="K426" s="931">
        <v>0.66659999999999997</v>
      </c>
      <c r="L426" s="931">
        <v>0.66659999999999997</v>
      </c>
      <c r="M426" s="931">
        <v>0.66659999999999997</v>
      </c>
    </row>
    <row r="427" spans="1:13">
      <c r="A427" s="938">
        <v>6.6</v>
      </c>
      <c r="B427" s="931">
        <v>0.88070000000000004</v>
      </c>
      <c r="C427" s="931">
        <v>0.88070000000000004</v>
      </c>
      <c r="D427" s="931">
        <v>0.81620000000000004</v>
      </c>
      <c r="E427" s="931">
        <v>0.81620000000000004</v>
      </c>
      <c r="F427" s="931">
        <v>0.81620000000000004</v>
      </c>
      <c r="G427" s="931">
        <v>0.81620000000000004</v>
      </c>
      <c r="H427" s="931">
        <v>0.81620000000000004</v>
      </c>
      <c r="I427" s="931">
        <v>0.66439999999999999</v>
      </c>
      <c r="J427" s="931">
        <v>0.66439999999999999</v>
      </c>
      <c r="K427" s="931">
        <v>0.66439999999999999</v>
      </c>
      <c r="L427" s="931">
        <v>0.66439999999999999</v>
      </c>
      <c r="M427" s="931">
        <v>0.66439999999999999</v>
      </c>
    </row>
    <row r="428" spans="1:13">
      <c r="A428" s="938">
        <v>6.7</v>
      </c>
      <c r="B428" s="931">
        <v>0.879</v>
      </c>
      <c r="C428" s="931">
        <v>0.879</v>
      </c>
      <c r="D428" s="931">
        <v>0.81430000000000002</v>
      </c>
      <c r="E428" s="931">
        <v>0.81430000000000002</v>
      </c>
      <c r="F428" s="931">
        <v>0.81430000000000002</v>
      </c>
      <c r="G428" s="931">
        <v>0.81430000000000002</v>
      </c>
      <c r="H428" s="931">
        <v>0.81430000000000002</v>
      </c>
      <c r="I428" s="931">
        <v>0.66210000000000002</v>
      </c>
      <c r="J428" s="931">
        <v>0.66210000000000002</v>
      </c>
      <c r="K428" s="931">
        <v>0.66210000000000002</v>
      </c>
      <c r="L428" s="931">
        <v>0.66210000000000002</v>
      </c>
      <c r="M428" s="931">
        <v>0.66210000000000002</v>
      </c>
    </row>
    <row r="429" spans="1:13">
      <c r="A429" s="938">
        <v>6.8</v>
      </c>
      <c r="B429" s="931">
        <v>0.87739999999999996</v>
      </c>
      <c r="C429" s="931">
        <v>0.87739999999999996</v>
      </c>
      <c r="D429" s="931">
        <v>0.81240000000000001</v>
      </c>
      <c r="E429" s="931">
        <v>0.81240000000000001</v>
      </c>
      <c r="F429" s="931">
        <v>0.81240000000000001</v>
      </c>
      <c r="G429" s="931">
        <v>0.81240000000000001</v>
      </c>
      <c r="H429" s="931">
        <v>0.81240000000000001</v>
      </c>
      <c r="I429" s="931">
        <v>0.65980000000000005</v>
      </c>
      <c r="J429" s="931">
        <v>0.65980000000000005</v>
      </c>
      <c r="K429" s="931">
        <v>0.65980000000000005</v>
      </c>
      <c r="L429" s="931">
        <v>0.65980000000000005</v>
      </c>
      <c r="M429" s="931">
        <v>0.65980000000000005</v>
      </c>
    </row>
    <row r="430" spans="1:13">
      <c r="A430" s="938">
        <v>6.9</v>
      </c>
      <c r="B430" s="931">
        <v>0.87580000000000002</v>
      </c>
      <c r="C430" s="931">
        <v>0.87580000000000002</v>
      </c>
      <c r="D430" s="931">
        <v>0.8105</v>
      </c>
      <c r="E430" s="931">
        <v>0.8105</v>
      </c>
      <c r="F430" s="931">
        <v>0.8105</v>
      </c>
      <c r="G430" s="931">
        <v>0.8105</v>
      </c>
      <c r="H430" s="931">
        <v>0.8105</v>
      </c>
      <c r="I430" s="931">
        <v>0.65749999999999997</v>
      </c>
      <c r="J430" s="931">
        <v>0.65749999999999997</v>
      </c>
      <c r="K430" s="931">
        <v>0.65749999999999997</v>
      </c>
      <c r="L430" s="931">
        <v>0.65749999999999997</v>
      </c>
      <c r="M430" s="931">
        <v>0.65749999999999997</v>
      </c>
    </row>
    <row r="431" spans="1:13">
      <c r="A431" s="938">
        <v>7</v>
      </c>
      <c r="B431" s="931">
        <v>0.87419999999999998</v>
      </c>
      <c r="C431" s="931">
        <v>0.87419999999999998</v>
      </c>
      <c r="D431" s="931">
        <v>0.80869999999999997</v>
      </c>
      <c r="E431" s="931">
        <v>0.80869999999999997</v>
      </c>
      <c r="F431" s="931">
        <v>0.80869999999999997</v>
      </c>
      <c r="G431" s="931">
        <v>0.80869999999999997</v>
      </c>
      <c r="H431" s="931">
        <v>0.80869999999999997</v>
      </c>
      <c r="I431" s="931">
        <v>0.65529999999999999</v>
      </c>
      <c r="J431" s="931">
        <v>0.65529999999999999</v>
      </c>
      <c r="K431" s="931">
        <v>0.65529999999999999</v>
      </c>
      <c r="L431" s="931">
        <v>0.65529999999999999</v>
      </c>
      <c r="M431" s="931">
        <v>0.65529999999999999</v>
      </c>
    </row>
    <row r="432" spans="1:13">
      <c r="A432" s="938">
        <v>7.1</v>
      </c>
      <c r="B432" s="931">
        <v>0.87270000000000003</v>
      </c>
      <c r="C432" s="931">
        <v>0.87270000000000003</v>
      </c>
      <c r="D432" s="931">
        <v>0.80689999999999995</v>
      </c>
      <c r="E432" s="931">
        <v>0.80689999999999995</v>
      </c>
      <c r="F432" s="931">
        <v>0.80689999999999995</v>
      </c>
      <c r="G432" s="931">
        <v>0.80689999999999995</v>
      </c>
      <c r="H432" s="931">
        <v>0.80689999999999995</v>
      </c>
      <c r="I432" s="931">
        <v>0.6532</v>
      </c>
      <c r="J432" s="931">
        <v>0.6532</v>
      </c>
      <c r="K432" s="931">
        <v>0.6532</v>
      </c>
      <c r="L432" s="931">
        <v>0.6532</v>
      </c>
      <c r="M432" s="931">
        <v>0.6532</v>
      </c>
    </row>
    <row r="433" spans="1:13">
      <c r="A433" s="938">
        <v>7.2</v>
      </c>
      <c r="B433" s="931">
        <v>0.87119999999999997</v>
      </c>
      <c r="C433" s="931">
        <v>0.87119999999999997</v>
      </c>
      <c r="D433" s="931">
        <v>0.80510000000000004</v>
      </c>
      <c r="E433" s="931">
        <v>0.80510000000000004</v>
      </c>
      <c r="F433" s="931">
        <v>0.80510000000000004</v>
      </c>
      <c r="G433" s="931">
        <v>0.80510000000000004</v>
      </c>
      <c r="H433" s="931">
        <v>0.80510000000000004</v>
      </c>
      <c r="I433" s="931">
        <v>0.65100000000000002</v>
      </c>
      <c r="J433" s="931">
        <v>0.65100000000000002</v>
      </c>
      <c r="K433" s="931">
        <v>0.65100000000000002</v>
      </c>
      <c r="L433" s="931">
        <v>0.65100000000000002</v>
      </c>
      <c r="M433" s="931">
        <v>0.65100000000000002</v>
      </c>
    </row>
    <row r="434" spans="1:13">
      <c r="A434" s="938">
        <v>7.3</v>
      </c>
      <c r="B434" s="931">
        <v>0.86970000000000003</v>
      </c>
      <c r="C434" s="931">
        <v>0.86970000000000003</v>
      </c>
      <c r="D434" s="931">
        <v>0.80330000000000001</v>
      </c>
      <c r="E434" s="931">
        <v>0.80330000000000001</v>
      </c>
      <c r="F434" s="931">
        <v>0.80330000000000001</v>
      </c>
      <c r="G434" s="931">
        <v>0.80330000000000001</v>
      </c>
      <c r="H434" s="931">
        <v>0.80330000000000001</v>
      </c>
      <c r="I434" s="931">
        <v>0.64880000000000004</v>
      </c>
      <c r="J434" s="931">
        <v>0.64880000000000004</v>
      </c>
      <c r="K434" s="931">
        <v>0.64880000000000004</v>
      </c>
      <c r="L434" s="931">
        <v>0.64880000000000004</v>
      </c>
      <c r="M434" s="931">
        <v>0.64880000000000004</v>
      </c>
    </row>
    <row r="435" spans="1:13">
      <c r="A435" s="938">
        <v>7.4</v>
      </c>
      <c r="B435" s="931">
        <v>0.86819999999999997</v>
      </c>
      <c r="C435" s="931">
        <v>0.86819999999999997</v>
      </c>
      <c r="D435" s="931">
        <v>0.80149999999999999</v>
      </c>
      <c r="E435" s="931">
        <v>0.80149999999999999</v>
      </c>
      <c r="F435" s="931">
        <v>0.80149999999999999</v>
      </c>
      <c r="G435" s="931">
        <v>0.80149999999999999</v>
      </c>
      <c r="H435" s="931">
        <v>0.80149999999999999</v>
      </c>
      <c r="I435" s="931">
        <v>0.64659999999999995</v>
      </c>
      <c r="J435" s="931">
        <v>0.64659999999999995</v>
      </c>
      <c r="K435" s="931">
        <v>0.64659999999999995</v>
      </c>
      <c r="L435" s="931">
        <v>0.64659999999999995</v>
      </c>
      <c r="M435" s="931">
        <v>0.64659999999999995</v>
      </c>
    </row>
    <row r="436" spans="1:13">
      <c r="A436" s="938">
        <v>7.5</v>
      </c>
      <c r="B436" s="931">
        <v>0.86660000000000004</v>
      </c>
      <c r="C436" s="931">
        <v>0.86660000000000004</v>
      </c>
      <c r="D436" s="931">
        <v>0.79969999999999997</v>
      </c>
      <c r="E436" s="931">
        <v>0.79969999999999997</v>
      </c>
      <c r="F436" s="931">
        <v>0.79969999999999997</v>
      </c>
      <c r="G436" s="931">
        <v>0.79969999999999997</v>
      </c>
      <c r="H436" s="931">
        <v>0.79969999999999997</v>
      </c>
      <c r="I436" s="931">
        <v>0.64449999999999996</v>
      </c>
      <c r="J436" s="931">
        <v>0.64449999999999996</v>
      </c>
      <c r="K436" s="931">
        <v>0.64449999999999996</v>
      </c>
      <c r="L436" s="931">
        <v>0.64449999999999996</v>
      </c>
      <c r="M436" s="931">
        <v>0.64449999999999996</v>
      </c>
    </row>
    <row r="437" spans="1:13">
      <c r="A437" s="938">
        <v>7.6</v>
      </c>
      <c r="B437" s="931">
        <v>0.86509999999999998</v>
      </c>
      <c r="C437" s="931">
        <v>0.86509999999999998</v>
      </c>
      <c r="D437" s="931">
        <v>0.79800000000000004</v>
      </c>
      <c r="E437" s="931">
        <v>0.79800000000000004</v>
      </c>
      <c r="F437" s="931">
        <v>0.79800000000000004</v>
      </c>
      <c r="G437" s="931">
        <v>0.79800000000000004</v>
      </c>
      <c r="H437" s="931">
        <v>0.79800000000000004</v>
      </c>
      <c r="I437" s="931">
        <v>0.64239999999999997</v>
      </c>
      <c r="J437" s="931">
        <v>0.64239999999999997</v>
      </c>
      <c r="K437" s="931">
        <v>0.64239999999999997</v>
      </c>
      <c r="L437" s="931">
        <v>0.64239999999999997</v>
      </c>
      <c r="M437" s="931">
        <v>0.64239999999999997</v>
      </c>
    </row>
    <row r="438" spans="1:13">
      <c r="A438" s="938">
        <v>7.7</v>
      </c>
      <c r="B438" s="931">
        <v>0.86370000000000002</v>
      </c>
      <c r="C438" s="931">
        <v>0.86370000000000002</v>
      </c>
      <c r="D438" s="931">
        <v>0.79630000000000001</v>
      </c>
      <c r="E438" s="931">
        <v>0.79630000000000001</v>
      </c>
      <c r="F438" s="931">
        <v>0.79630000000000001</v>
      </c>
      <c r="G438" s="931">
        <v>0.79630000000000001</v>
      </c>
      <c r="H438" s="931">
        <v>0.79630000000000001</v>
      </c>
      <c r="I438" s="931">
        <v>0.64029999999999998</v>
      </c>
      <c r="J438" s="931">
        <v>0.64029999999999998</v>
      </c>
      <c r="K438" s="931">
        <v>0.64029999999999998</v>
      </c>
      <c r="L438" s="931">
        <v>0.64029999999999998</v>
      </c>
      <c r="M438" s="931">
        <v>0.64029999999999998</v>
      </c>
    </row>
    <row r="439" spans="1:13">
      <c r="A439" s="938">
        <v>7.8</v>
      </c>
      <c r="B439" s="931">
        <v>0.86229999999999996</v>
      </c>
      <c r="C439" s="931">
        <v>0.86229999999999996</v>
      </c>
      <c r="D439" s="931">
        <v>0.79449999999999998</v>
      </c>
      <c r="E439" s="931">
        <v>0.79449999999999998</v>
      </c>
      <c r="F439" s="931">
        <v>0.79449999999999998</v>
      </c>
      <c r="G439" s="931">
        <v>0.79449999999999998</v>
      </c>
      <c r="H439" s="931">
        <v>0.79449999999999998</v>
      </c>
      <c r="I439" s="931">
        <v>0.63819999999999999</v>
      </c>
      <c r="J439" s="931">
        <v>0.63819999999999999</v>
      </c>
      <c r="K439" s="931">
        <v>0.63819999999999999</v>
      </c>
      <c r="L439" s="931">
        <v>0.63819999999999999</v>
      </c>
      <c r="M439" s="931">
        <v>0.63819999999999999</v>
      </c>
    </row>
    <row r="440" spans="1:13">
      <c r="A440" s="938">
        <v>7.9</v>
      </c>
      <c r="B440" s="931">
        <v>0.8609</v>
      </c>
      <c r="C440" s="931">
        <v>0.8609</v>
      </c>
      <c r="D440" s="931">
        <v>0.79279999999999995</v>
      </c>
      <c r="E440" s="931">
        <v>0.79279999999999995</v>
      </c>
      <c r="F440" s="931">
        <v>0.79279999999999995</v>
      </c>
      <c r="G440" s="931">
        <v>0.79279999999999995</v>
      </c>
      <c r="H440" s="931">
        <v>0.79279999999999995</v>
      </c>
      <c r="I440" s="931">
        <v>0.6361</v>
      </c>
      <c r="J440" s="931">
        <v>0.6361</v>
      </c>
      <c r="K440" s="931">
        <v>0.6361</v>
      </c>
      <c r="L440" s="931">
        <v>0.6361</v>
      </c>
      <c r="M440" s="931">
        <v>0.6361</v>
      </c>
    </row>
    <row r="441" spans="1:13">
      <c r="A441" s="938">
        <v>8</v>
      </c>
      <c r="B441" s="931">
        <v>0.85940000000000005</v>
      </c>
      <c r="C441" s="931">
        <v>0.85940000000000005</v>
      </c>
      <c r="D441" s="931">
        <v>0.79110000000000003</v>
      </c>
      <c r="E441" s="931">
        <v>0.79110000000000003</v>
      </c>
      <c r="F441" s="931">
        <v>0.79110000000000003</v>
      </c>
      <c r="G441" s="931">
        <v>0.79110000000000003</v>
      </c>
      <c r="H441" s="931">
        <v>0.79110000000000003</v>
      </c>
      <c r="I441" s="931">
        <v>0.6341</v>
      </c>
      <c r="J441" s="931">
        <v>0.6341</v>
      </c>
      <c r="K441" s="931">
        <v>0.6341</v>
      </c>
      <c r="L441" s="931">
        <v>0.6341</v>
      </c>
      <c r="M441" s="931">
        <v>0.6341</v>
      </c>
    </row>
    <row r="442" spans="1:13">
      <c r="A442" s="938">
        <v>8.1</v>
      </c>
      <c r="B442" s="931">
        <v>0.85799999999999998</v>
      </c>
      <c r="C442" s="931">
        <v>0.85799999999999998</v>
      </c>
      <c r="D442" s="931">
        <v>0.78939999999999999</v>
      </c>
      <c r="E442" s="931">
        <v>0.78939999999999999</v>
      </c>
      <c r="F442" s="931">
        <v>0.78939999999999999</v>
      </c>
      <c r="G442" s="931">
        <v>0.78939999999999999</v>
      </c>
      <c r="H442" s="931">
        <v>0.78939999999999999</v>
      </c>
      <c r="I442" s="931">
        <v>0.6321</v>
      </c>
      <c r="J442" s="931">
        <v>0.6321</v>
      </c>
      <c r="K442" s="931">
        <v>0.6321</v>
      </c>
      <c r="L442" s="931">
        <v>0.6321</v>
      </c>
      <c r="M442" s="931">
        <v>0.6321</v>
      </c>
    </row>
    <row r="443" spans="1:13">
      <c r="A443" s="938">
        <v>8.1999999999999993</v>
      </c>
      <c r="B443" s="931">
        <v>0.85660000000000003</v>
      </c>
      <c r="C443" s="931">
        <v>0.85660000000000003</v>
      </c>
      <c r="D443" s="931">
        <v>0.78779999999999994</v>
      </c>
      <c r="E443" s="931">
        <v>0.78779999999999994</v>
      </c>
      <c r="F443" s="931">
        <v>0.78779999999999994</v>
      </c>
      <c r="G443" s="931">
        <v>0.78779999999999994</v>
      </c>
      <c r="H443" s="931">
        <v>0.78779999999999994</v>
      </c>
      <c r="I443" s="931">
        <v>0.63009999999999999</v>
      </c>
      <c r="J443" s="931">
        <v>0.63009999999999999</v>
      </c>
      <c r="K443" s="931">
        <v>0.63009999999999999</v>
      </c>
      <c r="L443" s="931">
        <v>0.63009999999999999</v>
      </c>
      <c r="M443" s="931">
        <v>0.63009999999999999</v>
      </c>
    </row>
    <row r="444" spans="1:13">
      <c r="A444" s="938">
        <v>8.3000000000000007</v>
      </c>
      <c r="B444" s="931">
        <v>0.85529999999999995</v>
      </c>
      <c r="C444" s="931">
        <v>0.85529999999999995</v>
      </c>
      <c r="D444" s="931">
        <v>0.78620000000000001</v>
      </c>
      <c r="E444" s="931">
        <v>0.78620000000000001</v>
      </c>
      <c r="F444" s="931">
        <v>0.78620000000000001</v>
      </c>
      <c r="G444" s="931">
        <v>0.78620000000000001</v>
      </c>
      <c r="H444" s="931">
        <v>0.78620000000000001</v>
      </c>
      <c r="I444" s="931">
        <v>0.62809999999999999</v>
      </c>
      <c r="J444" s="931">
        <v>0.62809999999999999</v>
      </c>
      <c r="K444" s="931">
        <v>0.62809999999999999</v>
      </c>
      <c r="L444" s="931">
        <v>0.62809999999999999</v>
      </c>
      <c r="M444" s="931">
        <v>0.62809999999999999</v>
      </c>
    </row>
    <row r="445" spans="1:13">
      <c r="A445" s="938">
        <v>8.4</v>
      </c>
      <c r="B445" s="931">
        <v>0.85389999999999999</v>
      </c>
      <c r="C445" s="931">
        <v>0.85389999999999999</v>
      </c>
      <c r="D445" s="931">
        <v>0.78459999999999996</v>
      </c>
      <c r="E445" s="931">
        <v>0.78459999999999996</v>
      </c>
      <c r="F445" s="931">
        <v>0.78459999999999996</v>
      </c>
      <c r="G445" s="931">
        <v>0.78459999999999996</v>
      </c>
      <c r="H445" s="931">
        <v>0.78459999999999996</v>
      </c>
      <c r="I445" s="931">
        <v>0.62609999999999999</v>
      </c>
      <c r="J445" s="931">
        <v>0.62609999999999999</v>
      </c>
      <c r="K445" s="931">
        <v>0.62609999999999999</v>
      </c>
      <c r="L445" s="931">
        <v>0.62609999999999999</v>
      </c>
      <c r="M445" s="931">
        <v>0.62609999999999999</v>
      </c>
    </row>
    <row r="446" spans="1:13">
      <c r="A446" s="938">
        <v>8.5</v>
      </c>
      <c r="B446" s="931">
        <v>0.85260000000000002</v>
      </c>
      <c r="C446" s="931">
        <v>0.85260000000000002</v>
      </c>
      <c r="D446" s="931">
        <v>0.78290000000000004</v>
      </c>
      <c r="E446" s="931">
        <v>0.78290000000000004</v>
      </c>
      <c r="F446" s="931">
        <v>0.78290000000000004</v>
      </c>
      <c r="G446" s="931">
        <v>0.78290000000000004</v>
      </c>
      <c r="H446" s="931">
        <v>0.78290000000000004</v>
      </c>
      <c r="I446" s="931">
        <v>0.62419999999999998</v>
      </c>
      <c r="J446" s="931">
        <v>0.62419999999999998</v>
      </c>
      <c r="K446" s="931">
        <v>0.62419999999999998</v>
      </c>
      <c r="L446" s="931">
        <v>0.62419999999999998</v>
      </c>
      <c r="M446" s="931">
        <v>0.62419999999999998</v>
      </c>
    </row>
    <row r="447" spans="1:13">
      <c r="A447" s="938">
        <v>8.6</v>
      </c>
      <c r="B447" s="931">
        <v>0.85129999999999995</v>
      </c>
      <c r="C447" s="931">
        <v>0.85129999999999995</v>
      </c>
      <c r="D447" s="931">
        <v>0.78129999999999999</v>
      </c>
      <c r="E447" s="931">
        <v>0.78129999999999999</v>
      </c>
      <c r="F447" s="931">
        <v>0.78129999999999999</v>
      </c>
      <c r="G447" s="931">
        <v>0.78129999999999999</v>
      </c>
      <c r="H447" s="931">
        <v>0.78129999999999999</v>
      </c>
      <c r="I447" s="931">
        <v>0.62229999999999996</v>
      </c>
      <c r="J447" s="931">
        <v>0.62229999999999996</v>
      </c>
      <c r="K447" s="931">
        <v>0.62229999999999996</v>
      </c>
      <c r="L447" s="931">
        <v>0.62229999999999996</v>
      </c>
      <c r="M447" s="931">
        <v>0.62229999999999996</v>
      </c>
    </row>
    <row r="448" spans="1:13">
      <c r="A448" s="938">
        <v>8.6999999999999993</v>
      </c>
      <c r="B448" s="931">
        <v>0.85</v>
      </c>
      <c r="C448" s="931">
        <v>0.85</v>
      </c>
      <c r="D448" s="931">
        <v>0.77969999999999995</v>
      </c>
      <c r="E448" s="931">
        <v>0.77969999999999995</v>
      </c>
      <c r="F448" s="931">
        <v>0.77969999999999995</v>
      </c>
      <c r="G448" s="931">
        <v>0.77969999999999995</v>
      </c>
      <c r="H448" s="931">
        <v>0.77969999999999995</v>
      </c>
      <c r="I448" s="931">
        <v>0.62039999999999995</v>
      </c>
      <c r="J448" s="931">
        <v>0.62039999999999995</v>
      </c>
      <c r="K448" s="931">
        <v>0.62039999999999995</v>
      </c>
      <c r="L448" s="931">
        <v>0.62039999999999995</v>
      </c>
      <c r="M448" s="931">
        <v>0.62039999999999995</v>
      </c>
    </row>
    <row r="449" spans="1:13">
      <c r="A449" s="938">
        <v>8.8000000000000007</v>
      </c>
      <c r="B449" s="931">
        <v>0.84860000000000002</v>
      </c>
      <c r="C449" s="931">
        <v>0.84860000000000002</v>
      </c>
      <c r="D449" s="931">
        <v>0.7782</v>
      </c>
      <c r="E449" s="931">
        <v>0.7782</v>
      </c>
      <c r="F449" s="931">
        <v>0.7782</v>
      </c>
      <c r="G449" s="931">
        <v>0.7782</v>
      </c>
      <c r="H449" s="931">
        <v>0.7782</v>
      </c>
      <c r="I449" s="931">
        <v>0.61850000000000005</v>
      </c>
      <c r="J449" s="931">
        <v>0.61850000000000005</v>
      </c>
      <c r="K449" s="931">
        <v>0.61850000000000005</v>
      </c>
      <c r="L449" s="931">
        <v>0.61850000000000005</v>
      </c>
      <c r="M449" s="931">
        <v>0.61850000000000005</v>
      </c>
    </row>
    <row r="450" spans="1:13">
      <c r="A450" s="938">
        <v>8.9</v>
      </c>
      <c r="B450" s="931">
        <v>0.84740000000000004</v>
      </c>
      <c r="C450" s="931">
        <v>0.84740000000000004</v>
      </c>
      <c r="D450" s="931">
        <v>0.77669999999999995</v>
      </c>
      <c r="E450" s="931">
        <v>0.77669999999999995</v>
      </c>
      <c r="F450" s="931">
        <v>0.77669999999999995</v>
      </c>
      <c r="G450" s="931">
        <v>0.77669999999999995</v>
      </c>
      <c r="H450" s="931">
        <v>0.77669999999999995</v>
      </c>
      <c r="I450" s="931">
        <v>0.61670000000000003</v>
      </c>
      <c r="J450" s="931">
        <v>0.61670000000000003</v>
      </c>
      <c r="K450" s="931">
        <v>0.61670000000000003</v>
      </c>
      <c r="L450" s="931">
        <v>0.61670000000000003</v>
      </c>
      <c r="M450" s="931">
        <v>0.61670000000000003</v>
      </c>
    </row>
    <row r="451" spans="1:13">
      <c r="A451" s="938">
        <v>9</v>
      </c>
      <c r="B451" s="931">
        <v>0.84619999999999995</v>
      </c>
      <c r="C451" s="931">
        <v>0.84619999999999995</v>
      </c>
      <c r="D451" s="931">
        <v>0.77510000000000001</v>
      </c>
      <c r="E451" s="931">
        <v>0.77510000000000001</v>
      </c>
      <c r="F451" s="931">
        <v>0.77510000000000001</v>
      </c>
      <c r="G451" s="931">
        <v>0.77510000000000001</v>
      </c>
      <c r="H451" s="931">
        <v>0.77510000000000001</v>
      </c>
      <c r="I451" s="931">
        <v>0.61480000000000001</v>
      </c>
      <c r="J451" s="931">
        <v>0.61480000000000001</v>
      </c>
      <c r="K451" s="931">
        <v>0.61480000000000001</v>
      </c>
      <c r="L451" s="931">
        <v>0.61480000000000001</v>
      </c>
      <c r="M451" s="931">
        <v>0.61480000000000001</v>
      </c>
    </row>
    <row r="452" spans="1:13">
      <c r="A452" s="938">
        <v>9.1</v>
      </c>
      <c r="B452" s="931">
        <v>0.84499999999999997</v>
      </c>
      <c r="C452" s="931">
        <v>0.84499999999999997</v>
      </c>
      <c r="D452" s="931">
        <v>0.77359999999999995</v>
      </c>
      <c r="E452" s="931">
        <v>0.77359999999999995</v>
      </c>
      <c r="F452" s="931">
        <v>0.77359999999999995</v>
      </c>
      <c r="G452" s="931">
        <v>0.77359999999999995</v>
      </c>
      <c r="H452" s="931">
        <v>0.77359999999999995</v>
      </c>
      <c r="I452" s="931">
        <v>0.61299999999999999</v>
      </c>
      <c r="J452" s="931">
        <v>0.61299999999999999</v>
      </c>
      <c r="K452" s="931">
        <v>0.61299999999999999</v>
      </c>
      <c r="L452" s="931">
        <v>0.61299999999999999</v>
      </c>
      <c r="M452" s="931">
        <v>0.61299999999999999</v>
      </c>
    </row>
    <row r="453" spans="1:13">
      <c r="A453" s="938">
        <v>9.1999999999999993</v>
      </c>
      <c r="B453" s="931">
        <v>0.84370000000000001</v>
      </c>
      <c r="C453" s="931">
        <v>0.84370000000000001</v>
      </c>
      <c r="D453" s="931">
        <v>0.77210000000000001</v>
      </c>
      <c r="E453" s="931">
        <v>0.77210000000000001</v>
      </c>
      <c r="F453" s="931">
        <v>0.77210000000000001</v>
      </c>
      <c r="G453" s="931">
        <v>0.77210000000000001</v>
      </c>
      <c r="H453" s="931">
        <v>0.77210000000000001</v>
      </c>
      <c r="I453" s="931">
        <v>0.61119999999999997</v>
      </c>
      <c r="J453" s="931">
        <v>0.61119999999999997</v>
      </c>
      <c r="K453" s="931">
        <v>0.61119999999999997</v>
      </c>
      <c r="L453" s="931">
        <v>0.61119999999999997</v>
      </c>
      <c r="M453" s="931">
        <v>0.61119999999999997</v>
      </c>
    </row>
    <row r="454" spans="1:13">
      <c r="A454" s="938">
        <v>9.3000000000000007</v>
      </c>
      <c r="B454" s="931">
        <v>0.84250000000000003</v>
      </c>
      <c r="C454" s="931">
        <v>0.84250000000000003</v>
      </c>
      <c r="D454" s="931">
        <v>0.77059999999999995</v>
      </c>
      <c r="E454" s="931">
        <v>0.77059999999999995</v>
      </c>
      <c r="F454" s="931">
        <v>0.77059999999999995</v>
      </c>
      <c r="G454" s="931">
        <v>0.77059999999999995</v>
      </c>
      <c r="H454" s="931">
        <v>0.77059999999999995</v>
      </c>
      <c r="I454" s="931">
        <v>0.60940000000000005</v>
      </c>
      <c r="J454" s="931">
        <v>0.60940000000000005</v>
      </c>
      <c r="K454" s="931">
        <v>0.60940000000000005</v>
      </c>
      <c r="L454" s="931">
        <v>0.60940000000000005</v>
      </c>
      <c r="M454" s="931">
        <v>0.60940000000000005</v>
      </c>
    </row>
    <row r="455" spans="1:13">
      <c r="A455" s="938">
        <v>9.4</v>
      </c>
      <c r="B455" s="931">
        <v>0.84130000000000005</v>
      </c>
      <c r="C455" s="931">
        <v>0.84130000000000005</v>
      </c>
      <c r="D455" s="931">
        <v>0.76900000000000002</v>
      </c>
      <c r="E455" s="931">
        <v>0.76900000000000002</v>
      </c>
      <c r="F455" s="931">
        <v>0.76900000000000002</v>
      </c>
      <c r="G455" s="931">
        <v>0.76900000000000002</v>
      </c>
      <c r="H455" s="931">
        <v>0.76900000000000002</v>
      </c>
      <c r="I455" s="931">
        <v>0.60760000000000003</v>
      </c>
      <c r="J455" s="931">
        <v>0.60760000000000003</v>
      </c>
      <c r="K455" s="931">
        <v>0.60760000000000003</v>
      </c>
      <c r="L455" s="931">
        <v>0.60760000000000003</v>
      </c>
      <c r="M455" s="931">
        <v>0.60760000000000003</v>
      </c>
    </row>
    <row r="456" spans="1:13">
      <c r="A456" s="938">
        <v>9.5</v>
      </c>
      <c r="B456" s="931">
        <v>0.84009999999999996</v>
      </c>
      <c r="C456" s="931">
        <v>0.84009999999999996</v>
      </c>
      <c r="D456" s="931">
        <v>0.76759999999999995</v>
      </c>
      <c r="E456" s="931">
        <v>0.76759999999999995</v>
      </c>
      <c r="F456" s="931">
        <v>0.76759999999999995</v>
      </c>
      <c r="G456" s="931">
        <v>0.76759999999999995</v>
      </c>
      <c r="H456" s="931">
        <v>0.76759999999999995</v>
      </c>
      <c r="I456" s="931">
        <v>0.60580000000000001</v>
      </c>
      <c r="J456" s="931">
        <v>0.60580000000000001</v>
      </c>
      <c r="K456" s="931">
        <v>0.60580000000000001</v>
      </c>
      <c r="L456" s="931">
        <v>0.60580000000000001</v>
      </c>
      <c r="M456" s="931">
        <v>0.60580000000000001</v>
      </c>
    </row>
    <row r="457" spans="1:13">
      <c r="A457" s="938">
        <v>9.6</v>
      </c>
      <c r="B457" s="931">
        <v>0.83899999999999997</v>
      </c>
      <c r="C457" s="931">
        <v>0.83899999999999997</v>
      </c>
      <c r="D457" s="931">
        <v>0.76619999999999999</v>
      </c>
      <c r="E457" s="931">
        <v>0.76619999999999999</v>
      </c>
      <c r="F457" s="931">
        <v>0.76619999999999999</v>
      </c>
      <c r="G457" s="931">
        <v>0.76619999999999999</v>
      </c>
      <c r="H457" s="931">
        <v>0.76619999999999999</v>
      </c>
      <c r="I457" s="931">
        <v>0.60409999999999997</v>
      </c>
      <c r="J457" s="931">
        <v>0.60409999999999997</v>
      </c>
      <c r="K457" s="931">
        <v>0.60409999999999997</v>
      </c>
      <c r="L457" s="931">
        <v>0.60409999999999997</v>
      </c>
      <c r="M457" s="931">
        <v>0.60409999999999997</v>
      </c>
    </row>
    <row r="458" spans="1:13">
      <c r="A458" s="938">
        <v>9.6999999999999993</v>
      </c>
      <c r="B458" s="931">
        <v>0.83779999999999999</v>
      </c>
      <c r="C458" s="931">
        <v>0.83779999999999999</v>
      </c>
      <c r="D458" s="931">
        <v>0.76480000000000004</v>
      </c>
      <c r="E458" s="931">
        <v>0.76480000000000004</v>
      </c>
      <c r="F458" s="931">
        <v>0.76480000000000004</v>
      </c>
      <c r="G458" s="931">
        <v>0.76480000000000004</v>
      </c>
      <c r="H458" s="931">
        <v>0.76480000000000004</v>
      </c>
      <c r="I458" s="931">
        <v>0.60240000000000005</v>
      </c>
      <c r="J458" s="931">
        <v>0.60240000000000005</v>
      </c>
      <c r="K458" s="931">
        <v>0.60240000000000005</v>
      </c>
      <c r="L458" s="931">
        <v>0.60240000000000005</v>
      </c>
      <c r="M458" s="931">
        <v>0.60240000000000005</v>
      </c>
    </row>
    <row r="459" spans="1:13">
      <c r="A459" s="938">
        <v>9.8000000000000007</v>
      </c>
      <c r="B459" s="931">
        <v>0.8367</v>
      </c>
      <c r="C459" s="931">
        <v>0.8367</v>
      </c>
      <c r="D459" s="931">
        <v>0.76329999999999998</v>
      </c>
      <c r="E459" s="931">
        <v>0.76329999999999998</v>
      </c>
      <c r="F459" s="931">
        <v>0.76329999999999998</v>
      </c>
      <c r="G459" s="931">
        <v>0.76329999999999998</v>
      </c>
      <c r="H459" s="931">
        <v>0.76329999999999998</v>
      </c>
      <c r="I459" s="931">
        <v>0.60060000000000002</v>
      </c>
      <c r="J459" s="931">
        <v>0.60060000000000002</v>
      </c>
      <c r="K459" s="931">
        <v>0.60060000000000002</v>
      </c>
      <c r="L459" s="931">
        <v>0.60060000000000002</v>
      </c>
      <c r="M459" s="931">
        <v>0.60060000000000002</v>
      </c>
    </row>
    <row r="460" spans="1:13">
      <c r="A460" s="938">
        <v>9.9</v>
      </c>
      <c r="B460" s="931">
        <v>0.83560000000000001</v>
      </c>
      <c r="C460" s="931">
        <v>0.83560000000000001</v>
      </c>
      <c r="D460" s="931">
        <v>0.76190000000000002</v>
      </c>
      <c r="E460" s="931">
        <v>0.76190000000000002</v>
      </c>
      <c r="F460" s="931">
        <v>0.76190000000000002</v>
      </c>
      <c r="G460" s="931">
        <v>0.76190000000000002</v>
      </c>
      <c r="H460" s="931">
        <v>0.76190000000000002</v>
      </c>
      <c r="I460" s="931">
        <v>0.59889999999999999</v>
      </c>
      <c r="J460" s="931">
        <v>0.59889999999999999</v>
      </c>
      <c r="K460" s="931">
        <v>0.59889999999999999</v>
      </c>
      <c r="L460" s="931">
        <v>0.59889999999999999</v>
      </c>
      <c r="M460" s="931">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G384"/>
  <sheetViews>
    <sheetView workbookViewId="0">
      <selection sqref="A1:XFD1048576"/>
    </sheetView>
  </sheetViews>
  <sheetFormatPr defaultColWidth="8.875" defaultRowHeight="13.5"/>
  <cols>
    <col min="1" max="1" width="7.5" style="3197" customWidth="1"/>
    <col min="2" max="2" width="13.875" style="3197" customWidth="1"/>
    <col min="3" max="7" width="8.875" style="3197"/>
    <col min="8" max="16384" width="8.875" style="1490"/>
  </cols>
  <sheetData>
    <row r="1" spans="1:7">
      <c r="A1" s="3667" t="s">
        <v>3028</v>
      </c>
      <c r="B1" s="3667"/>
    </row>
    <row r="2" spans="1:7" ht="14.25" thickBot="1">
      <c r="A2" s="3198"/>
      <c r="B2" s="3198"/>
    </row>
    <row r="3" spans="1:7" ht="14.25" thickBot="1">
      <c r="A3" s="3198"/>
      <c r="B3" s="3198"/>
      <c r="C3" s="3199" t="s">
        <v>3029</v>
      </c>
      <c r="D3" s="3199" t="s">
        <v>3030</v>
      </c>
      <c r="E3" s="3199" t="s">
        <v>3031</v>
      </c>
      <c r="F3" s="3199" t="s">
        <v>3032</v>
      </c>
      <c r="G3" s="3199" t="s">
        <v>3033</v>
      </c>
    </row>
    <row r="4" spans="1:7" ht="14.25" thickBot="1">
      <c r="A4" s="3200" t="s">
        <v>3034</v>
      </c>
      <c r="B4" s="3201" t="s">
        <v>3035</v>
      </c>
      <c r="C4" s="3199"/>
      <c r="D4" s="3199"/>
      <c r="E4" s="3199"/>
      <c r="F4" s="3199"/>
      <c r="G4" s="3199"/>
    </row>
    <row r="5" spans="1:7">
      <c r="A5" s="3202" t="s">
        <v>3036</v>
      </c>
      <c r="B5" s="3203" t="s">
        <v>3037</v>
      </c>
      <c r="C5" s="3204">
        <v>9.8000000000000004E-2</v>
      </c>
      <c r="D5" s="3204">
        <v>8.6999999999999994E-2</v>
      </c>
      <c r="E5" s="3204">
        <v>8.6999999999999994E-2</v>
      </c>
      <c r="F5" s="3204">
        <v>9.8000000000000004E-2</v>
      </c>
      <c r="G5" s="3205">
        <v>9.5000000000000001E-2</v>
      </c>
    </row>
    <row r="6" spans="1:7">
      <c r="A6" s="3206" t="s">
        <v>990</v>
      </c>
      <c r="B6" s="3207" t="s">
        <v>3038</v>
      </c>
      <c r="C6" s="3208">
        <v>9.8000000000000004E-2</v>
      </c>
      <c r="D6" s="3208">
        <v>9.8000000000000004E-2</v>
      </c>
      <c r="E6" s="3208">
        <v>9.8000000000000004E-2</v>
      </c>
      <c r="F6" s="3208">
        <v>0.1</v>
      </c>
      <c r="G6" s="3209">
        <v>9.9000000000000005E-2</v>
      </c>
    </row>
    <row r="7" spans="1:7">
      <c r="A7" s="3206" t="s">
        <v>990</v>
      </c>
      <c r="B7" s="3207" t="s">
        <v>982</v>
      </c>
      <c r="C7" s="3208">
        <v>9.7000000000000003E-2</v>
      </c>
      <c r="D7" s="3208">
        <v>9.7000000000000003E-2</v>
      </c>
      <c r="E7" s="3208">
        <v>9.6000000000000002E-2</v>
      </c>
      <c r="F7" s="3208">
        <v>0.1</v>
      </c>
      <c r="G7" s="3209">
        <v>9.8000000000000004E-2</v>
      </c>
    </row>
    <row r="8" spans="1:7">
      <c r="A8" s="3206" t="s">
        <v>990</v>
      </c>
      <c r="B8" s="3207" t="s">
        <v>991</v>
      </c>
      <c r="C8" s="3208">
        <v>8.1000000000000003E-2</v>
      </c>
      <c r="D8" s="3208">
        <v>8.2000000000000003E-2</v>
      </c>
      <c r="E8" s="3208">
        <v>7.0000000000000007E-2</v>
      </c>
      <c r="F8" s="3208">
        <v>9.6000000000000002E-2</v>
      </c>
      <c r="G8" s="3209">
        <v>8.8999999999999996E-2</v>
      </c>
    </row>
    <row r="9" spans="1:7" ht="14.25" thickBot="1">
      <c r="A9" s="3210" t="s">
        <v>990</v>
      </c>
      <c r="B9" s="3211" t="s">
        <v>1001</v>
      </c>
      <c r="C9" s="3212">
        <v>0.1</v>
      </c>
      <c r="D9" s="3212">
        <v>0.1</v>
      </c>
      <c r="E9" s="3212">
        <v>0.1</v>
      </c>
      <c r="F9" s="3213"/>
      <c r="G9" s="3214">
        <v>0.1</v>
      </c>
    </row>
    <row r="10" spans="1:7">
      <c r="A10" s="3202" t="s">
        <v>1031</v>
      </c>
      <c r="B10" s="3203" t="s">
        <v>3039</v>
      </c>
      <c r="C10" s="3204">
        <v>6.7000000000000004E-2</v>
      </c>
      <c r="D10" s="3204">
        <v>7.9000000000000001E-2</v>
      </c>
      <c r="E10" s="3204">
        <v>7.9000000000000001E-2</v>
      </c>
      <c r="F10" s="3204">
        <v>0.1</v>
      </c>
      <c r="G10" s="3205">
        <v>9.0999999999999998E-2</v>
      </c>
    </row>
    <row r="11" spans="1:7">
      <c r="A11" s="3206" t="s">
        <v>1031</v>
      </c>
      <c r="B11" s="3207" t="s">
        <v>973</v>
      </c>
      <c r="C11" s="3208">
        <v>0.05</v>
      </c>
      <c r="D11" s="3208">
        <v>5.2999999999999999E-2</v>
      </c>
      <c r="E11" s="3208">
        <v>6.3E-2</v>
      </c>
      <c r="F11" s="3208">
        <v>0.1</v>
      </c>
      <c r="G11" s="3209">
        <v>7.1999999999999995E-2</v>
      </c>
    </row>
    <row r="12" spans="1:7">
      <c r="A12" s="3206" t="s">
        <v>1031</v>
      </c>
      <c r="B12" s="3207" t="s">
        <v>983</v>
      </c>
      <c r="C12" s="3208">
        <v>5.2999999999999999E-2</v>
      </c>
      <c r="D12" s="3208">
        <v>0.09</v>
      </c>
      <c r="E12" s="3208">
        <v>7.1999999999999995E-2</v>
      </c>
      <c r="F12" s="3208">
        <v>0.1</v>
      </c>
      <c r="G12" s="3209">
        <v>9.7000000000000003E-2</v>
      </c>
    </row>
    <row r="13" spans="1:7">
      <c r="A13" s="3206" t="s">
        <v>1031</v>
      </c>
      <c r="B13" s="3207" t="s">
        <v>992</v>
      </c>
      <c r="C13" s="3208">
        <v>9.7000000000000003E-2</v>
      </c>
      <c r="D13" s="3208">
        <v>9.1999999999999998E-2</v>
      </c>
      <c r="E13" s="3208">
        <v>9.5000000000000001E-2</v>
      </c>
      <c r="F13" s="3208">
        <v>0.1</v>
      </c>
      <c r="G13" s="3209">
        <v>9.7000000000000003E-2</v>
      </c>
    </row>
    <row r="14" spans="1:7">
      <c r="A14" s="3206" t="s">
        <v>1031</v>
      </c>
      <c r="B14" s="3207" t="s">
        <v>1002</v>
      </c>
      <c r="C14" s="3208">
        <v>9.7000000000000003E-2</v>
      </c>
      <c r="D14" s="3208">
        <v>9.7000000000000003E-2</v>
      </c>
      <c r="E14" s="3208">
        <v>9.7000000000000003E-2</v>
      </c>
      <c r="F14" s="3208">
        <v>0.1</v>
      </c>
      <c r="G14" s="3209">
        <v>9.8000000000000004E-2</v>
      </c>
    </row>
    <row r="15" spans="1:7">
      <c r="A15" s="3206" t="s">
        <v>1031</v>
      </c>
      <c r="B15" s="3207" t="s">
        <v>1009</v>
      </c>
      <c r="C15" s="3208">
        <v>9.8000000000000004E-2</v>
      </c>
      <c r="D15" s="3208">
        <v>9.0999999999999998E-2</v>
      </c>
      <c r="E15" s="3208">
        <v>0.06</v>
      </c>
      <c r="F15" s="3208">
        <v>0.1</v>
      </c>
      <c r="G15" s="3209">
        <v>9.7000000000000003E-2</v>
      </c>
    </row>
    <row r="16" spans="1:7">
      <c r="A16" s="3206" t="s">
        <v>1031</v>
      </c>
      <c r="B16" s="3207" t="s">
        <v>1015</v>
      </c>
      <c r="C16" s="3208">
        <v>9.8000000000000004E-2</v>
      </c>
      <c r="D16" s="3208">
        <v>9.7000000000000003E-2</v>
      </c>
      <c r="E16" s="3208">
        <v>9.5000000000000001E-2</v>
      </c>
      <c r="F16" s="3208">
        <v>0.1</v>
      </c>
      <c r="G16" s="3209">
        <v>9.9000000000000005E-2</v>
      </c>
    </row>
    <row r="17" spans="1:7">
      <c r="A17" s="3206" t="s">
        <v>1031</v>
      </c>
      <c r="B17" s="3207" t="s">
        <v>1022</v>
      </c>
      <c r="C17" s="3208">
        <v>8.8999999999999996E-2</v>
      </c>
      <c r="D17" s="3208">
        <v>9.1999999999999998E-2</v>
      </c>
      <c r="E17" s="3208">
        <v>6.0999999999999999E-2</v>
      </c>
      <c r="F17" s="3208">
        <v>0.1</v>
      </c>
      <c r="G17" s="3209">
        <v>9.7000000000000003E-2</v>
      </c>
    </row>
    <row r="18" spans="1:7">
      <c r="A18" s="3206" t="s">
        <v>1031</v>
      </c>
      <c r="B18" s="3207" t="s">
        <v>1032</v>
      </c>
      <c r="C18" s="3208">
        <v>9.8000000000000004E-2</v>
      </c>
      <c r="D18" s="3208">
        <v>9.8000000000000004E-2</v>
      </c>
      <c r="E18" s="3208">
        <v>9.8000000000000004E-2</v>
      </c>
      <c r="F18" s="3215"/>
      <c r="G18" s="3209">
        <v>9.9000000000000005E-2</v>
      </c>
    </row>
    <row r="19" spans="1:7">
      <c r="A19" s="3206" t="s">
        <v>1031</v>
      </c>
      <c r="B19" s="3207" t="s">
        <v>1041</v>
      </c>
      <c r="C19" s="3208">
        <v>9.9000000000000005E-2</v>
      </c>
      <c r="D19" s="3208">
        <v>7.3999999999999996E-2</v>
      </c>
      <c r="E19" s="3208">
        <v>8.1000000000000003E-2</v>
      </c>
      <c r="F19" s="3215"/>
      <c r="G19" s="3209">
        <v>9.2999999999999999E-2</v>
      </c>
    </row>
    <row r="20" spans="1:7">
      <c r="A20" s="3206" t="s">
        <v>1031</v>
      </c>
      <c r="B20" s="3207" t="s">
        <v>1048</v>
      </c>
      <c r="C20" s="3208">
        <v>0.1</v>
      </c>
      <c r="D20" s="3208">
        <v>8.8999999999999996E-2</v>
      </c>
      <c r="E20" s="3208">
        <v>8.8999999999999996E-2</v>
      </c>
      <c r="F20" s="3215"/>
      <c r="G20" s="3209">
        <v>9.5000000000000001E-2</v>
      </c>
    </row>
    <row r="21" spans="1:7">
      <c r="A21" s="3206" t="s">
        <v>1031</v>
      </c>
      <c r="B21" s="3207" t="s">
        <v>1055</v>
      </c>
      <c r="C21" s="3208">
        <v>0.1</v>
      </c>
      <c r="D21" s="3208">
        <v>9.0999999999999998E-2</v>
      </c>
      <c r="E21" s="3208">
        <v>8.2000000000000003E-2</v>
      </c>
      <c r="F21" s="3215"/>
      <c r="G21" s="3209">
        <v>9.7000000000000003E-2</v>
      </c>
    </row>
    <row r="22" spans="1:7">
      <c r="A22" s="3206" t="s">
        <v>1031</v>
      </c>
      <c r="B22" s="3207" t="s">
        <v>3040</v>
      </c>
      <c r="C22" s="3208">
        <v>9.5000000000000001E-2</v>
      </c>
      <c r="D22" s="3208">
        <v>9.9000000000000005E-2</v>
      </c>
      <c r="E22" s="3208">
        <v>9.8000000000000004E-2</v>
      </c>
      <c r="F22" s="3215"/>
      <c r="G22" s="3209">
        <v>0.1</v>
      </c>
    </row>
    <row r="23" spans="1:7">
      <c r="A23" s="3206" t="s">
        <v>1031</v>
      </c>
      <c r="B23" s="3207" t="s">
        <v>1070</v>
      </c>
      <c r="C23" s="3208">
        <v>9.9000000000000005E-2</v>
      </c>
      <c r="D23" s="3208">
        <v>0.1</v>
      </c>
      <c r="E23" s="3208">
        <v>0.1</v>
      </c>
      <c r="F23" s="3215"/>
      <c r="G23" s="3209">
        <v>0.1</v>
      </c>
    </row>
    <row r="24" spans="1:7">
      <c r="A24" s="3206" t="s">
        <v>1031</v>
      </c>
      <c r="B24" s="3207" t="s">
        <v>1078</v>
      </c>
      <c r="C24" s="3208">
        <v>9.5000000000000001E-2</v>
      </c>
      <c r="D24" s="3208">
        <v>0.1</v>
      </c>
      <c r="E24" s="3208">
        <v>9.8000000000000004E-2</v>
      </c>
      <c r="F24" s="3215"/>
      <c r="G24" s="3209">
        <v>0.1</v>
      </c>
    </row>
    <row r="25" spans="1:7">
      <c r="A25" s="3206" t="s">
        <v>1031</v>
      </c>
      <c r="B25" s="3207" t="s">
        <v>1083</v>
      </c>
      <c r="C25" s="3208">
        <v>0.05</v>
      </c>
      <c r="D25" s="3208">
        <v>9.6000000000000002E-2</v>
      </c>
      <c r="E25" s="3208">
        <v>9.6000000000000002E-2</v>
      </c>
      <c r="F25" s="3215"/>
      <c r="G25" s="3209">
        <v>9.6000000000000002E-2</v>
      </c>
    </row>
    <row r="26" spans="1:7">
      <c r="A26" s="3206" t="s">
        <v>1031</v>
      </c>
      <c r="B26" s="3207" t="s">
        <v>1092</v>
      </c>
      <c r="C26" s="3208">
        <v>6.3E-2</v>
      </c>
      <c r="D26" s="3208">
        <v>9.9000000000000005E-2</v>
      </c>
      <c r="E26" s="3208">
        <v>9.8000000000000004E-2</v>
      </c>
      <c r="F26" s="3215"/>
      <c r="G26" s="3209">
        <v>0.1</v>
      </c>
    </row>
    <row r="27" spans="1:7">
      <c r="A27" s="3206" t="s">
        <v>1031</v>
      </c>
      <c r="B27" s="3207" t="s">
        <v>1099</v>
      </c>
      <c r="C27" s="3208">
        <v>5.1999999999999998E-2</v>
      </c>
      <c r="D27" s="3208">
        <v>9.5000000000000001E-2</v>
      </c>
      <c r="E27" s="3208">
        <v>6.4000000000000001E-2</v>
      </c>
      <c r="F27" s="3215"/>
      <c r="G27" s="3209">
        <v>9.7000000000000003E-2</v>
      </c>
    </row>
    <row r="28" spans="1:7">
      <c r="A28" s="3206" t="s">
        <v>1031</v>
      </c>
      <c r="B28" s="3207" t="s">
        <v>1107</v>
      </c>
      <c r="C28" s="3215"/>
      <c r="D28" s="3208">
        <v>6.3E-2</v>
      </c>
      <c r="E28" s="3208">
        <v>5.1999999999999998E-2</v>
      </c>
      <c r="F28" s="3215"/>
      <c r="G28" s="3209">
        <v>6.3E-2</v>
      </c>
    </row>
    <row r="29" spans="1:7" ht="14.25" thickBot="1">
      <c r="A29" s="3210" t="s">
        <v>1031</v>
      </c>
      <c r="B29" s="3211" t="s">
        <v>2826</v>
      </c>
      <c r="C29" s="3216"/>
      <c r="D29" s="3212">
        <v>5.1999999999999998E-2</v>
      </c>
      <c r="E29" s="3212">
        <v>7.0000000000000007E-2</v>
      </c>
      <c r="F29" s="3216"/>
      <c r="G29" s="3214">
        <v>7.0999999999999994E-2</v>
      </c>
    </row>
    <row r="30" spans="1:7">
      <c r="A30" s="3217" t="s">
        <v>1145</v>
      </c>
      <c r="B30" s="3203" t="s">
        <v>3041</v>
      </c>
      <c r="C30" s="3204">
        <v>6.6000000000000003E-2</v>
      </c>
      <c r="D30" s="3204">
        <v>6.6000000000000003E-2</v>
      </c>
      <c r="E30" s="3204">
        <v>5.7000000000000002E-2</v>
      </c>
      <c r="F30" s="3204">
        <v>0.1</v>
      </c>
      <c r="G30" s="3205">
        <v>6.8000000000000005E-2</v>
      </c>
    </row>
    <row r="31" spans="1:7">
      <c r="A31" s="3218" t="s">
        <v>1145</v>
      </c>
      <c r="B31" s="3207" t="s">
        <v>974</v>
      </c>
      <c r="C31" s="3208">
        <v>5.5E-2</v>
      </c>
      <c r="D31" s="3208">
        <v>8.2000000000000003E-2</v>
      </c>
      <c r="E31" s="3208">
        <v>6.4000000000000001E-2</v>
      </c>
      <c r="F31" s="3208">
        <v>0.1</v>
      </c>
      <c r="G31" s="3209">
        <v>9.5000000000000001E-2</v>
      </c>
    </row>
    <row r="32" spans="1:7">
      <c r="A32" s="3218" t="s">
        <v>1145</v>
      </c>
      <c r="B32" s="3207" t="s">
        <v>984</v>
      </c>
      <c r="C32" s="3208">
        <v>8.2000000000000003E-2</v>
      </c>
      <c r="D32" s="3208">
        <v>8.6999999999999994E-2</v>
      </c>
      <c r="E32" s="3208">
        <v>9.5000000000000001E-2</v>
      </c>
      <c r="F32" s="3208">
        <v>0.1</v>
      </c>
      <c r="G32" s="3209">
        <v>9.6000000000000002E-2</v>
      </c>
    </row>
    <row r="33" spans="1:7">
      <c r="A33" s="3218" t="s">
        <v>1145</v>
      </c>
      <c r="B33" s="3207" t="s">
        <v>993</v>
      </c>
      <c r="C33" s="3208">
        <v>9.9000000000000005E-2</v>
      </c>
      <c r="D33" s="3208">
        <v>9.1999999999999998E-2</v>
      </c>
      <c r="E33" s="3208">
        <v>8.6999999999999994E-2</v>
      </c>
      <c r="F33" s="3208">
        <v>0.1</v>
      </c>
      <c r="G33" s="3209">
        <v>9.7000000000000003E-2</v>
      </c>
    </row>
    <row r="34" spans="1:7">
      <c r="A34" s="3218" t="s">
        <v>1145</v>
      </c>
      <c r="B34" s="3207" t="s">
        <v>1003</v>
      </c>
      <c r="C34" s="3208">
        <v>8.4000000000000005E-2</v>
      </c>
      <c r="D34" s="3208">
        <v>9.7000000000000003E-2</v>
      </c>
      <c r="E34" s="3208">
        <v>7.0999999999999994E-2</v>
      </c>
      <c r="F34" s="3208">
        <v>0.1</v>
      </c>
      <c r="G34" s="3209">
        <v>9.8000000000000004E-2</v>
      </c>
    </row>
    <row r="35" spans="1:7">
      <c r="A35" s="3218" t="s">
        <v>1145</v>
      </c>
      <c r="B35" s="3207" t="s">
        <v>1010</v>
      </c>
      <c r="C35" s="3208">
        <v>8.3000000000000004E-2</v>
      </c>
      <c r="D35" s="3208">
        <v>9.7000000000000003E-2</v>
      </c>
      <c r="E35" s="3208">
        <v>6.0999999999999999E-2</v>
      </c>
      <c r="F35" s="3208">
        <v>0.1</v>
      </c>
      <c r="G35" s="3209">
        <v>9.9000000000000005E-2</v>
      </c>
    </row>
    <row r="36" spans="1:7">
      <c r="A36" s="3218" t="s">
        <v>1145</v>
      </c>
      <c r="B36" s="3207" t="s">
        <v>1016</v>
      </c>
      <c r="C36" s="3208">
        <v>9.7000000000000003E-2</v>
      </c>
      <c r="D36" s="3208">
        <v>9.7000000000000003E-2</v>
      </c>
      <c r="E36" s="3208">
        <v>7.8E-2</v>
      </c>
      <c r="F36" s="3208">
        <v>0.1</v>
      </c>
      <c r="G36" s="3209">
        <v>9.9000000000000005E-2</v>
      </c>
    </row>
    <row r="37" spans="1:7">
      <c r="A37" s="3218" t="s">
        <v>1145</v>
      </c>
      <c r="B37" s="3207" t="s">
        <v>1023</v>
      </c>
      <c r="C37" s="3208">
        <v>9.7000000000000003E-2</v>
      </c>
      <c r="D37" s="3208">
        <v>9.5000000000000001E-2</v>
      </c>
      <c r="E37" s="3208">
        <v>7.8E-2</v>
      </c>
      <c r="F37" s="3208">
        <v>0.1</v>
      </c>
      <c r="G37" s="3209">
        <v>9.7000000000000003E-2</v>
      </c>
    </row>
    <row r="38" spans="1:7">
      <c r="A38" s="3218" t="s">
        <v>1145</v>
      </c>
      <c r="B38" s="3207" t="s">
        <v>1033</v>
      </c>
      <c r="C38" s="3208">
        <v>9.7000000000000003E-2</v>
      </c>
      <c r="D38" s="3208">
        <v>7.6999999999999999E-2</v>
      </c>
      <c r="E38" s="3208">
        <v>7.0000000000000007E-2</v>
      </c>
      <c r="F38" s="3208">
        <v>0.1</v>
      </c>
      <c r="G38" s="3209">
        <v>7.6999999999999999E-2</v>
      </c>
    </row>
    <row r="39" spans="1:7">
      <c r="A39" s="3218" t="s">
        <v>1145</v>
      </c>
      <c r="B39" s="3207" t="s">
        <v>1042</v>
      </c>
      <c r="C39" s="3208">
        <v>9.5000000000000001E-2</v>
      </c>
      <c r="D39" s="3208">
        <v>7.6999999999999999E-2</v>
      </c>
      <c r="E39" s="3208">
        <v>6.6000000000000003E-2</v>
      </c>
      <c r="F39" s="3208">
        <v>0.1</v>
      </c>
      <c r="G39" s="3209">
        <v>8.5999999999999993E-2</v>
      </c>
    </row>
    <row r="40" spans="1:7">
      <c r="A40" s="3218" t="s">
        <v>1145</v>
      </c>
      <c r="B40" s="3207" t="s">
        <v>1049</v>
      </c>
      <c r="C40" s="3208">
        <v>7.6999999999999999E-2</v>
      </c>
      <c r="D40" s="3208">
        <v>7.8E-2</v>
      </c>
      <c r="E40" s="3208">
        <v>8.2000000000000003E-2</v>
      </c>
      <c r="F40" s="3219"/>
      <c r="G40" s="3209">
        <v>7.8E-2</v>
      </c>
    </row>
    <row r="41" spans="1:7">
      <c r="A41" s="3218" t="s">
        <v>1145</v>
      </c>
      <c r="B41" s="3207" t="s">
        <v>1056</v>
      </c>
      <c r="C41" s="3208">
        <v>7.8E-2</v>
      </c>
      <c r="D41" s="3208">
        <v>7.8E-2</v>
      </c>
      <c r="E41" s="3208">
        <v>8.2000000000000003E-2</v>
      </c>
      <c r="F41" s="3219"/>
      <c r="G41" s="3209">
        <v>8.5999999999999993E-2</v>
      </c>
    </row>
    <row r="42" spans="1:7">
      <c r="A42" s="3218" t="s">
        <v>1145</v>
      </c>
      <c r="B42" s="3207" t="s">
        <v>1063</v>
      </c>
      <c r="C42" s="3208">
        <v>7.8E-2</v>
      </c>
      <c r="D42" s="3208">
        <v>9.6000000000000002E-2</v>
      </c>
      <c r="E42" s="3208">
        <v>7.1999999999999995E-2</v>
      </c>
      <c r="F42" s="3219"/>
      <c r="G42" s="3209">
        <v>9.8000000000000004E-2</v>
      </c>
    </row>
    <row r="43" spans="1:7">
      <c r="A43" s="3218" t="s">
        <v>3042</v>
      </c>
      <c r="B43" s="3207" t="s">
        <v>1071</v>
      </c>
      <c r="C43" s="3208">
        <v>7.8E-2</v>
      </c>
      <c r="D43" s="3208">
        <v>9.9000000000000005E-2</v>
      </c>
      <c r="E43" s="3208">
        <v>9.6000000000000002E-2</v>
      </c>
      <c r="F43" s="3219"/>
      <c r="G43" s="3209">
        <v>0.1</v>
      </c>
    </row>
    <row r="44" spans="1:7">
      <c r="A44" s="3218" t="s">
        <v>1145</v>
      </c>
      <c r="B44" s="3207" t="s">
        <v>1079</v>
      </c>
      <c r="C44" s="3208">
        <v>9.6000000000000002E-2</v>
      </c>
      <c r="D44" s="3208">
        <v>0.1</v>
      </c>
      <c r="E44" s="3208">
        <v>9.8000000000000004E-2</v>
      </c>
      <c r="F44" s="3219"/>
      <c r="G44" s="3209">
        <v>0.1</v>
      </c>
    </row>
    <row r="45" spans="1:7">
      <c r="A45" s="3218" t="s">
        <v>1145</v>
      </c>
      <c r="B45" s="3207" t="s">
        <v>1084</v>
      </c>
      <c r="C45" s="3208">
        <v>9.9000000000000005E-2</v>
      </c>
      <c r="D45" s="3208">
        <v>9.8000000000000004E-2</v>
      </c>
      <c r="E45" s="3208">
        <v>9.5000000000000001E-2</v>
      </c>
      <c r="F45" s="3219"/>
      <c r="G45" s="3209">
        <v>9.8000000000000004E-2</v>
      </c>
    </row>
    <row r="46" spans="1:7">
      <c r="A46" s="3218" t="s">
        <v>1145</v>
      </c>
      <c r="B46" s="3207" t="s">
        <v>1093</v>
      </c>
      <c r="C46" s="3208">
        <v>0.1</v>
      </c>
      <c r="D46" s="3208">
        <v>9.9000000000000005E-2</v>
      </c>
      <c r="E46" s="3208">
        <v>9.6000000000000002E-2</v>
      </c>
      <c r="F46" s="3219"/>
      <c r="G46" s="3209">
        <v>0.1</v>
      </c>
    </row>
    <row r="47" spans="1:7">
      <c r="A47" s="3218" t="s">
        <v>1145</v>
      </c>
      <c r="B47" s="3207" t="s">
        <v>1100</v>
      </c>
      <c r="C47" s="3208">
        <v>9.8000000000000004E-2</v>
      </c>
      <c r="D47" s="3208">
        <v>8.6999999999999994E-2</v>
      </c>
      <c r="E47" s="3208">
        <v>5.8999999999999997E-2</v>
      </c>
      <c r="F47" s="3219"/>
      <c r="G47" s="3209">
        <v>9.6000000000000002E-2</v>
      </c>
    </row>
    <row r="48" spans="1:7">
      <c r="A48" s="3218" t="s">
        <v>1145</v>
      </c>
      <c r="B48" s="3207" t="s">
        <v>1108</v>
      </c>
      <c r="C48" s="3208">
        <v>9.9000000000000005E-2</v>
      </c>
      <c r="D48" s="3208">
        <v>9.8000000000000004E-2</v>
      </c>
      <c r="E48" s="3208">
        <v>9.5000000000000001E-2</v>
      </c>
      <c r="F48" s="3219"/>
      <c r="G48" s="3209">
        <v>9.8000000000000004E-2</v>
      </c>
    </row>
    <row r="49" spans="1:7">
      <c r="A49" s="3218" t="s">
        <v>1145</v>
      </c>
      <c r="B49" s="3207" t="s">
        <v>1115</v>
      </c>
      <c r="C49" s="3208">
        <v>8.7999999999999995E-2</v>
      </c>
      <c r="D49" s="3208">
        <v>9.9000000000000005E-2</v>
      </c>
      <c r="E49" s="3208">
        <v>7.0000000000000007E-2</v>
      </c>
      <c r="F49" s="3219"/>
      <c r="G49" s="3209">
        <v>0.1</v>
      </c>
    </row>
    <row r="50" spans="1:7">
      <c r="A50" s="3218" t="s">
        <v>1145</v>
      </c>
      <c r="B50" s="3207" t="s">
        <v>2828</v>
      </c>
      <c r="C50" s="3208">
        <v>9.8000000000000004E-2</v>
      </c>
      <c r="D50" s="3208">
        <v>7.2999999999999995E-2</v>
      </c>
      <c r="E50" s="3208">
        <v>7.0999999999999994E-2</v>
      </c>
      <c r="F50" s="3219"/>
      <c r="G50" s="3209">
        <v>7.2999999999999995E-2</v>
      </c>
    </row>
    <row r="51" spans="1:7">
      <c r="A51" s="3218" t="s">
        <v>1145</v>
      </c>
      <c r="B51" s="3207" t="s">
        <v>2829</v>
      </c>
      <c r="C51" s="3208">
        <v>9.9000000000000005E-2</v>
      </c>
      <c r="D51" s="3208">
        <v>8.5000000000000006E-2</v>
      </c>
      <c r="E51" s="3208">
        <v>6.3E-2</v>
      </c>
      <c r="F51" s="3219"/>
      <c r="G51" s="3209">
        <v>9.6000000000000002E-2</v>
      </c>
    </row>
    <row r="52" spans="1:7">
      <c r="A52" s="3218" t="s">
        <v>1145</v>
      </c>
      <c r="B52" s="3207" t="s">
        <v>2830</v>
      </c>
      <c r="C52" s="3208">
        <v>7.3999999999999996E-2</v>
      </c>
      <c r="D52" s="3208">
        <v>9.6000000000000002E-2</v>
      </c>
      <c r="E52" s="3208">
        <v>0.05</v>
      </c>
      <c r="F52" s="3219"/>
      <c r="G52" s="3209">
        <v>9.8000000000000004E-2</v>
      </c>
    </row>
    <row r="53" spans="1:7">
      <c r="A53" s="3218" t="s">
        <v>1145</v>
      </c>
      <c r="B53" s="3207" t="s">
        <v>2831</v>
      </c>
      <c r="C53" s="3208">
        <v>8.5999999999999993E-2</v>
      </c>
      <c r="D53" s="3219"/>
      <c r="E53" s="3208">
        <v>9.1999999999999998E-2</v>
      </c>
      <c r="F53" s="3219"/>
      <c r="G53" s="3220"/>
    </row>
    <row r="54" spans="1:7" ht="14.25" thickBot="1">
      <c r="A54" s="3221" t="s">
        <v>1145</v>
      </c>
      <c r="B54" s="3211" t="s">
        <v>2832</v>
      </c>
      <c r="C54" s="3212">
        <v>9.6000000000000002E-2</v>
      </c>
      <c r="D54" s="3213"/>
      <c r="E54" s="3222"/>
      <c r="F54" s="3213"/>
      <c r="G54" s="3223"/>
    </row>
    <row r="55" spans="1:7">
      <c r="A55" s="3217" t="s">
        <v>853</v>
      </c>
      <c r="B55" s="3203" t="s">
        <v>3043</v>
      </c>
      <c r="C55" s="3204">
        <v>9.6000000000000002E-2</v>
      </c>
      <c r="D55" s="3204">
        <v>8.4000000000000005E-2</v>
      </c>
      <c r="E55" s="3204">
        <v>9.1999999999999998E-2</v>
      </c>
      <c r="F55" s="3204">
        <v>0.1</v>
      </c>
      <c r="G55" s="3205">
        <v>9.5000000000000001E-2</v>
      </c>
    </row>
    <row r="56" spans="1:7">
      <c r="A56" s="3218" t="s">
        <v>853</v>
      </c>
      <c r="B56" s="3207" t="s">
        <v>975</v>
      </c>
      <c r="C56" s="3208">
        <v>8.4000000000000005E-2</v>
      </c>
      <c r="D56" s="3208">
        <v>9.1999999999999998E-2</v>
      </c>
      <c r="E56" s="3208">
        <v>9.5000000000000001E-2</v>
      </c>
      <c r="F56" s="3208">
        <v>9.1999999999999998E-2</v>
      </c>
      <c r="G56" s="3209">
        <v>9.6000000000000002E-2</v>
      </c>
    </row>
    <row r="57" spans="1:7">
      <c r="A57" s="3218" t="s">
        <v>853</v>
      </c>
      <c r="B57" s="3207" t="s">
        <v>985</v>
      </c>
      <c r="C57" s="3208">
        <v>9.9000000000000005E-2</v>
      </c>
      <c r="D57" s="3208">
        <v>9.6000000000000002E-2</v>
      </c>
      <c r="E57" s="3208">
        <v>9.1999999999999998E-2</v>
      </c>
      <c r="F57" s="3208">
        <v>0.1</v>
      </c>
      <c r="G57" s="3209">
        <v>9.8000000000000004E-2</v>
      </c>
    </row>
    <row r="58" spans="1:7">
      <c r="A58" s="3218" t="s">
        <v>853</v>
      </c>
      <c r="B58" s="3207" t="s">
        <v>994</v>
      </c>
      <c r="C58" s="3208">
        <v>9.8000000000000004E-2</v>
      </c>
      <c r="D58" s="3208">
        <v>9.5000000000000001E-2</v>
      </c>
      <c r="E58" s="3208">
        <v>5.7000000000000002E-2</v>
      </c>
      <c r="F58" s="3208">
        <v>0.1</v>
      </c>
      <c r="G58" s="3209">
        <v>9.6000000000000002E-2</v>
      </c>
    </row>
    <row r="59" spans="1:7">
      <c r="A59" s="3218" t="s">
        <v>853</v>
      </c>
      <c r="B59" s="3207" t="s">
        <v>1004</v>
      </c>
      <c r="C59" s="3208">
        <v>9.5000000000000001E-2</v>
      </c>
      <c r="D59" s="3208">
        <v>0.1</v>
      </c>
      <c r="E59" s="3208">
        <v>7.4999999999999997E-2</v>
      </c>
      <c r="F59" s="3208">
        <v>0.1</v>
      </c>
      <c r="G59" s="3209">
        <v>0.1</v>
      </c>
    </row>
    <row r="60" spans="1:7">
      <c r="A60" s="3218" t="s">
        <v>853</v>
      </c>
      <c r="B60" s="3207" t="s">
        <v>1011</v>
      </c>
      <c r="C60" s="3208">
        <v>0.1</v>
      </c>
      <c r="D60" s="3208">
        <v>9.7000000000000003E-2</v>
      </c>
      <c r="E60" s="3208">
        <v>0.1</v>
      </c>
      <c r="F60" s="3208">
        <v>0.1</v>
      </c>
      <c r="G60" s="3209">
        <v>9.7000000000000003E-2</v>
      </c>
    </row>
    <row r="61" spans="1:7">
      <c r="A61" s="3218" t="s">
        <v>853</v>
      </c>
      <c r="B61" s="3207" t="s">
        <v>1017</v>
      </c>
      <c r="C61" s="3208">
        <v>9.7000000000000003E-2</v>
      </c>
      <c r="D61" s="3208">
        <v>0.1</v>
      </c>
      <c r="E61" s="3208">
        <v>9.2999999999999999E-2</v>
      </c>
      <c r="F61" s="3208">
        <v>0.1</v>
      </c>
      <c r="G61" s="3209">
        <v>0.1</v>
      </c>
    </row>
    <row r="62" spans="1:7">
      <c r="A62" s="3218" t="s">
        <v>853</v>
      </c>
      <c r="B62" s="3207" t="s">
        <v>1024</v>
      </c>
      <c r="C62" s="3208">
        <v>0.1</v>
      </c>
      <c r="D62" s="3208">
        <v>9.7000000000000003E-2</v>
      </c>
      <c r="E62" s="3208">
        <v>8.8999999999999996E-2</v>
      </c>
      <c r="F62" s="3208">
        <v>0.1</v>
      </c>
      <c r="G62" s="3209">
        <v>9.8000000000000004E-2</v>
      </c>
    </row>
    <row r="63" spans="1:7">
      <c r="A63" s="3218" t="s">
        <v>853</v>
      </c>
      <c r="B63" s="3207" t="s">
        <v>1034</v>
      </c>
      <c r="C63" s="3208">
        <v>9.7000000000000003E-2</v>
      </c>
      <c r="D63" s="3208">
        <v>9.7000000000000003E-2</v>
      </c>
      <c r="E63" s="3208">
        <v>9.9000000000000005E-2</v>
      </c>
      <c r="F63" s="3208">
        <v>0.1</v>
      </c>
      <c r="G63" s="3209">
        <v>9.7000000000000003E-2</v>
      </c>
    </row>
    <row r="64" spans="1:7">
      <c r="A64" s="3218" t="s">
        <v>853</v>
      </c>
      <c r="B64" s="3207" t="s">
        <v>1043</v>
      </c>
      <c r="C64" s="3208">
        <v>9.7000000000000003E-2</v>
      </c>
      <c r="D64" s="3208">
        <v>7.3999999999999996E-2</v>
      </c>
      <c r="E64" s="3208">
        <v>7.8E-2</v>
      </c>
      <c r="F64" s="3208">
        <v>0.1</v>
      </c>
      <c r="G64" s="3209">
        <v>8.8999999999999996E-2</v>
      </c>
    </row>
    <row r="65" spans="1:7">
      <c r="A65" s="3218" t="s">
        <v>853</v>
      </c>
      <c r="B65" s="3207" t="s">
        <v>1050</v>
      </c>
      <c r="C65" s="3208">
        <v>7.2999999999999995E-2</v>
      </c>
      <c r="D65" s="3208">
        <v>9.8000000000000004E-2</v>
      </c>
      <c r="E65" s="3208">
        <v>9.5000000000000001E-2</v>
      </c>
      <c r="F65" s="3208">
        <v>0.1</v>
      </c>
      <c r="G65" s="3209">
        <v>9.9000000000000005E-2</v>
      </c>
    </row>
    <row r="66" spans="1:7">
      <c r="A66" s="3218" t="s">
        <v>853</v>
      </c>
      <c r="B66" s="3207" t="s">
        <v>1057</v>
      </c>
      <c r="C66" s="3208">
        <v>9.8000000000000004E-2</v>
      </c>
      <c r="D66" s="3208">
        <v>9.5000000000000001E-2</v>
      </c>
      <c r="E66" s="3208">
        <v>0.05</v>
      </c>
      <c r="F66" s="3208">
        <v>0.1</v>
      </c>
      <c r="G66" s="3209">
        <v>9.7000000000000003E-2</v>
      </c>
    </row>
    <row r="67" spans="1:7">
      <c r="A67" s="3218" t="s">
        <v>853</v>
      </c>
      <c r="B67" s="3207" t="s">
        <v>1064</v>
      </c>
      <c r="C67" s="3208">
        <v>9.5000000000000001E-2</v>
      </c>
      <c r="D67" s="3208">
        <v>9.7000000000000003E-2</v>
      </c>
      <c r="E67" s="3208">
        <v>9.7000000000000003E-2</v>
      </c>
      <c r="F67" s="3208">
        <v>0.1</v>
      </c>
      <c r="G67" s="3209">
        <v>9.9000000000000005E-2</v>
      </c>
    </row>
    <row r="68" spans="1:7">
      <c r="A68" s="3218" t="s">
        <v>853</v>
      </c>
      <c r="B68" s="3207" t="s">
        <v>1072</v>
      </c>
      <c r="C68" s="3208">
        <v>9.7000000000000003E-2</v>
      </c>
      <c r="D68" s="3208">
        <v>6.8000000000000005E-2</v>
      </c>
      <c r="E68" s="3208">
        <v>6.6000000000000003E-2</v>
      </c>
      <c r="F68" s="3208">
        <v>0.1</v>
      </c>
      <c r="G68" s="3209">
        <v>8.4000000000000005E-2</v>
      </c>
    </row>
    <row r="69" spans="1:7">
      <c r="A69" s="3218" t="s">
        <v>853</v>
      </c>
      <c r="B69" s="3207" t="s">
        <v>1080</v>
      </c>
      <c r="C69" s="3208">
        <v>6.8000000000000005E-2</v>
      </c>
      <c r="D69" s="3208">
        <v>9.8000000000000004E-2</v>
      </c>
      <c r="E69" s="3208">
        <v>9.5000000000000001E-2</v>
      </c>
      <c r="F69" s="3208">
        <v>0.1</v>
      </c>
      <c r="G69" s="3209">
        <v>0.1</v>
      </c>
    </row>
    <row r="70" spans="1:7">
      <c r="A70" s="3218" t="s">
        <v>853</v>
      </c>
      <c r="B70" s="3207" t="s">
        <v>1085</v>
      </c>
      <c r="C70" s="3208">
        <v>9.8000000000000004E-2</v>
      </c>
      <c r="D70" s="3208">
        <v>8.8999999999999996E-2</v>
      </c>
      <c r="E70" s="3208">
        <v>5.8999999999999997E-2</v>
      </c>
      <c r="F70" s="3208">
        <v>0.1</v>
      </c>
      <c r="G70" s="3209">
        <v>9.6000000000000002E-2</v>
      </c>
    </row>
    <row r="71" spans="1:7">
      <c r="A71" s="3218" t="s">
        <v>853</v>
      </c>
      <c r="B71" s="3207" t="s">
        <v>1094</v>
      </c>
      <c r="C71" s="3208">
        <v>8.8999999999999996E-2</v>
      </c>
      <c r="D71" s="3208">
        <v>9.9000000000000005E-2</v>
      </c>
      <c r="E71" s="3208">
        <v>9.6000000000000002E-2</v>
      </c>
      <c r="F71" s="3208">
        <v>0.1</v>
      </c>
      <c r="G71" s="3209">
        <v>0.1</v>
      </c>
    </row>
    <row r="72" spans="1:7">
      <c r="A72" s="3218" t="s">
        <v>853</v>
      </c>
      <c r="B72" s="3207" t="s">
        <v>1101</v>
      </c>
      <c r="C72" s="3208">
        <v>9.9000000000000005E-2</v>
      </c>
      <c r="D72" s="3208">
        <v>0.1</v>
      </c>
      <c r="E72" s="3208">
        <v>7.0000000000000007E-2</v>
      </c>
      <c r="F72" s="3219"/>
      <c r="G72" s="3209">
        <v>0.1</v>
      </c>
    </row>
    <row r="73" spans="1:7">
      <c r="A73" s="3218" t="s">
        <v>853</v>
      </c>
      <c r="B73" s="3207" t="s">
        <v>1109</v>
      </c>
      <c r="C73" s="3208">
        <v>0.1</v>
      </c>
      <c r="D73" s="3208">
        <v>0.1</v>
      </c>
      <c r="E73" s="3208">
        <v>9.6000000000000002E-2</v>
      </c>
      <c r="F73" s="3219"/>
      <c r="G73" s="3209">
        <v>0.1</v>
      </c>
    </row>
    <row r="74" spans="1:7">
      <c r="A74" s="3218" t="s">
        <v>853</v>
      </c>
      <c r="B74" s="3207" t="s">
        <v>1116</v>
      </c>
      <c r="C74" s="3208">
        <v>0.1</v>
      </c>
      <c r="D74" s="3208">
        <v>0.1</v>
      </c>
      <c r="E74" s="3208">
        <v>9.8000000000000004E-2</v>
      </c>
      <c r="F74" s="3219"/>
      <c r="G74" s="3209">
        <v>0.1</v>
      </c>
    </row>
    <row r="75" spans="1:7">
      <c r="A75" s="3218" t="s">
        <v>853</v>
      </c>
      <c r="B75" s="3207" t="s">
        <v>1120</v>
      </c>
      <c r="C75" s="3208">
        <v>0.1</v>
      </c>
      <c r="D75" s="3208">
        <v>9.9000000000000005E-2</v>
      </c>
      <c r="E75" s="3208">
        <v>9.8000000000000004E-2</v>
      </c>
      <c r="F75" s="3219"/>
      <c r="G75" s="3209">
        <v>0.1</v>
      </c>
    </row>
    <row r="76" spans="1:7">
      <c r="A76" s="3218" t="s">
        <v>853</v>
      </c>
      <c r="B76" s="3207" t="s">
        <v>1127</v>
      </c>
      <c r="C76" s="3208">
        <v>9.9000000000000005E-2</v>
      </c>
      <c r="D76" s="3208">
        <v>0.1</v>
      </c>
      <c r="E76" s="3208">
        <v>9.7000000000000003E-2</v>
      </c>
      <c r="F76" s="3219"/>
      <c r="G76" s="3209">
        <v>0.1</v>
      </c>
    </row>
    <row r="77" spans="1:7">
      <c r="A77" s="3218" t="s">
        <v>853</v>
      </c>
      <c r="B77" s="3207" t="s">
        <v>1130</v>
      </c>
      <c r="C77" s="3208">
        <v>0.1</v>
      </c>
      <c r="D77" s="3208">
        <v>0.1</v>
      </c>
      <c r="E77" s="3208">
        <v>9.6000000000000002E-2</v>
      </c>
      <c r="F77" s="3219"/>
      <c r="G77" s="3209">
        <v>0.1</v>
      </c>
    </row>
    <row r="78" spans="1:7">
      <c r="A78" s="3218" t="s">
        <v>853</v>
      </c>
      <c r="B78" s="3207" t="s">
        <v>2834</v>
      </c>
      <c r="C78" s="3208">
        <v>0.1</v>
      </c>
      <c r="D78" s="3208">
        <v>8.5000000000000006E-2</v>
      </c>
      <c r="E78" s="3208">
        <v>9.6000000000000002E-2</v>
      </c>
      <c r="F78" s="3219"/>
      <c r="G78" s="3209">
        <v>9.6000000000000002E-2</v>
      </c>
    </row>
    <row r="79" spans="1:7">
      <c r="A79" s="3218" t="s">
        <v>853</v>
      </c>
      <c r="B79" s="3207" t="s">
        <v>2835</v>
      </c>
      <c r="C79" s="3208">
        <v>0.05</v>
      </c>
      <c r="D79" s="3208">
        <v>9.6000000000000002E-2</v>
      </c>
      <c r="E79" s="3208">
        <v>9.5000000000000001E-2</v>
      </c>
      <c r="F79" s="3219"/>
      <c r="G79" s="3209">
        <v>9.8000000000000004E-2</v>
      </c>
    </row>
    <row r="80" spans="1:7">
      <c r="A80" s="3218" t="s">
        <v>853</v>
      </c>
      <c r="B80" s="3207" t="s">
        <v>2836</v>
      </c>
      <c r="C80" s="3208">
        <v>8.5999999999999993E-2</v>
      </c>
      <c r="D80" s="3224"/>
      <c r="E80" s="3208">
        <v>0.1</v>
      </c>
      <c r="F80" s="3219"/>
      <c r="G80" s="3220"/>
    </row>
    <row r="81" spans="1:7">
      <c r="A81" s="3218" t="s">
        <v>853</v>
      </c>
      <c r="B81" s="3207" t="s">
        <v>2837</v>
      </c>
      <c r="C81" s="3208">
        <v>9.6000000000000002E-2</v>
      </c>
      <c r="D81" s="3219"/>
      <c r="E81" s="3208">
        <v>9.8000000000000004E-2</v>
      </c>
      <c r="F81" s="3219"/>
      <c r="G81" s="3220"/>
    </row>
    <row r="82" spans="1:7">
      <c r="A82" s="3218" t="s">
        <v>853</v>
      </c>
      <c r="B82" s="3207" t="s">
        <v>2838</v>
      </c>
      <c r="C82" s="3224"/>
      <c r="D82" s="3219"/>
      <c r="E82" s="3208">
        <v>7.6999999999999999E-2</v>
      </c>
      <c r="F82" s="3219"/>
      <c r="G82" s="3220"/>
    </row>
    <row r="83" spans="1:7">
      <c r="A83" s="3218" t="s">
        <v>853</v>
      </c>
      <c r="B83" s="3207" t="s">
        <v>3044</v>
      </c>
      <c r="C83" s="3219"/>
      <c r="D83" s="3219"/>
      <c r="E83" s="3219"/>
      <c r="F83" s="3208">
        <v>0.1</v>
      </c>
      <c r="G83" s="3225"/>
    </row>
    <row r="84" spans="1:7">
      <c r="A84" s="3218" t="s">
        <v>853</v>
      </c>
      <c r="B84" s="3207" t="s">
        <v>3045</v>
      </c>
      <c r="C84" s="3219"/>
      <c r="D84" s="3219"/>
      <c r="E84" s="3219"/>
      <c r="F84" s="3208">
        <v>0.1</v>
      </c>
      <c r="G84" s="3225"/>
    </row>
    <row r="85" spans="1:7">
      <c r="A85" s="3218" t="s">
        <v>853</v>
      </c>
      <c r="B85" s="3207" t="s">
        <v>3046</v>
      </c>
      <c r="C85" s="3219"/>
      <c r="D85" s="3219"/>
      <c r="E85" s="3219"/>
      <c r="F85" s="3208">
        <v>0.1</v>
      </c>
      <c r="G85" s="3225"/>
    </row>
    <row r="86" spans="1:7" ht="14.25" thickBot="1">
      <c r="A86" s="3221" t="s">
        <v>853</v>
      </c>
      <c r="B86" s="3211" t="s">
        <v>3047</v>
      </c>
      <c r="C86" s="3212">
        <v>9.8000000000000004E-2</v>
      </c>
      <c r="D86" s="3212">
        <v>9.8000000000000004E-2</v>
      </c>
      <c r="E86" s="3212">
        <v>9.6000000000000002E-2</v>
      </c>
      <c r="F86" s="3222"/>
      <c r="G86" s="3214">
        <v>0.1</v>
      </c>
    </row>
    <row r="87" spans="1:7">
      <c r="A87" s="3217" t="s">
        <v>1152</v>
      </c>
      <c r="B87" s="3203" t="s">
        <v>3048</v>
      </c>
      <c r="C87" s="3204">
        <v>0.1</v>
      </c>
      <c r="D87" s="3204">
        <v>0.1</v>
      </c>
      <c r="E87" s="3204">
        <v>9.8000000000000004E-2</v>
      </c>
      <c r="F87" s="3204">
        <v>0.1</v>
      </c>
      <c r="G87" s="3205">
        <v>0.1</v>
      </c>
    </row>
    <row r="88" spans="1:7">
      <c r="A88" s="3218" t="s">
        <v>1152</v>
      </c>
      <c r="B88" s="3207" t="s">
        <v>976</v>
      </c>
      <c r="C88" s="3208">
        <v>9.0999999999999998E-2</v>
      </c>
      <c r="D88" s="3208">
        <v>9.1999999999999998E-2</v>
      </c>
      <c r="E88" s="3208">
        <v>0.1</v>
      </c>
      <c r="F88" s="3208">
        <v>0.1</v>
      </c>
      <c r="G88" s="3209">
        <v>9.6000000000000002E-2</v>
      </c>
    </row>
    <row r="89" spans="1:7">
      <c r="A89" s="3218" t="s">
        <v>1152</v>
      </c>
      <c r="B89" s="3207" t="s">
        <v>986</v>
      </c>
      <c r="C89" s="3208">
        <v>0.1</v>
      </c>
      <c r="D89" s="3208">
        <v>0.1</v>
      </c>
      <c r="E89" s="3208">
        <v>6.7000000000000004E-2</v>
      </c>
      <c r="F89" s="3208">
        <v>9.2999999999999999E-2</v>
      </c>
      <c r="G89" s="3209">
        <v>0.1</v>
      </c>
    </row>
    <row r="90" spans="1:7">
      <c r="A90" s="3218" t="s">
        <v>1152</v>
      </c>
      <c r="B90" s="3207" t="s">
        <v>995</v>
      </c>
      <c r="C90" s="3208">
        <v>9.6000000000000002E-2</v>
      </c>
      <c r="D90" s="3208">
        <v>9.6000000000000002E-2</v>
      </c>
      <c r="E90" s="3208">
        <v>0.1</v>
      </c>
      <c r="F90" s="3208">
        <v>0.1</v>
      </c>
      <c r="G90" s="3209">
        <v>9.8000000000000004E-2</v>
      </c>
    </row>
    <row r="91" spans="1:7">
      <c r="A91" s="3218" t="s">
        <v>1152</v>
      </c>
      <c r="B91" s="3207" t="s">
        <v>1005</v>
      </c>
      <c r="C91" s="3208">
        <v>7.6999999999999999E-2</v>
      </c>
      <c r="D91" s="3208">
        <v>7.6999999999999999E-2</v>
      </c>
      <c r="E91" s="3208">
        <v>9.6000000000000002E-2</v>
      </c>
      <c r="F91" s="3208">
        <v>0.1</v>
      </c>
      <c r="G91" s="3209">
        <v>7.6999999999999999E-2</v>
      </c>
    </row>
    <row r="92" spans="1:7">
      <c r="A92" s="3218" t="s">
        <v>1152</v>
      </c>
      <c r="B92" s="3207" t="s">
        <v>1012</v>
      </c>
      <c r="C92" s="3208">
        <v>0.1</v>
      </c>
      <c r="D92" s="3208">
        <v>0.1</v>
      </c>
      <c r="E92" s="3208">
        <v>9.1999999999999998E-2</v>
      </c>
      <c r="F92" s="3208">
        <v>0.1</v>
      </c>
      <c r="G92" s="3209">
        <v>0.1</v>
      </c>
    </row>
    <row r="93" spans="1:7">
      <c r="A93" s="3218" t="s">
        <v>1152</v>
      </c>
      <c r="B93" s="3207" t="s">
        <v>1018</v>
      </c>
      <c r="C93" s="3208">
        <v>9.8000000000000004E-2</v>
      </c>
      <c r="D93" s="3208">
        <v>9.8000000000000004E-2</v>
      </c>
      <c r="E93" s="3208">
        <v>9.6000000000000002E-2</v>
      </c>
      <c r="F93" s="3208">
        <v>0.1</v>
      </c>
      <c r="G93" s="3209">
        <v>9.9000000000000005E-2</v>
      </c>
    </row>
    <row r="94" spans="1:7">
      <c r="A94" s="3218" t="s">
        <v>1152</v>
      </c>
      <c r="B94" s="3207" t="s">
        <v>1025</v>
      </c>
      <c r="C94" s="3208">
        <v>8.7999999999999995E-2</v>
      </c>
      <c r="D94" s="3208">
        <v>8.7999999999999995E-2</v>
      </c>
      <c r="E94" s="3208">
        <v>9.6000000000000002E-2</v>
      </c>
      <c r="F94" s="3208">
        <v>0.1</v>
      </c>
      <c r="G94" s="3209">
        <v>8.7999999999999995E-2</v>
      </c>
    </row>
    <row r="95" spans="1:7">
      <c r="A95" s="3218" t="s">
        <v>1152</v>
      </c>
      <c r="B95" s="3207" t="s">
        <v>1035</v>
      </c>
      <c r="C95" s="3208">
        <v>9.6000000000000002E-2</v>
      </c>
      <c r="D95" s="3208">
        <v>9.6000000000000002E-2</v>
      </c>
      <c r="E95" s="3208">
        <v>0.1</v>
      </c>
      <c r="F95" s="3208">
        <v>0.1</v>
      </c>
      <c r="G95" s="3209">
        <v>9.8000000000000004E-2</v>
      </c>
    </row>
    <row r="96" spans="1:7">
      <c r="A96" s="3218" t="s">
        <v>1152</v>
      </c>
      <c r="B96" s="3207" t="s">
        <v>1044</v>
      </c>
      <c r="C96" s="3208">
        <v>9.7000000000000003E-2</v>
      </c>
      <c r="D96" s="3208">
        <v>9.7000000000000003E-2</v>
      </c>
      <c r="E96" s="3208">
        <v>0.1</v>
      </c>
      <c r="F96" s="3208">
        <v>0.1</v>
      </c>
      <c r="G96" s="3209">
        <v>9.8000000000000004E-2</v>
      </c>
    </row>
    <row r="97" spans="1:7">
      <c r="A97" s="3218" t="s">
        <v>1152</v>
      </c>
      <c r="B97" s="3207" t="s">
        <v>1051</v>
      </c>
      <c r="C97" s="3208">
        <v>9.6000000000000002E-2</v>
      </c>
      <c r="D97" s="3208">
        <v>9.6000000000000002E-2</v>
      </c>
      <c r="E97" s="3208">
        <v>9.9000000000000005E-2</v>
      </c>
      <c r="F97" s="3208">
        <v>0.1</v>
      </c>
      <c r="G97" s="3209">
        <v>9.8000000000000004E-2</v>
      </c>
    </row>
    <row r="98" spans="1:7">
      <c r="A98" s="3218" t="s">
        <v>1152</v>
      </c>
      <c r="B98" s="3207" t="s">
        <v>1058</v>
      </c>
      <c r="C98" s="3208">
        <v>9.8000000000000004E-2</v>
      </c>
      <c r="D98" s="3208">
        <v>9.8000000000000004E-2</v>
      </c>
      <c r="E98" s="3208">
        <v>0.1</v>
      </c>
      <c r="F98" s="3208">
        <v>0.1</v>
      </c>
      <c r="G98" s="3209">
        <v>9.9000000000000005E-2</v>
      </c>
    </row>
    <row r="99" spans="1:7">
      <c r="A99" s="3218" t="s">
        <v>1152</v>
      </c>
      <c r="B99" s="3207" t="s">
        <v>1065</v>
      </c>
      <c r="C99" s="3208">
        <v>9.6000000000000002E-2</v>
      </c>
      <c r="D99" s="3208">
        <v>9.6000000000000002E-2</v>
      </c>
      <c r="E99" s="3208">
        <v>0.1</v>
      </c>
      <c r="F99" s="3208">
        <v>0.1</v>
      </c>
      <c r="G99" s="3209">
        <v>9.7000000000000003E-2</v>
      </c>
    </row>
    <row r="100" spans="1:7">
      <c r="A100" s="3218" t="s">
        <v>1152</v>
      </c>
      <c r="B100" s="3207" t="s">
        <v>1073</v>
      </c>
      <c r="C100" s="3208">
        <v>0.1</v>
      </c>
      <c r="D100" s="3208">
        <v>0.1</v>
      </c>
      <c r="E100" s="3208">
        <v>9.7000000000000003E-2</v>
      </c>
      <c r="F100" s="3208">
        <v>9.8000000000000004E-2</v>
      </c>
      <c r="G100" s="3209">
        <v>0.1</v>
      </c>
    </row>
    <row r="101" spans="1:7">
      <c r="A101" s="3218" t="s">
        <v>1152</v>
      </c>
      <c r="B101" s="3207" t="s">
        <v>1081</v>
      </c>
      <c r="C101" s="3208">
        <v>0.1</v>
      </c>
      <c r="D101" s="3208">
        <v>0.1</v>
      </c>
      <c r="E101" s="3208">
        <v>9.5000000000000001E-2</v>
      </c>
      <c r="F101" s="3208">
        <v>0.1</v>
      </c>
      <c r="G101" s="3209">
        <v>0.1</v>
      </c>
    </row>
    <row r="102" spans="1:7">
      <c r="A102" s="3218" t="s">
        <v>1152</v>
      </c>
      <c r="B102" s="3207" t="s">
        <v>1086</v>
      </c>
      <c r="C102" s="3208">
        <v>0.1</v>
      </c>
      <c r="D102" s="3208">
        <v>0.1</v>
      </c>
      <c r="E102" s="3208">
        <v>9.9000000000000005E-2</v>
      </c>
      <c r="F102" s="3208">
        <v>9.7000000000000003E-2</v>
      </c>
      <c r="G102" s="3209">
        <v>0.1</v>
      </c>
    </row>
    <row r="103" spans="1:7">
      <c r="A103" s="3218" t="s">
        <v>1152</v>
      </c>
      <c r="B103" s="3207" t="s">
        <v>1095</v>
      </c>
      <c r="C103" s="3208">
        <v>0.1</v>
      </c>
      <c r="D103" s="3208">
        <v>0.1</v>
      </c>
      <c r="E103" s="3208">
        <v>9.8000000000000004E-2</v>
      </c>
      <c r="F103" s="3208">
        <v>0.1</v>
      </c>
      <c r="G103" s="3209">
        <v>0.1</v>
      </c>
    </row>
    <row r="104" spans="1:7">
      <c r="A104" s="3218" t="s">
        <v>1152</v>
      </c>
      <c r="B104" s="3207" t="s">
        <v>1102</v>
      </c>
      <c r="C104" s="3208">
        <v>0.1</v>
      </c>
      <c r="D104" s="3208">
        <v>0.1</v>
      </c>
      <c r="E104" s="3208">
        <v>9.8000000000000004E-2</v>
      </c>
      <c r="F104" s="3208">
        <v>0.1</v>
      </c>
      <c r="G104" s="3209">
        <v>0.1</v>
      </c>
    </row>
    <row r="105" spans="1:7">
      <c r="A105" s="3218" t="s">
        <v>1152</v>
      </c>
      <c r="B105" s="3207" t="s">
        <v>1110</v>
      </c>
      <c r="C105" s="3208">
        <v>9.8000000000000004E-2</v>
      </c>
      <c r="D105" s="3208">
        <v>9.8000000000000004E-2</v>
      </c>
      <c r="E105" s="3208">
        <v>9.8000000000000004E-2</v>
      </c>
      <c r="F105" s="3208">
        <v>0.1</v>
      </c>
      <c r="G105" s="3209">
        <v>9.9000000000000005E-2</v>
      </c>
    </row>
    <row r="106" spans="1:7">
      <c r="A106" s="3218" t="s">
        <v>1152</v>
      </c>
      <c r="B106" s="3207" t="s">
        <v>1117</v>
      </c>
      <c r="C106" s="3208">
        <v>9.7000000000000003E-2</v>
      </c>
      <c r="D106" s="3208">
        <v>9.7000000000000003E-2</v>
      </c>
      <c r="E106" s="3208">
        <v>9.7000000000000003E-2</v>
      </c>
      <c r="F106" s="3208">
        <v>0.1</v>
      </c>
      <c r="G106" s="3209">
        <v>9.9000000000000005E-2</v>
      </c>
    </row>
    <row r="107" spans="1:7">
      <c r="A107" s="3218" t="s">
        <v>1152</v>
      </c>
      <c r="B107" s="3207" t="s">
        <v>1121</v>
      </c>
      <c r="C107" s="3208">
        <v>0.1</v>
      </c>
      <c r="D107" s="3208">
        <v>0.1</v>
      </c>
      <c r="E107" s="3208">
        <v>8.5999999999999993E-2</v>
      </c>
      <c r="F107" s="3208">
        <v>0.09</v>
      </c>
      <c r="G107" s="3209">
        <v>0.1</v>
      </c>
    </row>
    <row r="108" spans="1:7">
      <c r="A108" s="3218" t="s">
        <v>1152</v>
      </c>
      <c r="B108" s="3207" t="s">
        <v>1128</v>
      </c>
      <c r="C108" s="3208">
        <v>0.1</v>
      </c>
      <c r="D108" s="3208">
        <v>0.1</v>
      </c>
      <c r="E108" s="3208">
        <v>9.6000000000000002E-2</v>
      </c>
      <c r="F108" s="3219"/>
      <c r="G108" s="3209">
        <v>0.1</v>
      </c>
    </row>
    <row r="109" spans="1:7">
      <c r="A109" s="3218" t="s">
        <v>1152</v>
      </c>
      <c r="B109" s="3207" t="s">
        <v>1131</v>
      </c>
      <c r="C109" s="3208">
        <v>0.1</v>
      </c>
      <c r="D109" s="3208">
        <v>0.1</v>
      </c>
      <c r="E109" s="3208">
        <v>0.1</v>
      </c>
      <c r="F109" s="3219"/>
      <c r="G109" s="3209">
        <v>0.1</v>
      </c>
    </row>
    <row r="110" spans="1:7">
      <c r="A110" s="3218" t="s">
        <v>1152</v>
      </c>
      <c r="B110" s="3207" t="s">
        <v>1133</v>
      </c>
      <c r="C110" s="3208">
        <v>0.1</v>
      </c>
      <c r="D110" s="3208">
        <v>0.1</v>
      </c>
      <c r="E110" s="3208">
        <v>0.1</v>
      </c>
      <c r="F110" s="3219"/>
      <c r="G110" s="3209">
        <v>0.1</v>
      </c>
    </row>
    <row r="111" spans="1:7">
      <c r="A111" s="3218" t="s">
        <v>1152</v>
      </c>
      <c r="B111" s="3207" t="s">
        <v>1136</v>
      </c>
      <c r="C111" s="3208">
        <v>0.1</v>
      </c>
      <c r="D111" s="3208">
        <v>0.1</v>
      </c>
      <c r="E111" s="3208">
        <v>9.5000000000000001E-2</v>
      </c>
      <c r="F111" s="3219"/>
      <c r="G111" s="3209">
        <v>0.1</v>
      </c>
    </row>
    <row r="112" spans="1:7">
      <c r="A112" s="3218" t="s">
        <v>1152</v>
      </c>
      <c r="B112" s="3207" t="s">
        <v>1140</v>
      </c>
      <c r="C112" s="3208">
        <v>9.7000000000000003E-2</v>
      </c>
      <c r="D112" s="3208">
        <v>9.7000000000000003E-2</v>
      </c>
      <c r="E112" s="3208">
        <v>0.05</v>
      </c>
      <c r="F112" s="3219"/>
      <c r="G112" s="3209">
        <v>9.8000000000000004E-2</v>
      </c>
    </row>
    <row r="113" spans="1:7">
      <c r="A113" s="3218" t="s">
        <v>1152</v>
      </c>
      <c r="B113" s="3207" t="s">
        <v>2844</v>
      </c>
      <c r="C113" s="3208">
        <v>0.1</v>
      </c>
      <c r="D113" s="3208">
        <v>0.1</v>
      </c>
      <c r="E113" s="3219"/>
      <c r="F113" s="3219"/>
      <c r="G113" s="3209">
        <v>0.1</v>
      </c>
    </row>
    <row r="114" spans="1:7">
      <c r="A114" s="3218" t="s">
        <v>1152</v>
      </c>
      <c r="B114" s="3207" t="s">
        <v>2845</v>
      </c>
      <c r="C114" s="3208">
        <v>9.7000000000000003E-2</v>
      </c>
      <c r="D114" s="3208">
        <v>9.7000000000000003E-2</v>
      </c>
      <c r="E114" s="3219"/>
      <c r="F114" s="3219"/>
      <c r="G114" s="3209">
        <v>9.9000000000000005E-2</v>
      </c>
    </row>
    <row r="115" spans="1:7">
      <c r="A115" s="3218" t="s">
        <v>1152</v>
      </c>
      <c r="B115" s="3207" t="s">
        <v>2846</v>
      </c>
      <c r="C115" s="3208">
        <v>0.1</v>
      </c>
      <c r="D115" s="3208">
        <v>0.1</v>
      </c>
      <c r="E115" s="3219"/>
      <c r="F115" s="3219"/>
      <c r="G115" s="3209">
        <v>0.1</v>
      </c>
    </row>
    <row r="116" spans="1:7">
      <c r="A116" s="3218" t="s">
        <v>1152</v>
      </c>
      <c r="B116" s="3207" t="s">
        <v>2847</v>
      </c>
      <c r="C116" s="3208">
        <v>0.1</v>
      </c>
      <c r="D116" s="3208">
        <v>0.1</v>
      </c>
      <c r="E116" s="3219"/>
      <c r="F116" s="3219"/>
      <c r="G116" s="3209">
        <v>0.1</v>
      </c>
    </row>
    <row r="117" spans="1:7">
      <c r="A117" s="3218" t="s">
        <v>1152</v>
      </c>
      <c r="B117" s="3207" t="s">
        <v>2848</v>
      </c>
      <c r="C117" s="3208">
        <v>9.7000000000000003E-2</v>
      </c>
      <c r="D117" s="3208">
        <v>9.7000000000000003E-2</v>
      </c>
      <c r="E117" s="3219"/>
      <c r="F117" s="3219"/>
      <c r="G117" s="3209">
        <v>9.7000000000000003E-2</v>
      </c>
    </row>
    <row r="118" spans="1:7">
      <c r="A118" s="3218" t="s">
        <v>1152</v>
      </c>
      <c r="B118" s="3207" t="s">
        <v>2849</v>
      </c>
      <c r="C118" s="3208">
        <v>0.1</v>
      </c>
      <c r="D118" s="3208">
        <v>0.1</v>
      </c>
      <c r="E118" s="3219"/>
      <c r="F118" s="3219"/>
      <c r="G118" s="3209">
        <v>0.1</v>
      </c>
    </row>
    <row r="119" spans="1:7">
      <c r="A119" s="3218" t="s">
        <v>1152</v>
      </c>
      <c r="B119" s="3207" t="s">
        <v>2850</v>
      </c>
      <c r="C119" s="3208">
        <v>5.0999999999999997E-2</v>
      </c>
      <c r="D119" s="3208">
        <v>5.1999999999999998E-2</v>
      </c>
      <c r="E119" s="3219"/>
      <c r="F119" s="3224"/>
      <c r="G119" s="3209">
        <v>0.06</v>
      </c>
    </row>
    <row r="120" spans="1:7">
      <c r="A120" s="3218" t="s">
        <v>1152</v>
      </c>
      <c r="B120" s="3207" t="s">
        <v>3049</v>
      </c>
      <c r="C120" s="3219"/>
      <c r="D120" s="3219"/>
      <c r="E120" s="3219"/>
      <c r="F120" s="3208">
        <v>0.1</v>
      </c>
      <c r="G120" s="3225"/>
    </row>
    <row r="121" spans="1:7">
      <c r="A121" s="3218" t="s">
        <v>1152</v>
      </c>
      <c r="B121" s="3207" t="s">
        <v>3050</v>
      </c>
      <c r="C121" s="3219"/>
      <c r="D121" s="3219"/>
      <c r="E121" s="3219"/>
      <c r="F121" s="3208">
        <v>0.1</v>
      </c>
      <c r="G121" s="3225"/>
    </row>
    <row r="122" spans="1:7">
      <c r="A122" s="3218" t="s">
        <v>1152</v>
      </c>
      <c r="B122" s="3207" t="s">
        <v>3051</v>
      </c>
      <c r="C122" s="3208">
        <v>0.1</v>
      </c>
      <c r="D122" s="3208">
        <v>0.1</v>
      </c>
      <c r="E122" s="3208">
        <v>9.8000000000000004E-2</v>
      </c>
      <c r="F122" s="3208">
        <v>0.1</v>
      </c>
      <c r="G122" s="3209">
        <v>0.1</v>
      </c>
    </row>
    <row r="123" spans="1:7">
      <c r="A123" s="3218" t="s">
        <v>1152</v>
      </c>
      <c r="B123" s="3207" t="s">
        <v>2854</v>
      </c>
      <c r="C123" s="3208">
        <v>0.1</v>
      </c>
      <c r="D123" s="3208">
        <v>0.1</v>
      </c>
      <c r="E123" s="3208">
        <v>9.8000000000000004E-2</v>
      </c>
      <c r="F123" s="3208">
        <v>0.1</v>
      </c>
      <c r="G123" s="3209">
        <v>0.1</v>
      </c>
    </row>
    <row r="124" spans="1:7">
      <c r="A124" s="3218" t="s">
        <v>1152</v>
      </c>
      <c r="B124" s="3207" t="s">
        <v>2855</v>
      </c>
      <c r="C124" s="3208">
        <v>0.1</v>
      </c>
      <c r="D124" s="3208">
        <v>0.1</v>
      </c>
      <c r="E124" s="3208">
        <v>9.8000000000000004E-2</v>
      </c>
      <c r="F124" s="3224"/>
      <c r="G124" s="3209">
        <v>0.1</v>
      </c>
    </row>
    <row r="125" spans="1:7">
      <c r="A125" s="3218" t="s">
        <v>1152</v>
      </c>
      <c r="B125" s="3207" t="s">
        <v>2856</v>
      </c>
      <c r="C125" s="3208">
        <v>9.8000000000000004E-2</v>
      </c>
      <c r="D125" s="3208">
        <v>9.8000000000000004E-2</v>
      </c>
      <c r="E125" s="3208">
        <v>9.6000000000000002E-2</v>
      </c>
      <c r="F125" s="3224"/>
      <c r="G125" s="3209">
        <v>0.1</v>
      </c>
    </row>
    <row r="126" spans="1:7" ht="14.25" thickBot="1">
      <c r="A126" s="3221" t="s">
        <v>1152</v>
      </c>
      <c r="B126" s="3211" t="s">
        <v>3052</v>
      </c>
      <c r="C126" s="3212">
        <v>0.1</v>
      </c>
      <c r="D126" s="3212">
        <v>0.1</v>
      </c>
      <c r="E126" s="3212">
        <v>9.8000000000000004E-2</v>
      </c>
      <c r="F126" s="3212">
        <v>0.1</v>
      </c>
      <c r="G126" s="3214">
        <v>0.1</v>
      </c>
    </row>
    <row r="127" spans="1:7">
      <c r="A127" s="3217" t="s">
        <v>1153</v>
      </c>
      <c r="B127" s="3203" t="s">
        <v>3053</v>
      </c>
      <c r="C127" s="3204">
        <v>0.121</v>
      </c>
      <c r="D127" s="3204">
        <v>0.121</v>
      </c>
      <c r="E127" s="3204">
        <v>0.107</v>
      </c>
      <c r="F127" s="3204">
        <v>0.13</v>
      </c>
      <c r="G127" s="3205">
        <v>0.122</v>
      </c>
    </row>
    <row r="128" spans="1:7">
      <c r="A128" s="3218" t="s">
        <v>1153</v>
      </c>
      <c r="B128" s="3207" t="s">
        <v>977</v>
      </c>
      <c r="C128" s="3208">
        <v>0.11600000000000001</v>
      </c>
      <c r="D128" s="3208">
        <v>0.11700000000000001</v>
      </c>
      <c r="E128" s="3208">
        <v>0.104</v>
      </c>
      <c r="F128" s="3208">
        <v>0.13</v>
      </c>
      <c r="G128" s="3209">
        <v>0.11700000000000001</v>
      </c>
    </row>
    <row r="129" spans="1:7">
      <c r="A129" s="3218" t="s">
        <v>1153</v>
      </c>
      <c r="B129" s="3207" t="s">
        <v>987</v>
      </c>
      <c r="C129" s="3208">
        <v>0.107</v>
      </c>
      <c r="D129" s="3208">
        <v>0.108</v>
      </c>
      <c r="E129" s="3208">
        <v>0.1</v>
      </c>
      <c r="F129" s="3208">
        <v>0.13</v>
      </c>
      <c r="G129" s="3209">
        <v>0.11700000000000001</v>
      </c>
    </row>
    <row r="130" spans="1:7">
      <c r="A130" s="3218" t="s">
        <v>1153</v>
      </c>
      <c r="B130" s="3207" t="s">
        <v>996</v>
      </c>
      <c r="C130" s="3208">
        <v>0.13</v>
      </c>
      <c r="D130" s="3208">
        <v>0.13</v>
      </c>
      <c r="E130" s="3208">
        <v>0.126</v>
      </c>
      <c r="F130" s="3208">
        <v>0.13</v>
      </c>
      <c r="G130" s="3209">
        <v>0.13</v>
      </c>
    </row>
    <row r="131" spans="1:7">
      <c r="A131" s="3218" t="s">
        <v>1153</v>
      </c>
      <c r="B131" s="3207" t="s">
        <v>1006</v>
      </c>
      <c r="C131" s="3208">
        <v>0.13</v>
      </c>
      <c r="D131" s="3208">
        <v>0.13</v>
      </c>
      <c r="E131" s="3208">
        <v>0.13</v>
      </c>
      <c r="F131" s="3208">
        <v>0.13</v>
      </c>
      <c r="G131" s="3209">
        <v>0.13</v>
      </c>
    </row>
    <row r="132" spans="1:7">
      <c r="A132" s="3218" t="s">
        <v>1153</v>
      </c>
      <c r="B132" s="3207" t="s">
        <v>1013</v>
      </c>
      <c r="C132" s="3208">
        <v>0.13</v>
      </c>
      <c r="D132" s="3208">
        <v>0.13</v>
      </c>
      <c r="E132" s="3208">
        <v>0.126</v>
      </c>
      <c r="F132" s="3208">
        <v>0.13</v>
      </c>
      <c r="G132" s="3209">
        <v>0.13</v>
      </c>
    </row>
    <row r="133" spans="1:7">
      <c r="A133" s="3218" t="s">
        <v>1153</v>
      </c>
      <c r="B133" s="3207" t="s">
        <v>1019</v>
      </c>
      <c r="C133" s="3208">
        <v>0.111</v>
      </c>
      <c r="D133" s="3208">
        <v>0.111</v>
      </c>
      <c r="E133" s="3208">
        <v>0.10199999999999999</v>
      </c>
      <c r="F133" s="3208">
        <v>0.13</v>
      </c>
      <c r="G133" s="3209">
        <v>0.121</v>
      </c>
    </row>
    <row r="134" spans="1:7">
      <c r="A134" s="3218" t="s">
        <v>1153</v>
      </c>
      <c r="B134" s="3207" t="s">
        <v>1026</v>
      </c>
      <c r="C134" s="3208">
        <v>0.121</v>
      </c>
      <c r="D134" s="3208">
        <v>0.121</v>
      </c>
      <c r="E134" s="3208">
        <v>0.1</v>
      </c>
      <c r="F134" s="3208">
        <v>0.13</v>
      </c>
      <c r="G134" s="3209">
        <v>0.123</v>
      </c>
    </row>
    <row r="135" spans="1:7">
      <c r="A135" s="3218" t="s">
        <v>1153</v>
      </c>
      <c r="B135" s="3207" t="s">
        <v>1036</v>
      </c>
      <c r="C135" s="3208">
        <v>0.105</v>
      </c>
      <c r="D135" s="3208">
        <v>0.106</v>
      </c>
      <c r="E135" s="3208">
        <v>0.1</v>
      </c>
      <c r="F135" s="3208">
        <v>0.13</v>
      </c>
      <c r="G135" s="3209">
        <v>0.115</v>
      </c>
    </row>
    <row r="136" spans="1:7">
      <c r="A136" s="3218" t="s">
        <v>1153</v>
      </c>
      <c r="B136" s="3207" t="s">
        <v>1045</v>
      </c>
      <c r="C136" s="3208">
        <v>0.127</v>
      </c>
      <c r="D136" s="3208">
        <v>0.127</v>
      </c>
      <c r="E136" s="3208">
        <v>0.121</v>
      </c>
      <c r="F136" s="3208">
        <v>0.123</v>
      </c>
      <c r="G136" s="3209">
        <v>0.129</v>
      </c>
    </row>
    <row r="137" spans="1:7">
      <c r="A137" s="3218" t="s">
        <v>1153</v>
      </c>
      <c r="B137" s="3207" t="s">
        <v>1052</v>
      </c>
      <c r="C137" s="3208">
        <v>0.13</v>
      </c>
      <c r="D137" s="3208">
        <v>0.13</v>
      </c>
      <c r="E137" s="3208">
        <v>0.129</v>
      </c>
      <c r="F137" s="3208">
        <v>0.13</v>
      </c>
      <c r="G137" s="3209">
        <v>0.13</v>
      </c>
    </row>
    <row r="138" spans="1:7">
      <c r="A138" s="3218" t="s">
        <v>1153</v>
      </c>
      <c r="B138" s="3207" t="s">
        <v>1059</v>
      </c>
      <c r="C138" s="3208">
        <v>0.13</v>
      </c>
      <c r="D138" s="3208">
        <v>0.13</v>
      </c>
      <c r="E138" s="3208">
        <v>0.125</v>
      </c>
      <c r="F138" s="3208">
        <v>0.13</v>
      </c>
      <c r="G138" s="3209">
        <v>0.13</v>
      </c>
    </row>
    <row r="139" spans="1:7">
      <c r="A139" s="3218" t="s">
        <v>1153</v>
      </c>
      <c r="B139" s="3207" t="s">
        <v>1066</v>
      </c>
      <c r="C139" s="3208">
        <v>0.13</v>
      </c>
      <c r="D139" s="3208">
        <v>0.13</v>
      </c>
      <c r="E139" s="3208">
        <v>0.126</v>
      </c>
      <c r="F139" s="3208">
        <v>0.13</v>
      </c>
      <c r="G139" s="3209">
        <v>0.13</v>
      </c>
    </row>
    <row r="140" spans="1:7">
      <c r="A140" s="3218" t="s">
        <v>1153</v>
      </c>
      <c r="B140" s="3207" t="s">
        <v>1074</v>
      </c>
      <c r="C140" s="3208">
        <v>0.1</v>
      </c>
      <c r="D140" s="3208">
        <v>0.1</v>
      </c>
      <c r="E140" s="3208">
        <v>0.1</v>
      </c>
      <c r="F140" s="3208">
        <v>0.123</v>
      </c>
      <c r="G140" s="3209">
        <v>0.107</v>
      </c>
    </row>
    <row r="141" spans="1:7">
      <c r="A141" s="3218" t="s">
        <v>1153</v>
      </c>
      <c r="B141" s="3207" t="s">
        <v>1082</v>
      </c>
      <c r="C141" s="3208">
        <v>0.127</v>
      </c>
      <c r="D141" s="3208">
        <v>0.127</v>
      </c>
      <c r="E141" s="3208">
        <v>0.122</v>
      </c>
      <c r="F141" s="3208">
        <v>0.1</v>
      </c>
      <c r="G141" s="3209">
        <v>0.129</v>
      </c>
    </row>
    <row r="142" spans="1:7">
      <c r="A142" s="3218" t="s">
        <v>1153</v>
      </c>
      <c r="B142" s="3207" t="s">
        <v>1087</v>
      </c>
      <c r="C142" s="3208">
        <v>0.121</v>
      </c>
      <c r="D142" s="3208">
        <v>0.122</v>
      </c>
      <c r="E142" s="3208">
        <v>0.1</v>
      </c>
      <c r="F142" s="3208">
        <v>0.123</v>
      </c>
      <c r="G142" s="3209">
        <v>0.123</v>
      </c>
    </row>
    <row r="143" spans="1:7">
      <c r="A143" s="3218" t="s">
        <v>1153</v>
      </c>
      <c r="B143" s="3207" t="s">
        <v>1096</v>
      </c>
      <c r="C143" s="3208">
        <v>0.1</v>
      </c>
      <c r="D143" s="3208">
        <v>0.1</v>
      </c>
      <c r="E143" s="3208">
        <v>0.1</v>
      </c>
      <c r="F143" s="3208">
        <v>0.13</v>
      </c>
      <c r="G143" s="3209">
        <v>0.1</v>
      </c>
    </row>
    <row r="144" spans="1:7">
      <c r="A144" s="3218" t="s">
        <v>1153</v>
      </c>
      <c r="B144" s="3207" t="s">
        <v>1103</v>
      </c>
      <c r="C144" s="3208">
        <v>0.106</v>
      </c>
      <c r="D144" s="3208">
        <v>0.105</v>
      </c>
      <c r="E144" s="3208">
        <v>0.1</v>
      </c>
      <c r="F144" s="3208">
        <v>0.13</v>
      </c>
      <c r="G144" s="3209">
        <v>0.11799999999999999</v>
      </c>
    </row>
    <row r="145" spans="1:7">
      <c r="A145" s="3218" t="s">
        <v>1153</v>
      </c>
      <c r="B145" s="3207" t="s">
        <v>1111</v>
      </c>
      <c r="C145" s="3208">
        <v>0.123</v>
      </c>
      <c r="D145" s="3208">
        <v>0.123</v>
      </c>
      <c r="E145" s="3208">
        <v>0.11700000000000001</v>
      </c>
      <c r="F145" s="3208">
        <v>0.13</v>
      </c>
      <c r="G145" s="3209">
        <v>0.126</v>
      </c>
    </row>
    <row r="146" spans="1:7">
      <c r="A146" s="3218" t="s">
        <v>1153</v>
      </c>
      <c r="B146" s="3207" t="s">
        <v>1118</v>
      </c>
      <c r="C146" s="3208">
        <v>0.127</v>
      </c>
      <c r="D146" s="3208">
        <v>0.127</v>
      </c>
      <c r="E146" s="3208">
        <v>0.12</v>
      </c>
      <c r="F146" s="3219"/>
      <c r="G146" s="3209">
        <v>0.129</v>
      </c>
    </row>
    <row r="147" spans="1:7">
      <c r="A147" s="3218" t="s">
        <v>1153</v>
      </c>
      <c r="B147" s="3207" t="s">
        <v>1122</v>
      </c>
      <c r="C147" s="3208">
        <v>0.13</v>
      </c>
      <c r="D147" s="3208">
        <v>0.13</v>
      </c>
      <c r="E147" s="3208">
        <v>0.126</v>
      </c>
      <c r="F147" s="3219"/>
      <c r="G147" s="3209">
        <v>0.13</v>
      </c>
    </row>
    <row r="148" spans="1:7">
      <c r="A148" s="3218" t="s">
        <v>1153</v>
      </c>
      <c r="B148" s="3207" t="s">
        <v>3054</v>
      </c>
      <c r="C148" s="3208">
        <v>0.13</v>
      </c>
      <c r="D148" s="3208">
        <v>0.13</v>
      </c>
      <c r="E148" s="3208">
        <v>0.13</v>
      </c>
      <c r="F148" s="3219"/>
      <c r="G148" s="3209">
        <v>0.13</v>
      </c>
    </row>
    <row r="149" spans="1:7">
      <c r="A149" s="3218" t="s">
        <v>1153</v>
      </c>
      <c r="B149" s="3207" t="s">
        <v>3055</v>
      </c>
      <c r="C149" s="3208">
        <v>0.13</v>
      </c>
      <c r="D149" s="3208">
        <v>0.13</v>
      </c>
      <c r="E149" s="3208">
        <v>0.13</v>
      </c>
      <c r="F149" s="3208">
        <v>0.13</v>
      </c>
      <c r="G149" s="3209">
        <v>0.13</v>
      </c>
    </row>
    <row r="150" spans="1:7">
      <c r="A150" s="3218" t="s">
        <v>1153</v>
      </c>
      <c r="B150" s="3207" t="s">
        <v>1141</v>
      </c>
      <c r="C150" s="3208">
        <v>0.13</v>
      </c>
      <c r="D150" s="3208">
        <v>0.13</v>
      </c>
      <c r="E150" s="3208">
        <v>0.127</v>
      </c>
      <c r="F150" s="3208">
        <v>0.13</v>
      </c>
      <c r="G150" s="3209">
        <v>0.13</v>
      </c>
    </row>
    <row r="151" spans="1:7">
      <c r="A151" s="3218" t="s">
        <v>1153</v>
      </c>
      <c r="B151" s="3207" t="s">
        <v>1143</v>
      </c>
      <c r="C151" s="3208">
        <v>0.13</v>
      </c>
      <c r="D151" s="3208">
        <v>0.13</v>
      </c>
      <c r="E151" s="3208">
        <v>0.13</v>
      </c>
      <c r="F151" s="3208">
        <v>0.13</v>
      </c>
      <c r="G151" s="3209">
        <v>0.13</v>
      </c>
    </row>
    <row r="152" spans="1:7">
      <c r="A152" s="3218" t="s">
        <v>1153</v>
      </c>
      <c r="B152" s="3207" t="s">
        <v>1146</v>
      </c>
      <c r="C152" s="3208">
        <v>0.13</v>
      </c>
      <c r="D152" s="3208">
        <v>0.13</v>
      </c>
      <c r="E152" s="3208">
        <v>0.13</v>
      </c>
      <c r="F152" s="3208">
        <v>0.13</v>
      </c>
      <c r="G152" s="3209">
        <v>0.13</v>
      </c>
    </row>
    <row r="153" spans="1:7">
      <c r="A153" s="3218" t="s">
        <v>1153</v>
      </c>
      <c r="B153" s="3207" t="s">
        <v>2861</v>
      </c>
      <c r="C153" s="3208">
        <v>0.13</v>
      </c>
      <c r="D153" s="3208">
        <v>0.13</v>
      </c>
      <c r="E153" s="3208">
        <v>0.13</v>
      </c>
      <c r="F153" s="3208">
        <v>0.13</v>
      </c>
      <c r="G153" s="3209">
        <v>0.13</v>
      </c>
    </row>
    <row r="154" spans="1:7">
      <c r="A154" s="3218" t="s">
        <v>1153</v>
      </c>
      <c r="B154" s="3207" t="s">
        <v>3056</v>
      </c>
      <c r="C154" s="3208">
        <v>0.121</v>
      </c>
      <c r="D154" s="3208">
        <v>0.121</v>
      </c>
      <c r="E154" s="3208">
        <v>0.105</v>
      </c>
      <c r="F154" s="3208">
        <v>0.121</v>
      </c>
      <c r="G154" s="3209">
        <v>0.123</v>
      </c>
    </row>
    <row r="155" spans="1:7">
      <c r="A155" s="3218" t="s">
        <v>1153</v>
      </c>
      <c r="B155" s="3207" t="s">
        <v>2863</v>
      </c>
      <c r="C155" s="3208">
        <v>0.1</v>
      </c>
      <c r="D155" s="3208">
        <v>0.1</v>
      </c>
      <c r="E155" s="3208">
        <v>0.1</v>
      </c>
      <c r="F155" s="3208">
        <v>0.1</v>
      </c>
      <c r="G155" s="3209">
        <v>0.1</v>
      </c>
    </row>
    <row r="156" spans="1:7">
      <c r="A156" s="3218" t="s">
        <v>1153</v>
      </c>
      <c r="B156" s="3207" t="s">
        <v>3057</v>
      </c>
      <c r="C156" s="3208">
        <v>0.13</v>
      </c>
      <c r="D156" s="3208">
        <v>0.13</v>
      </c>
      <c r="E156" s="3208">
        <v>0.13</v>
      </c>
      <c r="F156" s="3208">
        <v>0.13</v>
      </c>
      <c r="G156" s="3209">
        <v>0.13</v>
      </c>
    </row>
    <row r="157" spans="1:7">
      <c r="A157" s="3218" t="s">
        <v>1153</v>
      </c>
      <c r="B157" s="3207" t="s">
        <v>1149</v>
      </c>
      <c r="C157" s="3208">
        <v>0.13</v>
      </c>
      <c r="D157" s="3208">
        <v>0.13</v>
      </c>
      <c r="E157" s="3208">
        <v>0.125</v>
      </c>
      <c r="F157" s="3208">
        <v>0.13</v>
      </c>
      <c r="G157" s="3209">
        <v>0.13</v>
      </c>
    </row>
    <row r="158" spans="1:7">
      <c r="A158" s="3218" t="s">
        <v>1153</v>
      </c>
      <c r="B158" s="3207" t="s">
        <v>1150</v>
      </c>
      <c r="C158" s="3208">
        <v>0.124</v>
      </c>
      <c r="D158" s="3208">
        <v>0.124</v>
      </c>
      <c r="E158" s="3208">
        <v>0.11700000000000001</v>
      </c>
      <c r="F158" s="3208">
        <v>0.121</v>
      </c>
      <c r="G158" s="3209">
        <v>0.124</v>
      </c>
    </row>
    <row r="159" spans="1:7">
      <c r="A159" s="3218" t="s">
        <v>1153</v>
      </c>
      <c r="B159" s="3207" t="s">
        <v>1151</v>
      </c>
      <c r="C159" s="3208">
        <v>0.127</v>
      </c>
      <c r="D159" s="3208">
        <v>0.127</v>
      </c>
      <c r="E159" s="3208">
        <v>0.122</v>
      </c>
      <c r="F159" s="3208">
        <v>0.13</v>
      </c>
      <c r="G159" s="3209">
        <v>0.129</v>
      </c>
    </row>
    <row r="160" spans="1:7">
      <c r="A160" s="3218" t="s">
        <v>1153</v>
      </c>
      <c r="B160" s="3207" t="s">
        <v>3058</v>
      </c>
      <c r="C160" s="3208">
        <v>0.13</v>
      </c>
      <c r="D160" s="3208">
        <v>0.13</v>
      </c>
      <c r="E160" s="3208">
        <v>0.124</v>
      </c>
      <c r="F160" s="3208">
        <v>0.126</v>
      </c>
      <c r="G160" s="3209">
        <v>0.13</v>
      </c>
    </row>
    <row r="161" spans="1:7">
      <c r="A161" s="3218" t="s">
        <v>1153</v>
      </c>
      <c r="B161" s="3207" t="s">
        <v>2866</v>
      </c>
      <c r="C161" s="3208">
        <v>0.13</v>
      </c>
      <c r="D161" s="3208">
        <v>0.13</v>
      </c>
      <c r="E161" s="3208">
        <v>0.124</v>
      </c>
      <c r="F161" s="3208">
        <v>0.127</v>
      </c>
      <c r="G161" s="3209">
        <v>0.13</v>
      </c>
    </row>
    <row r="162" spans="1:7">
      <c r="A162" s="3218" t="s">
        <v>1153</v>
      </c>
      <c r="B162" s="3207" t="s">
        <v>2867</v>
      </c>
      <c r="C162" s="3208">
        <v>0.1</v>
      </c>
      <c r="D162" s="3208">
        <v>0.1</v>
      </c>
      <c r="E162" s="3208">
        <v>0.1</v>
      </c>
      <c r="F162" s="3208">
        <v>0.121</v>
      </c>
      <c r="G162" s="3209">
        <v>0.105</v>
      </c>
    </row>
    <row r="163" spans="1:7">
      <c r="A163" s="3218" t="s">
        <v>1153</v>
      </c>
      <c r="B163" s="3207" t="s">
        <v>2868</v>
      </c>
      <c r="C163" s="3208">
        <v>0.1</v>
      </c>
      <c r="D163" s="3208">
        <v>0.1</v>
      </c>
      <c r="E163" s="3208">
        <v>0.1</v>
      </c>
      <c r="F163" s="3208">
        <v>0.1</v>
      </c>
      <c r="G163" s="3209">
        <v>0.1</v>
      </c>
    </row>
    <row r="164" spans="1:7">
      <c r="A164" s="3218" t="s">
        <v>1153</v>
      </c>
      <c r="B164" s="3207" t="s">
        <v>2869</v>
      </c>
      <c r="C164" s="3224"/>
      <c r="D164" s="3224"/>
      <c r="E164" s="3224"/>
      <c r="F164" s="3208">
        <v>0.1</v>
      </c>
      <c r="G164" s="3220"/>
    </row>
    <row r="165" spans="1:7">
      <c r="A165" s="3218" t="s">
        <v>1153</v>
      </c>
      <c r="B165" s="3207" t="s">
        <v>3059</v>
      </c>
      <c r="C165" s="3208">
        <v>0.126</v>
      </c>
      <c r="D165" s="3208">
        <v>0.126</v>
      </c>
      <c r="E165" s="3208">
        <v>0.11899999999999999</v>
      </c>
      <c r="F165" s="3208">
        <v>0.13</v>
      </c>
      <c r="G165" s="3209">
        <v>0.128</v>
      </c>
    </row>
    <row r="166" spans="1:7">
      <c r="A166" s="3218" t="s">
        <v>1153</v>
      </c>
      <c r="B166" s="3207" t="s">
        <v>2871</v>
      </c>
      <c r="C166" s="3208">
        <v>0.129</v>
      </c>
      <c r="D166" s="3208">
        <v>0.129</v>
      </c>
      <c r="E166" s="3208">
        <v>0.123</v>
      </c>
      <c r="F166" s="3208">
        <v>0.128</v>
      </c>
      <c r="G166" s="3209">
        <v>0.13</v>
      </c>
    </row>
    <row r="167" spans="1:7">
      <c r="A167" s="3218" t="s">
        <v>1153</v>
      </c>
      <c r="B167" s="3207" t="s">
        <v>2872</v>
      </c>
      <c r="C167" s="3208">
        <v>0.125</v>
      </c>
      <c r="D167" s="3208">
        <v>0.125</v>
      </c>
      <c r="E167" s="3208">
        <v>0.11700000000000001</v>
      </c>
      <c r="F167" s="3208">
        <v>0.13</v>
      </c>
      <c r="G167" s="3209">
        <v>0.126</v>
      </c>
    </row>
    <row r="168" spans="1:7">
      <c r="A168" s="3218" t="s">
        <v>1153</v>
      </c>
      <c r="B168" s="3207" t="s">
        <v>2873</v>
      </c>
      <c r="C168" s="3208">
        <v>0.128</v>
      </c>
      <c r="D168" s="3208">
        <v>0.128</v>
      </c>
      <c r="E168" s="3208">
        <v>0.123</v>
      </c>
      <c r="F168" s="3219"/>
      <c r="G168" s="3209">
        <v>0.13</v>
      </c>
    </row>
    <row r="169" spans="1:7">
      <c r="A169" s="3218" t="s">
        <v>1153</v>
      </c>
      <c r="B169" s="3207" t="s">
        <v>3060</v>
      </c>
      <c r="C169" s="3224"/>
      <c r="D169" s="3224"/>
      <c r="E169" s="3224"/>
      <c r="F169" s="3208">
        <v>0.05</v>
      </c>
      <c r="G169" s="3220"/>
    </row>
    <row r="170" spans="1:7">
      <c r="A170" s="3218" t="s">
        <v>1153</v>
      </c>
      <c r="B170" s="3207" t="s">
        <v>3061</v>
      </c>
      <c r="C170" s="3224"/>
      <c r="D170" s="3224"/>
      <c r="E170" s="3224"/>
      <c r="F170" s="3208">
        <v>0.05</v>
      </c>
      <c r="G170" s="3220"/>
    </row>
    <row r="171" spans="1:7">
      <c r="A171" s="3218" t="s">
        <v>1153</v>
      </c>
      <c r="B171" s="3207" t="s">
        <v>3062</v>
      </c>
      <c r="C171" s="3224"/>
      <c r="D171" s="3224"/>
      <c r="E171" s="3224"/>
      <c r="F171" s="3208">
        <v>0.05</v>
      </c>
      <c r="G171" s="3225"/>
    </row>
    <row r="172" spans="1:7">
      <c r="A172" s="3218" t="s">
        <v>1153</v>
      </c>
      <c r="B172" s="3207" t="s">
        <v>3063</v>
      </c>
      <c r="C172" s="3224"/>
      <c r="D172" s="3224"/>
      <c r="E172" s="3224"/>
      <c r="F172" s="3208">
        <v>0.05</v>
      </c>
      <c r="G172" s="3225"/>
    </row>
    <row r="173" spans="1:7">
      <c r="A173" s="3218" t="s">
        <v>1153</v>
      </c>
      <c r="B173" s="3207" t="s">
        <v>3064</v>
      </c>
      <c r="C173" s="3224"/>
      <c r="D173" s="3224"/>
      <c r="E173" s="3224"/>
      <c r="F173" s="3208">
        <v>0.05</v>
      </c>
      <c r="G173" s="3220"/>
    </row>
    <row r="174" spans="1:7">
      <c r="A174" s="3218" t="s">
        <v>1153</v>
      </c>
      <c r="B174" s="3207" t="s">
        <v>3065</v>
      </c>
      <c r="C174" s="3224"/>
      <c r="D174" s="3224"/>
      <c r="E174" s="3224"/>
      <c r="F174" s="3208">
        <v>0.05</v>
      </c>
      <c r="G174" s="3220"/>
    </row>
    <row r="175" spans="1:7">
      <c r="A175" s="3218" t="s">
        <v>1153</v>
      </c>
      <c r="B175" s="3207" t="s">
        <v>3066</v>
      </c>
      <c r="C175" s="3224"/>
      <c r="D175" s="3224"/>
      <c r="E175" s="3224"/>
      <c r="F175" s="3208">
        <v>0.05</v>
      </c>
      <c r="G175" s="3220"/>
    </row>
    <row r="176" spans="1:7">
      <c r="A176" s="3218" t="s">
        <v>1153</v>
      </c>
      <c r="B176" s="3207" t="s">
        <v>3067</v>
      </c>
      <c r="C176" s="3224"/>
      <c r="D176" s="3224"/>
      <c r="E176" s="3224"/>
      <c r="F176" s="3208">
        <v>0.05</v>
      </c>
      <c r="G176" s="3220"/>
    </row>
    <row r="177" spans="1:7">
      <c r="A177" s="3218" t="s">
        <v>1153</v>
      </c>
      <c r="B177" s="3207" t="s">
        <v>3068</v>
      </c>
      <c r="C177" s="3219"/>
      <c r="D177" s="3219"/>
      <c r="E177" s="3219"/>
      <c r="F177" s="3208">
        <v>0.05</v>
      </c>
      <c r="G177" s="3225"/>
    </row>
    <row r="178" spans="1:7">
      <c r="A178" s="3218" t="s">
        <v>1153</v>
      </c>
      <c r="B178" s="3207" t="s">
        <v>3069</v>
      </c>
      <c r="C178" s="3219"/>
      <c r="D178" s="3219"/>
      <c r="E178" s="3219"/>
      <c r="F178" s="3208">
        <v>0.05</v>
      </c>
      <c r="G178" s="3225"/>
    </row>
    <row r="179" spans="1:7">
      <c r="A179" s="3218" t="s">
        <v>1153</v>
      </c>
      <c r="B179" s="3207" t="s">
        <v>3070</v>
      </c>
      <c r="C179" s="3219"/>
      <c r="D179" s="3219"/>
      <c r="E179" s="3219"/>
      <c r="F179" s="3208">
        <v>0.05</v>
      </c>
      <c r="G179" s="3225"/>
    </row>
    <row r="180" spans="1:7">
      <c r="A180" s="3218" t="s">
        <v>1153</v>
      </c>
      <c r="B180" s="3207" t="s">
        <v>3071</v>
      </c>
      <c r="C180" s="3219"/>
      <c r="D180" s="3219"/>
      <c r="E180" s="3219"/>
      <c r="F180" s="3208">
        <v>0.05</v>
      </c>
      <c r="G180" s="3225"/>
    </row>
    <row r="181" spans="1:7">
      <c r="A181" s="3218" t="s">
        <v>1153</v>
      </c>
      <c r="B181" s="3207" t="s">
        <v>3072</v>
      </c>
      <c r="C181" s="3219"/>
      <c r="D181" s="3219"/>
      <c r="E181" s="3219"/>
      <c r="F181" s="3208">
        <v>0.05</v>
      </c>
      <c r="G181" s="3225"/>
    </row>
    <row r="182" spans="1:7">
      <c r="A182" s="3218" t="s">
        <v>1153</v>
      </c>
      <c r="B182" s="3207" t="s">
        <v>3073</v>
      </c>
      <c r="C182" s="3219"/>
      <c r="D182" s="3219"/>
      <c r="E182" s="3219"/>
      <c r="F182" s="3208">
        <v>0.05</v>
      </c>
      <c r="G182" s="3225"/>
    </row>
    <row r="183" spans="1:7">
      <c r="A183" s="3218" t="s">
        <v>1153</v>
      </c>
      <c r="B183" s="3207" t="s">
        <v>3074</v>
      </c>
      <c r="C183" s="3219"/>
      <c r="D183" s="3219"/>
      <c r="E183" s="3219"/>
      <c r="F183" s="3208">
        <v>0.05</v>
      </c>
      <c r="G183" s="3225"/>
    </row>
    <row r="184" spans="1:7">
      <c r="A184" s="3218" t="s">
        <v>1153</v>
      </c>
      <c r="B184" s="3207" t="s">
        <v>3075</v>
      </c>
      <c r="C184" s="3219"/>
      <c r="D184" s="3219"/>
      <c r="E184" s="3219"/>
      <c r="F184" s="3208">
        <v>0.05</v>
      </c>
      <c r="G184" s="3225"/>
    </row>
    <row r="185" spans="1:7">
      <c r="A185" s="3218" t="s">
        <v>1153</v>
      </c>
      <c r="B185" s="3207" t="s">
        <v>3076</v>
      </c>
      <c r="C185" s="3219"/>
      <c r="D185" s="3219"/>
      <c r="E185" s="3219"/>
      <c r="F185" s="3208">
        <v>0.05</v>
      </c>
      <c r="G185" s="3225"/>
    </row>
    <row r="186" spans="1:7">
      <c r="A186" s="3218" t="s">
        <v>1153</v>
      </c>
      <c r="B186" s="3207" t="s">
        <v>3077</v>
      </c>
      <c r="C186" s="3219"/>
      <c r="D186" s="3219"/>
      <c r="E186" s="3219"/>
      <c r="F186" s="3208">
        <v>0.05</v>
      </c>
      <c r="G186" s="3225"/>
    </row>
    <row r="187" spans="1:7">
      <c r="A187" s="3218" t="s">
        <v>1153</v>
      </c>
      <c r="B187" s="3207" t="s">
        <v>3078</v>
      </c>
      <c r="C187" s="3219"/>
      <c r="D187" s="3219"/>
      <c r="E187" s="3219"/>
      <c r="F187" s="3208">
        <v>0.05</v>
      </c>
      <c r="G187" s="3225"/>
    </row>
    <row r="188" spans="1:7">
      <c r="A188" s="3218" t="s">
        <v>1153</v>
      </c>
      <c r="B188" s="3207" t="s">
        <v>3079</v>
      </c>
      <c r="C188" s="3219"/>
      <c r="D188" s="3219"/>
      <c r="E188" s="3219"/>
      <c r="F188" s="3208">
        <v>0.05</v>
      </c>
      <c r="G188" s="3225"/>
    </row>
    <row r="189" spans="1:7" ht="14.25" thickBot="1">
      <c r="A189" s="3221" t="s">
        <v>1153</v>
      </c>
      <c r="B189" s="3211" t="s">
        <v>3080</v>
      </c>
      <c r="C189" s="3213"/>
      <c r="D189" s="3213"/>
      <c r="E189" s="3213"/>
      <c r="F189" s="3212">
        <v>0.05</v>
      </c>
      <c r="G189" s="3226"/>
    </row>
    <row r="190" spans="1:7">
      <c r="A190" s="3217" t="s">
        <v>1154</v>
      </c>
      <c r="B190" s="3203" t="s">
        <v>3081</v>
      </c>
      <c r="C190" s="3204">
        <v>0.124</v>
      </c>
      <c r="D190" s="3204">
        <v>0.124</v>
      </c>
      <c r="E190" s="3204">
        <v>0.129</v>
      </c>
      <c r="F190" s="3204">
        <v>0.13</v>
      </c>
      <c r="G190" s="3205">
        <v>0.127</v>
      </c>
    </row>
    <row r="191" spans="1:7">
      <c r="A191" s="3218" t="s">
        <v>1154</v>
      </c>
      <c r="B191" s="3207" t="s">
        <v>978</v>
      </c>
      <c r="C191" s="3208">
        <v>0.13</v>
      </c>
      <c r="D191" s="3208">
        <v>0.13</v>
      </c>
      <c r="E191" s="3208">
        <v>0.13</v>
      </c>
      <c r="F191" s="3208">
        <v>0.13</v>
      </c>
      <c r="G191" s="3209">
        <v>0.13</v>
      </c>
    </row>
    <row r="192" spans="1:7">
      <c r="A192" s="3218" t="s">
        <v>1154</v>
      </c>
      <c r="B192" s="3207" t="s">
        <v>988</v>
      </c>
      <c r="C192" s="3208">
        <v>0.13</v>
      </c>
      <c r="D192" s="3208">
        <v>0.13</v>
      </c>
      <c r="E192" s="3208">
        <v>0.13</v>
      </c>
      <c r="F192" s="3208">
        <v>0.13</v>
      </c>
      <c r="G192" s="3209">
        <v>0.13</v>
      </c>
    </row>
    <row r="193" spans="1:7">
      <c r="A193" s="3218" t="s">
        <v>1154</v>
      </c>
      <c r="B193" s="3207" t="s">
        <v>997</v>
      </c>
      <c r="C193" s="3208">
        <v>0.13</v>
      </c>
      <c r="D193" s="3208">
        <v>0.13</v>
      </c>
      <c r="E193" s="3208">
        <v>0.13</v>
      </c>
      <c r="F193" s="3208">
        <v>0.13</v>
      </c>
      <c r="G193" s="3209">
        <v>0.13</v>
      </c>
    </row>
    <row r="194" spans="1:7">
      <c r="A194" s="3218" t="s">
        <v>1154</v>
      </c>
      <c r="B194" s="3207" t="s">
        <v>1007</v>
      </c>
      <c r="C194" s="3208">
        <v>0.123</v>
      </c>
      <c r="D194" s="3208">
        <v>0.123</v>
      </c>
      <c r="E194" s="3208">
        <v>0.128</v>
      </c>
      <c r="F194" s="3208">
        <v>0.13</v>
      </c>
      <c r="G194" s="3209">
        <v>0.126</v>
      </c>
    </row>
    <row r="195" spans="1:7">
      <c r="A195" s="3218" t="s">
        <v>1154</v>
      </c>
      <c r="B195" s="3207" t="s">
        <v>1014</v>
      </c>
      <c r="C195" s="3208">
        <v>0.127</v>
      </c>
      <c r="D195" s="3208">
        <v>0.127</v>
      </c>
      <c r="E195" s="3208">
        <v>0.121</v>
      </c>
      <c r="F195" s="3208">
        <v>0.129</v>
      </c>
      <c r="G195" s="3209">
        <v>0.129</v>
      </c>
    </row>
    <row r="196" spans="1:7">
      <c r="A196" s="3218" t="s">
        <v>1154</v>
      </c>
      <c r="B196" s="3207" t="s">
        <v>1020</v>
      </c>
      <c r="C196" s="3208">
        <v>0.127</v>
      </c>
      <c r="D196" s="3208">
        <v>0.128</v>
      </c>
      <c r="E196" s="3208">
        <v>0.122</v>
      </c>
      <c r="F196" s="3208">
        <v>0.13</v>
      </c>
      <c r="G196" s="3209">
        <v>0.129</v>
      </c>
    </row>
    <row r="197" spans="1:7">
      <c r="A197" s="3218" t="s">
        <v>1154</v>
      </c>
      <c r="B197" s="3207" t="s">
        <v>1027</v>
      </c>
      <c r="C197" s="3208">
        <v>0.126</v>
      </c>
      <c r="D197" s="3208">
        <v>0.126</v>
      </c>
      <c r="E197" s="3208">
        <v>0.11899999999999999</v>
      </c>
      <c r="F197" s="3208">
        <v>0.13</v>
      </c>
      <c r="G197" s="3209">
        <v>0.128</v>
      </c>
    </row>
    <row r="198" spans="1:7">
      <c r="A198" s="3218" t="s">
        <v>1154</v>
      </c>
      <c r="B198" s="3207" t="s">
        <v>1037</v>
      </c>
      <c r="C198" s="3208">
        <v>0.13</v>
      </c>
      <c r="D198" s="3208">
        <v>0.13</v>
      </c>
      <c r="E198" s="3208">
        <v>0.126</v>
      </c>
      <c r="F198" s="3224"/>
      <c r="G198" s="3209">
        <v>0.13</v>
      </c>
    </row>
    <row r="199" spans="1:7">
      <c r="A199" s="3218" t="s">
        <v>1154</v>
      </c>
      <c r="B199" s="3207" t="s">
        <v>3082</v>
      </c>
      <c r="C199" s="3208">
        <v>0.13</v>
      </c>
      <c r="D199" s="3208">
        <v>0.13</v>
      </c>
      <c r="E199" s="3208">
        <v>0.13</v>
      </c>
      <c r="F199" s="3208">
        <v>0.13</v>
      </c>
      <c r="G199" s="3209">
        <v>0.13</v>
      </c>
    </row>
    <row r="200" spans="1:7">
      <c r="A200" s="3218" t="s">
        <v>1154</v>
      </c>
      <c r="B200" s="3207" t="s">
        <v>2897</v>
      </c>
      <c r="C200" s="3224"/>
      <c r="D200" s="3224"/>
      <c r="E200" s="3224"/>
      <c r="F200" s="3208">
        <v>0.13</v>
      </c>
      <c r="G200" s="3220"/>
    </row>
    <row r="201" spans="1:7">
      <c r="A201" s="3218" t="s">
        <v>1154</v>
      </c>
      <c r="B201" s="3207" t="s">
        <v>3083</v>
      </c>
      <c r="C201" s="3208">
        <v>0.13</v>
      </c>
      <c r="D201" s="3208">
        <v>0.13</v>
      </c>
      <c r="E201" s="3208">
        <v>0.13</v>
      </c>
      <c r="F201" s="3208">
        <v>0.129</v>
      </c>
      <c r="G201" s="3209">
        <v>0.13</v>
      </c>
    </row>
    <row r="202" spans="1:7">
      <c r="A202" s="3218" t="s">
        <v>1154</v>
      </c>
      <c r="B202" s="3207" t="s">
        <v>1088</v>
      </c>
      <c r="C202" s="3208">
        <v>0.13</v>
      </c>
      <c r="D202" s="3208">
        <v>0.13</v>
      </c>
      <c r="E202" s="3208">
        <v>0.13</v>
      </c>
      <c r="F202" s="3208">
        <v>0.13</v>
      </c>
      <c r="G202" s="3209">
        <v>0.13</v>
      </c>
    </row>
    <row r="203" spans="1:7">
      <c r="A203" s="3218" t="s">
        <v>1154</v>
      </c>
      <c r="B203" s="3207" t="s">
        <v>3084</v>
      </c>
      <c r="C203" s="3208">
        <v>0.129</v>
      </c>
      <c r="D203" s="3208">
        <v>0.129</v>
      </c>
      <c r="E203" s="3208">
        <v>0.13</v>
      </c>
      <c r="F203" s="3208">
        <v>0.13</v>
      </c>
      <c r="G203" s="3209">
        <v>0.13</v>
      </c>
    </row>
    <row r="204" spans="1:7">
      <c r="A204" s="3218" t="s">
        <v>1154</v>
      </c>
      <c r="B204" s="3207" t="s">
        <v>2900</v>
      </c>
      <c r="C204" s="3208">
        <v>0.129</v>
      </c>
      <c r="D204" s="3208">
        <v>0.129</v>
      </c>
      <c r="E204" s="3208">
        <v>0.123</v>
      </c>
      <c r="F204" s="3208">
        <v>0.13</v>
      </c>
      <c r="G204" s="3209">
        <v>0.13</v>
      </c>
    </row>
    <row r="205" spans="1:7">
      <c r="A205" s="3218" t="s">
        <v>1154</v>
      </c>
      <c r="B205" s="3207" t="s">
        <v>2901</v>
      </c>
      <c r="C205" s="3208">
        <v>0.13</v>
      </c>
      <c r="D205" s="3208">
        <v>0.13</v>
      </c>
      <c r="E205" s="3208">
        <v>0.13</v>
      </c>
      <c r="F205" s="3208">
        <v>0.13</v>
      </c>
      <c r="G205" s="3209">
        <v>0.13</v>
      </c>
    </row>
    <row r="206" spans="1:7">
      <c r="A206" s="3218" t="s">
        <v>1154</v>
      </c>
      <c r="B206" s="3207" t="s">
        <v>2902</v>
      </c>
      <c r="C206" s="3208">
        <v>0.13</v>
      </c>
      <c r="D206" s="3208">
        <v>0.13</v>
      </c>
      <c r="E206" s="3208">
        <v>0.13</v>
      </c>
      <c r="F206" s="3208">
        <v>0.128</v>
      </c>
      <c r="G206" s="3209">
        <v>0.13</v>
      </c>
    </row>
    <row r="207" spans="1:7">
      <c r="A207" s="3218" t="s">
        <v>1154</v>
      </c>
      <c r="B207" s="3207" t="s">
        <v>2903</v>
      </c>
      <c r="C207" s="3208">
        <v>0.13</v>
      </c>
      <c r="D207" s="3208">
        <v>0.13</v>
      </c>
      <c r="E207" s="3208">
        <v>0.13</v>
      </c>
      <c r="F207" s="3208">
        <v>0.13</v>
      </c>
      <c r="G207" s="3209">
        <v>0.13</v>
      </c>
    </row>
    <row r="208" spans="1:7">
      <c r="A208" s="3218" t="s">
        <v>1154</v>
      </c>
      <c r="B208" s="3207" t="s">
        <v>3085</v>
      </c>
      <c r="C208" s="3208">
        <v>0.13</v>
      </c>
      <c r="D208" s="3208">
        <v>0.13</v>
      </c>
      <c r="E208" s="3208">
        <v>0.13</v>
      </c>
      <c r="F208" s="3208">
        <v>0.13</v>
      </c>
      <c r="G208" s="3209">
        <v>0.13</v>
      </c>
    </row>
    <row r="209" spans="1:7">
      <c r="A209" s="3218" t="s">
        <v>1154</v>
      </c>
      <c r="B209" s="3207" t="s">
        <v>1112</v>
      </c>
      <c r="C209" s="3208">
        <v>0.13</v>
      </c>
      <c r="D209" s="3208">
        <v>0.13</v>
      </c>
      <c r="E209" s="3208">
        <v>0.13</v>
      </c>
      <c r="F209" s="3208">
        <v>0.13</v>
      </c>
      <c r="G209" s="3209">
        <v>0.13</v>
      </c>
    </row>
    <row r="210" spans="1:7">
      <c r="A210" s="3218" t="s">
        <v>1154</v>
      </c>
      <c r="B210" s="3207" t="s">
        <v>2905</v>
      </c>
      <c r="C210" s="3208">
        <v>0.121</v>
      </c>
      <c r="D210" s="3208">
        <v>0.121</v>
      </c>
      <c r="E210" s="3208">
        <v>0.125</v>
      </c>
      <c r="F210" s="3208">
        <v>0.13</v>
      </c>
      <c r="G210" s="3209">
        <v>0.123</v>
      </c>
    </row>
    <row r="211" spans="1:7">
      <c r="A211" s="3218" t="s">
        <v>1154</v>
      </c>
      <c r="B211" s="3207" t="s">
        <v>3086</v>
      </c>
      <c r="C211" s="3208">
        <v>0.123</v>
      </c>
      <c r="D211" s="3208">
        <v>0.123</v>
      </c>
      <c r="E211" s="3208">
        <v>0.127</v>
      </c>
      <c r="F211" s="3208">
        <v>0.115</v>
      </c>
      <c r="G211" s="3209">
        <v>0.126</v>
      </c>
    </row>
    <row r="212" spans="1:7">
      <c r="A212" s="3218" t="s">
        <v>1154</v>
      </c>
      <c r="B212" s="3207" t="s">
        <v>1134</v>
      </c>
      <c r="C212" s="3208">
        <v>0.126</v>
      </c>
      <c r="D212" s="3208">
        <v>0.126</v>
      </c>
      <c r="E212" s="3208">
        <v>0.13</v>
      </c>
      <c r="F212" s="3208">
        <v>0.13</v>
      </c>
      <c r="G212" s="3209">
        <v>0.129</v>
      </c>
    </row>
    <row r="213" spans="1:7">
      <c r="A213" s="3218" t="s">
        <v>1154</v>
      </c>
      <c r="B213" s="3207" t="s">
        <v>1137</v>
      </c>
      <c r="C213" s="3208">
        <v>0.129</v>
      </c>
      <c r="D213" s="3208">
        <v>0.13</v>
      </c>
      <c r="E213" s="3208">
        <v>0.127</v>
      </c>
      <c r="F213" s="3208">
        <v>0.13</v>
      </c>
      <c r="G213" s="3209">
        <v>0.13</v>
      </c>
    </row>
    <row r="214" spans="1:7">
      <c r="A214" s="3218" t="s">
        <v>1154</v>
      </c>
      <c r="B214" s="3207" t="s">
        <v>3087</v>
      </c>
      <c r="C214" s="3208">
        <v>0.128</v>
      </c>
      <c r="D214" s="3208">
        <v>0.128</v>
      </c>
      <c r="E214" s="3208">
        <v>0.13</v>
      </c>
      <c r="F214" s="3208">
        <v>0.13</v>
      </c>
      <c r="G214" s="3209">
        <v>0.13</v>
      </c>
    </row>
    <row r="215" spans="1:7">
      <c r="A215" s="3218" t="s">
        <v>1154</v>
      </c>
      <c r="B215" s="3207" t="s">
        <v>3088</v>
      </c>
      <c r="C215" s="3208">
        <v>0.13</v>
      </c>
      <c r="D215" s="3208">
        <v>0.13</v>
      </c>
      <c r="E215" s="3208">
        <v>0.13</v>
      </c>
      <c r="F215" s="3208">
        <v>0.129</v>
      </c>
      <c r="G215" s="3209">
        <v>0.13</v>
      </c>
    </row>
    <row r="216" spans="1:7">
      <c r="A216" s="3218" t="s">
        <v>1154</v>
      </c>
      <c r="B216" s="3207" t="s">
        <v>3089</v>
      </c>
      <c r="C216" s="3208">
        <v>0.13</v>
      </c>
      <c r="D216" s="3208">
        <v>0.13</v>
      </c>
      <c r="E216" s="3208">
        <v>0.13</v>
      </c>
      <c r="F216" s="3208">
        <v>0.13</v>
      </c>
      <c r="G216" s="3209">
        <v>0.13</v>
      </c>
    </row>
    <row r="217" spans="1:7">
      <c r="A217" s="3218" t="s">
        <v>1154</v>
      </c>
      <c r="B217" s="3207" t="s">
        <v>2909</v>
      </c>
      <c r="C217" s="3208">
        <v>0.129</v>
      </c>
      <c r="D217" s="3208">
        <v>0.129</v>
      </c>
      <c r="E217" s="3208">
        <v>0.13</v>
      </c>
      <c r="F217" s="3208">
        <v>0.13</v>
      </c>
      <c r="G217" s="3209">
        <v>0.13</v>
      </c>
    </row>
    <row r="218" spans="1:7">
      <c r="A218" s="3218" t="s">
        <v>1154</v>
      </c>
      <c r="B218" s="3207" t="s">
        <v>3090</v>
      </c>
      <c r="C218" s="3219"/>
      <c r="D218" s="3219"/>
      <c r="E218" s="3219"/>
      <c r="F218" s="3208">
        <v>0.05</v>
      </c>
      <c r="G218" s="3225"/>
    </row>
    <row r="219" spans="1:7">
      <c r="A219" s="3218" t="s">
        <v>1154</v>
      </c>
      <c r="B219" s="3207" t="s">
        <v>3091</v>
      </c>
      <c r="C219" s="3219"/>
      <c r="D219" s="3219"/>
      <c r="E219" s="3219"/>
      <c r="F219" s="3208">
        <v>0.05</v>
      </c>
      <c r="G219" s="3225"/>
    </row>
    <row r="220" spans="1:7">
      <c r="A220" s="3218" t="s">
        <v>1154</v>
      </c>
      <c r="B220" s="3207" t="s">
        <v>3092</v>
      </c>
      <c r="C220" s="3219"/>
      <c r="D220" s="3219"/>
      <c r="E220" s="3219"/>
      <c r="F220" s="3208">
        <v>0.05</v>
      </c>
      <c r="G220" s="3225"/>
    </row>
    <row r="221" spans="1:7">
      <c r="A221" s="3218" t="s">
        <v>1154</v>
      </c>
      <c r="B221" s="3207" t="s">
        <v>3093</v>
      </c>
      <c r="C221" s="3219"/>
      <c r="D221" s="3219"/>
      <c r="E221" s="3219"/>
      <c r="F221" s="3208">
        <v>0.05</v>
      </c>
      <c r="G221" s="3225"/>
    </row>
    <row r="222" spans="1:7">
      <c r="A222" s="3218" t="s">
        <v>1154</v>
      </c>
      <c r="B222" s="3207" t="s">
        <v>3094</v>
      </c>
      <c r="C222" s="3219"/>
      <c r="D222" s="3219"/>
      <c r="E222" s="3219"/>
      <c r="F222" s="3208">
        <v>0.05</v>
      </c>
      <c r="G222" s="3225"/>
    </row>
    <row r="223" spans="1:7">
      <c r="A223" s="3218" t="s">
        <v>1154</v>
      </c>
      <c r="B223" s="3207" t="s">
        <v>3095</v>
      </c>
      <c r="C223" s="3219"/>
      <c r="D223" s="3219"/>
      <c r="E223" s="3219"/>
      <c r="F223" s="3208">
        <v>0.05</v>
      </c>
      <c r="G223" s="3225"/>
    </row>
    <row r="224" spans="1:7">
      <c r="A224" s="3218" t="s">
        <v>1154</v>
      </c>
      <c r="B224" s="3207" t="s">
        <v>3096</v>
      </c>
      <c r="C224" s="3219"/>
      <c r="D224" s="3219"/>
      <c r="E224" s="3219"/>
      <c r="F224" s="3208">
        <v>0.05</v>
      </c>
      <c r="G224" s="3225"/>
    </row>
    <row r="225" spans="1:7">
      <c r="A225" s="3218" t="s">
        <v>1154</v>
      </c>
      <c r="B225" s="3207" t="s">
        <v>3097</v>
      </c>
      <c r="C225" s="3219"/>
      <c r="D225" s="3219"/>
      <c r="E225" s="3219"/>
      <c r="F225" s="3208">
        <v>0.05</v>
      </c>
      <c r="G225" s="3225"/>
    </row>
    <row r="226" spans="1:7">
      <c r="A226" s="3218" t="s">
        <v>1154</v>
      </c>
      <c r="B226" s="3207" t="s">
        <v>3098</v>
      </c>
      <c r="C226" s="3219"/>
      <c r="D226" s="3219"/>
      <c r="E226" s="3219"/>
      <c r="F226" s="3208">
        <v>0.05</v>
      </c>
      <c r="G226" s="3225"/>
    </row>
    <row r="227" spans="1:7">
      <c r="A227" s="3218" t="s">
        <v>1154</v>
      </c>
      <c r="B227" s="3207" t="s">
        <v>3099</v>
      </c>
      <c r="C227" s="3219"/>
      <c r="D227" s="3219"/>
      <c r="E227" s="3219"/>
      <c r="F227" s="3208">
        <v>0.05</v>
      </c>
      <c r="G227" s="3225"/>
    </row>
    <row r="228" spans="1:7">
      <c r="A228" s="3218" t="s">
        <v>1154</v>
      </c>
      <c r="B228" s="3207" t="s">
        <v>3100</v>
      </c>
      <c r="C228" s="3219"/>
      <c r="D228" s="3219"/>
      <c r="E228" s="3219"/>
      <c r="F228" s="3208">
        <v>0.05</v>
      </c>
      <c r="G228" s="3225"/>
    </row>
    <row r="229" spans="1:7">
      <c r="A229" s="3218" t="s">
        <v>1154</v>
      </c>
      <c r="B229" s="3207" t="s">
        <v>3101</v>
      </c>
      <c r="C229" s="3219"/>
      <c r="D229" s="3219"/>
      <c r="E229" s="3219"/>
      <c r="F229" s="3208">
        <v>0.05</v>
      </c>
      <c r="G229" s="3225"/>
    </row>
    <row r="230" spans="1:7">
      <c r="A230" s="3218" t="s">
        <v>1154</v>
      </c>
      <c r="B230" s="3207" t="s">
        <v>3102</v>
      </c>
      <c r="C230" s="3219"/>
      <c r="D230" s="3219"/>
      <c r="E230" s="3219"/>
      <c r="F230" s="3208">
        <v>0.05</v>
      </c>
      <c r="G230" s="3225"/>
    </row>
    <row r="231" spans="1:7">
      <c r="A231" s="3218" t="s">
        <v>1154</v>
      </c>
      <c r="B231" s="3207" t="s">
        <v>3103</v>
      </c>
      <c r="C231" s="3219"/>
      <c r="D231" s="3219"/>
      <c r="E231" s="3219"/>
      <c r="F231" s="3208">
        <v>0.05</v>
      </c>
      <c r="G231" s="3225"/>
    </row>
    <row r="232" spans="1:7">
      <c r="A232" s="3218" t="s">
        <v>1154</v>
      </c>
      <c r="B232" s="3207" t="s">
        <v>3104</v>
      </c>
      <c r="C232" s="3219"/>
      <c r="D232" s="3219"/>
      <c r="E232" s="3219"/>
      <c r="F232" s="3208">
        <v>0.05</v>
      </c>
      <c r="G232" s="3225"/>
    </row>
    <row r="233" spans="1:7" ht="14.25" thickBot="1">
      <c r="A233" s="3221" t="s">
        <v>1154</v>
      </c>
      <c r="B233" s="3211" t="s">
        <v>3105</v>
      </c>
      <c r="C233" s="3213"/>
      <c r="D233" s="3213"/>
      <c r="E233" s="3213"/>
      <c r="F233" s="3212">
        <v>0.05</v>
      </c>
      <c r="G233" s="3226"/>
    </row>
    <row r="234" spans="1:7">
      <c r="A234" s="3217" t="s">
        <v>1155</v>
      </c>
      <c r="B234" s="3203" t="s">
        <v>3106</v>
      </c>
      <c r="C234" s="3204">
        <v>0.13</v>
      </c>
      <c r="D234" s="3204">
        <v>0.128</v>
      </c>
      <c r="E234" s="3204">
        <v>0.14199999999999999</v>
      </c>
      <c r="F234" s="3204">
        <v>0.14699999999999999</v>
      </c>
      <c r="G234" s="3205">
        <v>0.14000000000000001</v>
      </c>
    </row>
    <row r="235" spans="1:7">
      <c r="A235" s="3218" t="s">
        <v>1155</v>
      </c>
      <c r="B235" s="3207" t="s">
        <v>979</v>
      </c>
      <c r="C235" s="3208">
        <v>0.13600000000000001</v>
      </c>
      <c r="D235" s="3208">
        <v>0.13800000000000001</v>
      </c>
      <c r="E235" s="3208">
        <v>0.14499999999999999</v>
      </c>
      <c r="F235" s="3208">
        <v>0.14299999999999999</v>
      </c>
      <c r="G235" s="3209">
        <v>0.14099999999999999</v>
      </c>
    </row>
    <row r="236" spans="1:7">
      <c r="A236" s="3218" t="s">
        <v>1155</v>
      </c>
      <c r="B236" s="3207" t="s">
        <v>989</v>
      </c>
      <c r="C236" s="3208">
        <v>0.15</v>
      </c>
      <c r="D236" s="3208">
        <v>0.15</v>
      </c>
      <c r="E236" s="3208">
        <v>0.15</v>
      </c>
      <c r="F236" s="3208">
        <v>0.15</v>
      </c>
      <c r="G236" s="3209">
        <v>0.15</v>
      </c>
    </row>
    <row r="237" spans="1:7">
      <c r="A237" s="3218" t="s">
        <v>1155</v>
      </c>
      <c r="B237" s="3207" t="s">
        <v>998</v>
      </c>
      <c r="C237" s="3208">
        <v>0.15</v>
      </c>
      <c r="D237" s="3208">
        <v>0.15</v>
      </c>
      <c r="E237" s="3208">
        <v>0.15</v>
      </c>
      <c r="F237" s="3208">
        <v>0.15</v>
      </c>
      <c r="G237" s="3209">
        <v>0.15</v>
      </c>
    </row>
    <row r="238" spans="1:7">
      <c r="A238" s="3218" t="s">
        <v>1155</v>
      </c>
      <c r="B238" s="3207" t="s">
        <v>2927</v>
      </c>
      <c r="C238" s="3208">
        <v>0.14899999999999999</v>
      </c>
      <c r="D238" s="3208">
        <v>0.14899999999999999</v>
      </c>
      <c r="E238" s="3208">
        <v>0.15</v>
      </c>
      <c r="F238" s="3208">
        <v>0.15</v>
      </c>
      <c r="G238" s="3209">
        <v>0.15</v>
      </c>
    </row>
    <row r="239" spans="1:7">
      <c r="A239" s="3218" t="s">
        <v>1155</v>
      </c>
      <c r="B239" s="3207" t="s">
        <v>3107</v>
      </c>
      <c r="C239" s="3208">
        <v>0.15</v>
      </c>
      <c r="D239" s="3208">
        <v>0.15</v>
      </c>
      <c r="E239" s="3208">
        <v>0.15</v>
      </c>
      <c r="F239" s="3208">
        <v>0.15</v>
      </c>
      <c r="G239" s="3209">
        <v>0.15</v>
      </c>
    </row>
    <row r="240" spans="1:7">
      <c r="A240" s="3218" t="s">
        <v>1155</v>
      </c>
      <c r="B240" s="3207" t="s">
        <v>3108</v>
      </c>
      <c r="C240" s="3208">
        <v>0.15</v>
      </c>
      <c r="D240" s="3208">
        <v>0.15</v>
      </c>
      <c r="E240" s="3208">
        <v>0.15</v>
      </c>
      <c r="F240" s="3208">
        <v>0.15</v>
      </c>
      <c r="G240" s="3209">
        <v>0.15</v>
      </c>
    </row>
    <row r="241" spans="1:7">
      <c r="A241" s="3218" t="s">
        <v>1155</v>
      </c>
      <c r="B241" s="3207" t="s">
        <v>3109</v>
      </c>
      <c r="C241" s="3208">
        <v>0.14099999999999999</v>
      </c>
      <c r="D241" s="3208">
        <v>0.14199999999999999</v>
      </c>
      <c r="E241" s="3208">
        <v>0.14899999999999999</v>
      </c>
      <c r="F241" s="3208">
        <v>0.15</v>
      </c>
      <c r="G241" s="3209">
        <v>0.14399999999999999</v>
      </c>
    </row>
    <row r="242" spans="1:7">
      <c r="A242" s="3218" t="s">
        <v>1155</v>
      </c>
      <c r="B242" s="3207" t="s">
        <v>1028</v>
      </c>
      <c r="C242" s="3208">
        <v>0.14099999999999999</v>
      </c>
      <c r="D242" s="3208">
        <v>0.14199999999999999</v>
      </c>
      <c r="E242" s="3208">
        <v>0.14799999999999999</v>
      </c>
      <c r="F242" s="3208">
        <v>0.127</v>
      </c>
      <c r="G242" s="3209">
        <v>0.14399999999999999</v>
      </c>
    </row>
    <row r="243" spans="1:7">
      <c r="A243" s="3218" t="s">
        <v>1155</v>
      </c>
      <c r="B243" s="3207" t="s">
        <v>1038</v>
      </c>
      <c r="C243" s="3208">
        <v>0.14699999999999999</v>
      </c>
      <c r="D243" s="3208">
        <v>0.14699999999999999</v>
      </c>
      <c r="E243" s="3208">
        <v>0.15</v>
      </c>
      <c r="F243" s="3208">
        <v>0.15</v>
      </c>
      <c r="G243" s="3209">
        <v>0.14899999999999999</v>
      </c>
    </row>
    <row r="244" spans="1:7">
      <c r="A244" s="3218" t="s">
        <v>1155</v>
      </c>
      <c r="B244" s="3207" t="s">
        <v>3110</v>
      </c>
      <c r="C244" s="3208">
        <v>0.15</v>
      </c>
      <c r="D244" s="3208">
        <v>0.15</v>
      </c>
      <c r="E244" s="3208">
        <v>0.15</v>
      </c>
      <c r="F244" s="3208">
        <v>0.15</v>
      </c>
      <c r="G244" s="3209">
        <v>0.15</v>
      </c>
    </row>
    <row r="245" spans="1:7">
      <c r="A245" s="3218" t="s">
        <v>1155</v>
      </c>
      <c r="B245" s="3207" t="s">
        <v>1053</v>
      </c>
      <c r="C245" s="3208">
        <v>0.14199999999999999</v>
      </c>
      <c r="D245" s="3208">
        <v>0.14199999999999999</v>
      </c>
      <c r="E245" s="3208">
        <v>0.15</v>
      </c>
      <c r="F245" s="3208">
        <v>0.15</v>
      </c>
      <c r="G245" s="3209">
        <v>0.14499999999999999</v>
      </c>
    </row>
    <row r="246" spans="1:7">
      <c r="A246" s="3218" t="s">
        <v>1155</v>
      </c>
      <c r="B246" s="3207" t="s">
        <v>1060</v>
      </c>
      <c r="C246" s="3208">
        <v>0.14199999999999999</v>
      </c>
      <c r="D246" s="3208">
        <v>0.14299999999999999</v>
      </c>
      <c r="E246" s="3208">
        <v>0.15</v>
      </c>
      <c r="F246" s="3208">
        <v>0.14199999999999999</v>
      </c>
      <c r="G246" s="3209">
        <v>0.14399999999999999</v>
      </c>
    </row>
    <row r="247" spans="1:7">
      <c r="A247" s="3218" t="s">
        <v>1155</v>
      </c>
      <c r="B247" s="3207" t="s">
        <v>3111</v>
      </c>
      <c r="C247" s="3208">
        <v>0.14899999999999999</v>
      </c>
      <c r="D247" s="3208">
        <v>0.14899999999999999</v>
      </c>
      <c r="E247" s="3208">
        <v>0.15</v>
      </c>
      <c r="F247" s="3208">
        <v>0.15</v>
      </c>
      <c r="G247" s="3209">
        <v>0.15</v>
      </c>
    </row>
    <row r="248" spans="1:7">
      <c r="A248" s="3218" t="s">
        <v>1155</v>
      </c>
      <c r="B248" s="3207" t="s">
        <v>1075</v>
      </c>
      <c r="C248" s="3208">
        <v>0.14399999999999999</v>
      </c>
      <c r="D248" s="3208">
        <v>0.14399999999999999</v>
      </c>
      <c r="E248" s="3208">
        <v>0.14899999999999999</v>
      </c>
      <c r="F248" s="3208">
        <v>0.14799999999999999</v>
      </c>
      <c r="G248" s="3209">
        <v>0.14599999999999999</v>
      </c>
    </row>
    <row r="249" spans="1:7">
      <c r="A249" s="3218" t="s">
        <v>1155</v>
      </c>
      <c r="B249" s="3207" t="s">
        <v>3112</v>
      </c>
      <c r="C249" s="3208">
        <v>0.14000000000000001</v>
      </c>
      <c r="D249" s="3208">
        <v>0.14000000000000001</v>
      </c>
      <c r="E249" s="3208">
        <v>0.14699999999999999</v>
      </c>
      <c r="F249" s="3208">
        <v>0.14899999999999999</v>
      </c>
      <c r="G249" s="3209">
        <v>0.14199999999999999</v>
      </c>
    </row>
    <row r="250" spans="1:7">
      <c r="A250" s="3218" t="s">
        <v>1155</v>
      </c>
      <c r="B250" s="3207" t="s">
        <v>1089</v>
      </c>
      <c r="C250" s="3208">
        <v>0.14399999999999999</v>
      </c>
      <c r="D250" s="3208">
        <v>0.14299999999999999</v>
      </c>
      <c r="E250" s="3208">
        <v>0.14899999999999999</v>
      </c>
      <c r="F250" s="3208">
        <v>0.15</v>
      </c>
      <c r="G250" s="3209">
        <v>0.14599999999999999</v>
      </c>
    </row>
    <row r="251" spans="1:7">
      <c r="A251" s="3218" t="s">
        <v>1155</v>
      </c>
      <c r="B251" s="3207" t="s">
        <v>1097</v>
      </c>
      <c r="C251" s="3224"/>
      <c r="D251" s="3219"/>
      <c r="E251" s="3219"/>
      <c r="F251" s="3208">
        <v>0.1</v>
      </c>
      <c r="G251" s="3225"/>
    </row>
    <row r="252" spans="1:7">
      <c r="A252" s="3218" t="s">
        <v>1155</v>
      </c>
      <c r="B252" s="3207" t="s">
        <v>3113</v>
      </c>
      <c r="C252" s="3208">
        <v>0.14399999999999999</v>
      </c>
      <c r="D252" s="3208">
        <v>0.14399999999999999</v>
      </c>
      <c r="E252" s="3208">
        <v>0.15</v>
      </c>
      <c r="F252" s="3208">
        <v>0.14899999999999999</v>
      </c>
      <c r="G252" s="3209">
        <v>0.14599999999999999</v>
      </c>
    </row>
    <row r="253" spans="1:7">
      <c r="A253" s="3218" t="s">
        <v>1155</v>
      </c>
      <c r="B253" s="3207" t="s">
        <v>1132</v>
      </c>
      <c r="C253" s="3208">
        <v>0.14199999999999999</v>
      </c>
      <c r="D253" s="3208">
        <v>0.14199999999999999</v>
      </c>
      <c r="E253" s="3208">
        <v>0.14599999999999999</v>
      </c>
      <c r="F253" s="3208">
        <v>0.14799999999999999</v>
      </c>
      <c r="G253" s="3209">
        <v>0.14499999999999999</v>
      </c>
    </row>
    <row r="254" spans="1:7">
      <c r="A254" s="3218" t="s">
        <v>1155</v>
      </c>
      <c r="B254" s="3207" t="s">
        <v>1135</v>
      </c>
      <c r="C254" s="3208">
        <v>0.15</v>
      </c>
      <c r="D254" s="3208">
        <v>0.15</v>
      </c>
      <c r="E254" s="3208">
        <v>0.15</v>
      </c>
      <c r="F254" s="3208">
        <v>0.15</v>
      </c>
      <c r="G254" s="3209">
        <v>0.15</v>
      </c>
    </row>
    <row r="255" spans="1:7">
      <c r="A255" s="3218" t="s">
        <v>1155</v>
      </c>
      <c r="B255" s="3207" t="s">
        <v>1138</v>
      </c>
      <c r="C255" s="3208">
        <v>0.14299999999999999</v>
      </c>
      <c r="D255" s="3208">
        <v>0.14299999999999999</v>
      </c>
      <c r="E255" s="3208">
        <v>0.15</v>
      </c>
      <c r="F255" s="3208">
        <v>0.15</v>
      </c>
      <c r="G255" s="3209">
        <v>0.14499999999999999</v>
      </c>
    </row>
    <row r="256" spans="1:7">
      <c r="A256" s="3218" t="s">
        <v>1155</v>
      </c>
      <c r="B256" s="3207" t="s">
        <v>3114</v>
      </c>
      <c r="C256" s="3208">
        <v>0.15</v>
      </c>
      <c r="D256" s="3208">
        <v>0.15</v>
      </c>
      <c r="E256" s="3208">
        <v>0.15</v>
      </c>
      <c r="F256" s="3208">
        <v>0.14599999999999999</v>
      </c>
      <c r="G256" s="3209">
        <v>0.15</v>
      </c>
    </row>
    <row r="257" spans="1:7">
      <c r="A257" s="3218" t="s">
        <v>1155</v>
      </c>
      <c r="B257" s="3207" t="s">
        <v>1124</v>
      </c>
      <c r="C257" s="3208">
        <v>0.14199999999999999</v>
      </c>
      <c r="D257" s="3208">
        <v>0.14299999999999999</v>
      </c>
      <c r="E257" s="3208">
        <v>0.14799999999999999</v>
      </c>
      <c r="F257" s="3208">
        <v>0.15</v>
      </c>
      <c r="G257" s="3209">
        <v>0.14499999999999999</v>
      </c>
    </row>
    <row r="258" spans="1:7">
      <c r="A258" s="3218" t="s">
        <v>1155</v>
      </c>
      <c r="B258" s="3207" t="s">
        <v>2936</v>
      </c>
      <c r="C258" s="3208">
        <v>0.14299999999999999</v>
      </c>
      <c r="D258" s="3208">
        <v>0.14299999999999999</v>
      </c>
      <c r="E258" s="3208">
        <v>0.15</v>
      </c>
      <c r="F258" s="3208">
        <v>0.14799999999999999</v>
      </c>
      <c r="G258" s="3209">
        <v>0.14599999999999999</v>
      </c>
    </row>
    <row r="259" spans="1:7">
      <c r="A259" s="3218" t="s">
        <v>1155</v>
      </c>
      <c r="B259" s="3207" t="s">
        <v>3115</v>
      </c>
      <c r="C259" s="3208">
        <v>0.14399999999999999</v>
      </c>
      <c r="D259" s="3208">
        <v>0.14399999999999999</v>
      </c>
      <c r="E259" s="3208">
        <v>0.14899999999999999</v>
      </c>
      <c r="F259" s="3208">
        <v>0.14699999999999999</v>
      </c>
      <c r="G259" s="3209">
        <v>0.14599999999999999</v>
      </c>
    </row>
    <row r="260" spans="1:7">
      <c r="A260" s="3218" t="s">
        <v>1155</v>
      </c>
      <c r="B260" s="3207" t="s">
        <v>3116</v>
      </c>
      <c r="C260" s="3208">
        <v>0.109</v>
      </c>
      <c r="D260" s="3208">
        <v>0.111</v>
      </c>
      <c r="E260" s="3208">
        <v>0.13100000000000001</v>
      </c>
      <c r="F260" s="3208">
        <v>0.126</v>
      </c>
      <c r="G260" s="3209">
        <v>0.11899999999999999</v>
      </c>
    </row>
    <row r="261" spans="1:7">
      <c r="A261" s="3218" t="s">
        <v>1155</v>
      </c>
      <c r="B261" s="3207" t="s">
        <v>3117</v>
      </c>
      <c r="C261" s="3208">
        <v>0.1</v>
      </c>
      <c r="D261" s="3208">
        <v>0.1</v>
      </c>
      <c r="E261" s="3208">
        <v>0.11799999999999999</v>
      </c>
      <c r="F261" s="3208">
        <v>0.108</v>
      </c>
      <c r="G261" s="3209">
        <v>0.107</v>
      </c>
    </row>
    <row r="262" spans="1:7">
      <c r="A262" s="3218" t="s">
        <v>1155</v>
      </c>
      <c r="B262" s="3207" t="s">
        <v>3118</v>
      </c>
      <c r="C262" s="3208">
        <v>0.1</v>
      </c>
      <c r="D262" s="3208">
        <v>0.1</v>
      </c>
      <c r="E262" s="3208">
        <v>0.1</v>
      </c>
      <c r="F262" s="3208">
        <v>0.14099999999999999</v>
      </c>
      <c r="G262" s="3209">
        <v>0.1</v>
      </c>
    </row>
    <row r="263" spans="1:7">
      <c r="A263" s="3218" t="s">
        <v>1155</v>
      </c>
      <c r="B263" s="3207" t="s">
        <v>3119</v>
      </c>
      <c r="C263" s="3208">
        <v>0.14799999999999999</v>
      </c>
      <c r="D263" s="3208">
        <v>0.14799999999999999</v>
      </c>
      <c r="E263" s="3208">
        <v>0.15</v>
      </c>
      <c r="F263" s="3208">
        <v>0.14699999999999999</v>
      </c>
      <c r="G263" s="3209">
        <v>0.15</v>
      </c>
    </row>
    <row r="264" spans="1:7">
      <c r="A264" s="3218" t="s">
        <v>1155</v>
      </c>
      <c r="B264" s="3207" t="s">
        <v>1148</v>
      </c>
      <c r="C264" s="3208">
        <v>0.14299999999999999</v>
      </c>
      <c r="D264" s="3208">
        <v>0.14299999999999999</v>
      </c>
      <c r="E264" s="3208">
        <v>0.15</v>
      </c>
      <c r="F264" s="3208">
        <v>0.14899999999999999</v>
      </c>
      <c r="G264" s="3209">
        <v>0.14599999999999999</v>
      </c>
    </row>
    <row r="265" spans="1:7">
      <c r="A265" s="3218" t="s">
        <v>1155</v>
      </c>
      <c r="B265" s="3207" t="s">
        <v>3120</v>
      </c>
      <c r="C265" s="3219"/>
      <c r="D265" s="3219"/>
      <c r="E265" s="3219"/>
      <c r="F265" s="3208">
        <v>0.05</v>
      </c>
      <c r="G265" s="3225"/>
    </row>
    <row r="266" spans="1:7">
      <c r="A266" s="3218" t="s">
        <v>1155</v>
      </c>
      <c r="B266" s="3207" t="s">
        <v>3121</v>
      </c>
      <c r="C266" s="3219"/>
      <c r="D266" s="3219"/>
      <c r="E266" s="3219"/>
      <c r="F266" s="3208">
        <v>0.05</v>
      </c>
      <c r="G266" s="3225"/>
    </row>
    <row r="267" spans="1:7">
      <c r="A267" s="3218" t="s">
        <v>1155</v>
      </c>
      <c r="B267" s="3207" t="s">
        <v>3122</v>
      </c>
      <c r="C267" s="3219"/>
      <c r="D267" s="3219"/>
      <c r="E267" s="3219"/>
      <c r="F267" s="3208">
        <v>0.05</v>
      </c>
      <c r="G267" s="3225"/>
    </row>
    <row r="268" spans="1:7">
      <c r="A268" s="3218" t="s">
        <v>1155</v>
      </c>
      <c r="B268" s="3207" t="s">
        <v>3123</v>
      </c>
      <c r="C268" s="3219"/>
      <c r="D268" s="3219"/>
      <c r="E268" s="3219"/>
      <c r="F268" s="3208">
        <v>0.05</v>
      </c>
      <c r="G268" s="3225"/>
    </row>
    <row r="269" spans="1:7">
      <c r="A269" s="3218" t="s">
        <v>1155</v>
      </c>
      <c r="B269" s="3207" t="s">
        <v>3124</v>
      </c>
      <c r="C269" s="3219"/>
      <c r="D269" s="3219"/>
      <c r="E269" s="3219"/>
      <c r="F269" s="3208">
        <v>0.05</v>
      </c>
      <c r="G269" s="3225"/>
    </row>
    <row r="270" spans="1:7">
      <c r="A270" s="3218" t="s">
        <v>1155</v>
      </c>
      <c r="B270" s="3207" t="s">
        <v>3125</v>
      </c>
      <c r="C270" s="3219"/>
      <c r="D270" s="3219"/>
      <c r="E270" s="3219"/>
      <c r="F270" s="3208">
        <v>0.05</v>
      </c>
      <c r="G270" s="3225"/>
    </row>
    <row r="271" spans="1:7">
      <c r="A271" s="3218" t="s">
        <v>1155</v>
      </c>
      <c r="B271" s="3207" t="s">
        <v>3126</v>
      </c>
      <c r="C271" s="3219"/>
      <c r="D271" s="3219"/>
      <c r="E271" s="3219"/>
      <c r="F271" s="3208">
        <v>0.05</v>
      </c>
      <c r="G271" s="3225"/>
    </row>
    <row r="272" spans="1:7">
      <c r="A272" s="3218" t="s">
        <v>1155</v>
      </c>
      <c r="B272" s="3207" t="s">
        <v>3127</v>
      </c>
      <c r="C272" s="3219"/>
      <c r="D272" s="3219"/>
      <c r="E272" s="3219"/>
      <c r="F272" s="3208">
        <v>0.05</v>
      </c>
      <c r="G272" s="3225"/>
    </row>
    <row r="273" spans="1:7">
      <c r="A273" s="3218" t="s">
        <v>1155</v>
      </c>
      <c r="B273" s="3207" t="s">
        <v>3128</v>
      </c>
      <c r="C273" s="3219"/>
      <c r="D273" s="3219"/>
      <c r="E273" s="3219"/>
      <c r="F273" s="3208">
        <v>0.05</v>
      </c>
      <c r="G273" s="3225"/>
    </row>
    <row r="274" spans="1:7">
      <c r="A274" s="3218" t="s">
        <v>1155</v>
      </c>
      <c r="B274" s="3207" t="s">
        <v>3129</v>
      </c>
      <c r="C274" s="3219"/>
      <c r="D274" s="3219"/>
      <c r="E274" s="3219"/>
      <c r="F274" s="3208">
        <v>0.05</v>
      </c>
      <c r="G274" s="3225"/>
    </row>
    <row r="275" spans="1:7">
      <c r="A275" s="3218" t="s">
        <v>1155</v>
      </c>
      <c r="B275" s="3207" t="s">
        <v>3130</v>
      </c>
      <c r="C275" s="3219"/>
      <c r="D275" s="3219"/>
      <c r="E275" s="3219"/>
      <c r="F275" s="3208">
        <v>0.05</v>
      </c>
      <c r="G275" s="3225"/>
    </row>
    <row r="276" spans="1:7" ht="14.25" thickBot="1">
      <c r="A276" s="3221" t="s">
        <v>1155</v>
      </c>
      <c r="B276" s="3211" t="s">
        <v>3131</v>
      </c>
      <c r="C276" s="3213"/>
      <c r="D276" s="3213"/>
      <c r="E276" s="3213"/>
      <c r="F276" s="3212">
        <v>0.05</v>
      </c>
      <c r="G276" s="3226"/>
    </row>
    <row r="277" spans="1:7">
      <c r="A277" s="3217" t="s">
        <v>1156</v>
      </c>
      <c r="B277" s="3203" t="s">
        <v>3132</v>
      </c>
      <c r="C277" s="3204">
        <v>0.15</v>
      </c>
      <c r="D277" s="3204">
        <v>0.15</v>
      </c>
      <c r="E277" s="3204">
        <v>0.15</v>
      </c>
      <c r="F277" s="3204">
        <v>0.15</v>
      </c>
      <c r="G277" s="3205">
        <v>0.15</v>
      </c>
    </row>
    <row r="278" spans="1:7">
      <c r="A278" s="3218" t="s">
        <v>1156</v>
      </c>
      <c r="B278" s="3207" t="s">
        <v>980</v>
      </c>
      <c r="C278" s="3208">
        <v>0.15</v>
      </c>
      <c r="D278" s="3208">
        <v>0.15</v>
      </c>
      <c r="E278" s="3208">
        <v>0.15</v>
      </c>
      <c r="F278" s="3208">
        <v>0.15</v>
      </c>
      <c r="G278" s="3209">
        <v>0.15</v>
      </c>
    </row>
    <row r="279" spans="1:7">
      <c r="A279" s="3218" t="s">
        <v>1156</v>
      </c>
      <c r="B279" s="3207" t="s">
        <v>3133</v>
      </c>
      <c r="C279" s="3208">
        <v>0.15</v>
      </c>
      <c r="D279" s="3208">
        <v>0.15</v>
      </c>
      <c r="E279" s="3208">
        <v>0.15</v>
      </c>
      <c r="F279" s="3208">
        <v>0.15</v>
      </c>
      <c r="G279" s="3209">
        <v>0.15</v>
      </c>
    </row>
    <row r="280" spans="1:7">
      <c r="A280" s="3218" t="s">
        <v>1156</v>
      </c>
      <c r="B280" s="3207" t="s">
        <v>3134</v>
      </c>
      <c r="C280" s="3208">
        <v>0.15</v>
      </c>
      <c r="D280" s="3208">
        <v>0.15</v>
      </c>
      <c r="E280" s="3208">
        <v>0.15</v>
      </c>
      <c r="F280" s="3208">
        <v>0.15</v>
      </c>
      <c r="G280" s="3209">
        <v>0.15</v>
      </c>
    </row>
    <row r="281" spans="1:7">
      <c r="A281" s="3218" t="s">
        <v>1156</v>
      </c>
      <c r="B281" s="3207" t="s">
        <v>3135</v>
      </c>
      <c r="C281" s="3208">
        <v>0.15</v>
      </c>
      <c r="D281" s="3208">
        <v>0.15</v>
      </c>
      <c r="E281" s="3208">
        <v>0.15</v>
      </c>
      <c r="F281" s="3208">
        <v>0.15</v>
      </c>
      <c r="G281" s="3209">
        <v>0.15</v>
      </c>
    </row>
    <row r="282" spans="1:7">
      <c r="A282" s="3218" t="s">
        <v>1156</v>
      </c>
      <c r="B282" s="3207" t="s">
        <v>3136</v>
      </c>
      <c r="C282" s="3208">
        <v>0.15</v>
      </c>
      <c r="D282" s="3208">
        <v>0.15</v>
      </c>
      <c r="E282" s="3208">
        <v>0.15</v>
      </c>
      <c r="F282" s="3208">
        <v>0.14499999999999999</v>
      </c>
      <c r="G282" s="3209">
        <v>0.15</v>
      </c>
    </row>
    <row r="283" spans="1:7">
      <c r="A283" s="3218" t="s">
        <v>1156</v>
      </c>
      <c r="B283" s="3207" t="s">
        <v>1021</v>
      </c>
      <c r="C283" s="3208">
        <v>0.15</v>
      </c>
      <c r="D283" s="3208">
        <v>0.15</v>
      </c>
      <c r="E283" s="3208">
        <v>0.15</v>
      </c>
      <c r="F283" s="3208">
        <v>0.14199999999999999</v>
      </c>
      <c r="G283" s="3209">
        <v>0.15</v>
      </c>
    </row>
    <row r="284" spans="1:7">
      <c r="A284" s="3218" t="s">
        <v>1156</v>
      </c>
      <c r="B284" s="3207" t="s">
        <v>1029</v>
      </c>
      <c r="C284" s="3208">
        <v>0.15</v>
      </c>
      <c r="D284" s="3208">
        <v>0.15</v>
      </c>
      <c r="E284" s="3208">
        <v>0.15</v>
      </c>
      <c r="F284" s="3208">
        <v>0.15</v>
      </c>
      <c r="G284" s="3209">
        <v>0.15</v>
      </c>
    </row>
    <row r="285" spans="1:7">
      <c r="A285" s="3218" t="s">
        <v>1156</v>
      </c>
      <c r="B285" s="3207" t="s">
        <v>1039</v>
      </c>
      <c r="C285" s="3208">
        <v>0.15</v>
      </c>
      <c r="D285" s="3208">
        <v>0.15</v>
      </c>
      <c r="E285" s="3208">
        <v>0.15</v>
      </c>
      <c r="F285" s="3208">
        <v>0.15</v>
      </c>
      <c r="G285" s="3209">
        <v>0.15</v>
      </c>
    </row>
    <row r="286" spans="1:7">
      <c r="A286" s="3218" t="s">
        <v>1156</v>
      </c>
      <c r="B286" s="3207" t="s">
        <v>1046</v>
      </c>
      <c r="C286" s="3208">
        <v>0.14499999999999999</v>
      </c>
      <c r="D286" s="3208">
        <v>0.14499999999999999</v>
      </c>
      <c r="E286" s="3208">
        <v>0.15</v>
      </c>
      <c r="F286" s="3208">
        <v>0.14099999999999999</v>
      </c>
      <c r="G286" s="3209">
        <v>0.14499999999999999</v>
      </c>
    </row>
    <row r="287" spans="1:7">
      <c r="A287" s="3218" t="s">
        <v>1156</v>
      </c>
      <c r="B287" s="3207" t="s">
        <v>3137</v>
      </c>
      <c r="C287" s="3208">
        <v>0.11</v>
      </c>
      <c r="D287" s="3208">
        <v>0.111</v>
      </c>
      <c r="E287" s="3208">
        <v>0.14099999999999999</v>
      </c>
      <c r="F287" s="3208">
        <v>0.11</v>
      </c>
      <c r="G287" s="3209">
        <v>0.12</v>
      </c>
    </row>
    <row r="288" spans="1:7">
      <c r="A288" s="3218" t="s">
        <v>1156</v>
      </c>
      <c r="B288" s="3207" t="s">
        <v>1067</v>
      </c>
      <c r="C288" s="3208">
        <v>0.14199999999999999</v>
      </c>
      <c r="D288" s="3208">
        <v>0.14299999999999999</v>
      </c>
      <c r="E288" s="3208">
        <v>0.15</v>
      </c>
      <c r="F288" s="3208">
        <v>0.14199999999999999</v>
      </c>
      <c r="G288" s="3209">
        <v>0.14399999999999999</v>
      </c>
    </row>
    <row r="289" spans="1:7">
      <c r="A289" s="3218" t="s">
        <v>1156</v>
      </c>
      <c r="B289" s="3207" t="s">
        <v>3138</v>
      </c>
      <c r="C289" s="3208">
        <v>0.14299999999999999</v>
      </c>
      <c r="D289" s="3208">
        <v>0.14299999999999999</v>
      </c>
      <c r="E289" s="3208">
        <v>0.14799999999999999</v>
      </c>
      <c r="F289" s="3208">
        <v>0.14399999999999999</v>
      </c>
      <c r="G289" s="3209">
        <v>0.14399999999999999</v>
      </c>
    </row>
    <row r="290" spans="1:7">
      <c r="A290" s="3218" t="s">
        <v>1156</v>
      </c>
      <c r="B290" s="3207" t="s">
        <v>1090</v>
      </c>
      <c r="C290" s="3208">
        <v>0.14799999999999999</v>
      </c>
      <c r="D290" s="3208">
        <v>0.14899999999999999</v>
      </c>
      <c r="E290" s="3208">
        <v>0.15</v>
      </c>
      <c r="F290" s="3208">
        <v>0.127</v>
      </c>
      <c r="G290" s="3209">
        <v>0.15</v>
      </c>
    </row>
    <row r="291" spans="1:7">
      <c r="A291" s="3218" t="s">
        <v>1156</v>
      </c>
      <c r="B291" s="3207" t="s">
        <v>1098</v>
      </c>
      <c r="C291" s="3208">
        <v>0.15</v>
      </c>
      <c r="D291" s="3208">
        <v>0.15</v>
      </c>
      <c r="E291" s="3208">
        <v>0.15</v>
      </c>
      <c r="F291" s="3208">
        <v>0.14899999999999999</v>
      </c>
      <c r="G291" s="3209">
        <v>0.15</v>
      </c>
    </row>
    <row r="292" spans="1:7">
      <c r="A292" s="3218" t="s">
        <v>1156</v>
      </c>
      <c r="B292" s="3207" t="s">
        <v>1104</v>
      </c>
      <c r="C292" s="3208">
        <v>0.15</v>
      </c>
      <c r="D292" s="3208">
        <v>0.15</v>
      </c>
      <c r="E292" s="3208">
        <v>0.15</v>
      </c>
      <c r="F292" s="3208">
        <v>0.14399999999999999</v>
      </c>
      <c r="G292" s="3209">
        <v>0.15</v>
      </c>
    </row>
    <row r="293" spans="1:7">
      <c r="A293" s="3218" t="s">
        <v>1156</v>
      </c>
      <c r="B293" s="3207" t="s">
        <v>2961</v>
      </c>
      <c r="C293" s="3208">
        <v>0.15</v>
      </c>
      <c r="D293" s="3208">
        <v>0.15</v>
      </c>
      <c r="E293" s="3208">
        <v>0.15</v>
      </c>
      <c r="F293" s="3208">
        <v>0.14499999999999999</v>
      </c>
      <c r="G293" s="3209">
        <v>0.15</v>
      </c>
    </row>
    <row r="294" spans="1:7">
      <c r="A294" s="3218" t="s">
        <v>1156</v>
      </c>
      <c r="B294" s="3207" t="s">
        <v>3139</v>
      </c>
      <c r="C294" s="3208">
        <v>0.15</v>
      </c>
      <c r="D294" s="3208">
        <v>0.15</v>
      </c>
      <c r="E294" s="3208">
        <v>0.15</v>
      </c>
      <c r="F294" s="3208">
        <v>0.14899999999999999</v>
      </c>
      <c r="G294" s="3209">
        <v>0.15</v>
      </c>
    </row>
    <row r="295" spans="1:7">
      <c r="A295" s="3218" t="s">
        <v>1156</v>
      </c>
      <c r="B295" s="3207" t="s">
        <v>1139</v>
      </c>
      <c r="C295" s="3208">
        <v>0.15</v>
      </c>
      <c r="D295" s="3208">
        <v>0.15</v>
      </c>
      <c r="E295" s="3208">
        <v>0.15</v>
      </c>
      <c r="F295" s="3208">
        <v>0.14799999999999999</v>
      </c>
      <c r="G295" s="3209">
        <v>0.15</v>
      </c>
    </row>
    <row r="296" spans="1:7">
      <c r="A296" s="3218" t="s">
        <v>1156</v>
      </c>
      <c r="B296" s="3207" t="s">
        <v>1142</v>
      </c>
      <c r="C296" s="3208">
        <v>0.15</v>
      </c>
      <c r="D296" s="3208">
        <v>0.15</v>
      </c>
      <c r="E296" s="3208">
        <v>0.15</v>
      </c>
      <c r="F296" s="3208">
        <v>0.14399999999999999</v>
      </c>
      <c r="G296" s="3209">
        <v>0.15</v>
      </c>
    </row>
    <row r="297" spans="1:7">
      <c r="A297" s="3218" t="s">
        <v>1156</v>
      </c>
      <c r="B297" s="3207" t="s">
        <v>1144</v>
      </c>
      <c r="C297" s="3208">
        <v>0.15</v>
      </c>
      <c r="D297" s="3208">
        <v>0.15</v>
      </c>
      <c r="E297" s="3208">
        <v>0.15</v>
      </c>
      <c r="F297" s="3208">
        <v>0.14499999999999999</v>
      </c>
      <c r="G297" s="3209">
        <v>0.15</v>
      </c>
    </row>
    <row r="298" spans="1:7">
      <c r="A298" s="3218" t="s">
        <v>1156</v>
      </c>
      <c r="B298" s="3207" t="s">
        <v>1147</v>
      </c>
      <c r="C298" s="3208">
        <v>0.15</v>
      </c>
      <c r="D298" s="3208">
        <v>0.15</v>
      </c>
      <c r="E298" s="3208">
        <v>0.15</v>
      </c>
      <c r="F298" s="3208">
        <v>0.15</v>
      </c>
      <c r="G298" s="3209">
        <v>0.15</v>
      </c>
    </row>
    <row r="299" spans="1:7">
      <c r="A299" s="3218" t="s">
        <v>1156</v>
      </c>
      <c r="B299" s="3227" t="s">
        <v>2963</v>
      </c>
      <c r="C299" s="3208">
        <v>0.15</v>
      </c>
      <c r="D299" s="3208">
        <v>0.15</v>
      </c>
      <c r="E299" s="3208">
        <v>0.15</v>
      </c>
      <c r="F299" s="3208">
        <v>0.14499999999999999</v>
      </c>
      <c r="G299" s="3209">
        <v>0.15</v>
      </c>
    </row>
    <row r="300" spans="1:7">
      <c r="A300" s="3218" t="s">
        <v>1156</v>
      </c>
      <c r="B300" s="3227" t="s">
        <v>1119</v>
      </c>
      <c r="C300" s="3208">
        <v>0.15</v>
      </c>
      <c r="D300" s="3208">
        <v>0.15</v>
      </c>
      <c r="E300" s="3208">
        <v>0.15</v>
      </c>
      <c r="F300" s="3208">
        <v>0.14599999999999999</v>
      </c>
      <c r="G300" s="3209">
        <v>0.15</v>
      </c>
    </row>
    <row r="301" spans="1:7">
      <c r="A301" s="3218" t="s">
        <v>1156</v>
      </c>
      <c r="B301" s="3227" t="s">
        <v>1125</v>
      </c>
      <c r="C301" s="3208">
        <v>0.126</v>
      </c>
      <c r="D301" s="3208">
        <v>0.124</v>
      </c>
      <c r="E301" s="3208">
        <v>0.14099999999999999</v>
      </c>
      <c r="F301" s="3208">
        <v>0.14399999999999999</v>
      </c>
      <c r="G301" s="3209">
        <v>0.13</v>
      </c>
    </row>
    <row r="302" spans="1:7">
      <c r="A302" s="3218" t="s">
        <v>1156</v>
      </c>
      <c r="B302" s="3207" t="s">
        <v>3140</v>
      </c>
      <c r="C302" s="3208">
        <v>0.15</v>
      </c>
      <c r="D302" s="3208">
        <v>0.15</v>
      </c>
      <c r="E302" s="3208">
        <v>0.15</v>
      </c>
      <c r="F302" s="3208">
        <v>0.14699999999999999</v>
      </c>
      <c r="G302" s="3209">
        <v>0.15</v>
      </c>
    </row>
    <row r="303" spans="1:7">
      <c r="A303" s="3218" t="s">
        <v>1156</v>
      </c>
      <c r="B303" s="3207" t="s">
        <v>2965</v>
      </c>
      <c r="C303" s="3208">
        <v>0.15</v>
      </c>
      <c r="D303" s="3208">
        <v>0.15</v>
      </c>
      <c r="E303" s="3208">
        <v>0.15</v>
      </c>
      <c r="F303" s="3208">
        <v>0.14199999999999999</v>
      </c>
      <c r="G303" s="3209">
        <v>0.15</v>
      </c>
    </row>
    <row r="304" spans="1:7">
      <c r="A304" s="3218" t="s">
        <v>1156</v>
      </c>
      <c r="B304" s="3207" t="s">
        <v>2966</v>
      </c>
      <c r="C304" s="3208">
        <v>0.15</v>
      </c>
      <c r="D304" s="3208">
        <v>0.15</v>
      </c>
      <c r="E304" s="3208">
        <v>0.15</v>
      </c>
      <c r="F304" s="3208">
        <v>0.14499999999999999</v>
      </c>
      <c r="G304" s="3209">
        <v>0.15</v>
      </c>
    </row>
    <row r="305" spans="1:7">
      <c r="A305" s="3218" t="s">
        <v>1156</v>
      </c>
      <c r="B305" s="3207" t="s">
        <v>2967</v>
      </c>
      <c r="C305" s="3208">
        <v>0.15</v>
      </c>
      <c r="D305" s="3208">
        <v>0.15</v>
      </c>
      <c r="E305" s="3208">
        <v>0.15</v>
      </c>
      <c r="F305" s="3208">
        <v>0.111</v>
      </c>
      <c r="G305" s="3209">
        <v>0.15</v>
      </c>
    </row>
    <row r="306" spans="1:7">
      <c r="A306" s="3218" t="s">
        <v>1156</v>
      </c>
      <c r="B306" s="3207" t="s">
        <v>3141</v>
      </c>
      <c r="C306" s="3208">
        <v>0.15</v>
      </c>
      <c r="D306" s="3208">
        <v>0.15</v>
      </c>
      <c r="E306" s="3208">
        <v>0.15</v>
      </c>
      <c r="F306" s="3208">
        <v>0.126</v>
      </c>
      <c r="G306" s="3209">
        <v>0.15</v>
      </c>
    </row>
    <row r="307" spans="1:7">
      <c r="A307" s="3218" t="s">
        <v>1156</v>
      </c>
      <c r="B307" s="3207" t="s">
        <v>2969</v>
      </c>
      <c r="C307" s="3208">
        <v>0.15</v>
      </c>
      <c r="D307" s="3208">
        <v>0.15</v>
      </c>
      <c r="E307" s="3208">
        <v>0.15</v>
      </c>
      <c r="F307" s="3208">
        <v>0.12</v>
      </c>
      <c r="G307" s="3209">
        <v>0.15</v>
      </c>
    </row>
    <row r="308" spans="1:7">
      <c r="A308" s="3218" t="s">
        <v>1156</v>
      </c>
      <c r="B308" s="3207" t="s">
        <v>3142</v>
      </c>
      <c r="C308" s="3208">
        <v>0.15</v>
      </c>
      <c r="D308" s="3208">
        <v>0.15</v>
      </c>
      <c r="E308" s="3208">
        <v>0.15</v>
      </c>
      <c r="F308" s="3208">
        <v>0.13</v>
      </c>
      <c r="G308" s="3209">
        <v>0.15</v>
      </c>
    </row>
    <row r="309" spans="1:7">
      <c r="A309" s="3218" t="s">
        <v>1156</v>
      </c>
      <c r="B309" s="3207" t="s">
        <v>3143</v>
      </c>
      <c r="C309" s="3208">
        <v>0.15</v>
      </c>
      <c r="D309" s="3208">
        <v>0.15</v>
      </c>
      <c r="E309" s="3208">
        <v>0.15</v>
      </c>
      <c r="F309" s="3208">
        <v>0.14099999999999999</v>
      </c>
      <c r="G309" s="3209">
        <v>0.15</v>
      </c>
    </row>
    <row r="310" spans="1:7">
      <c r="A310" s="3218" t="s">
        <v>1156</v>
      </c>
      <c r="B310" s="3207" t="s">
        <v>2972</v>
      </c>
      <c r="C310" s="3208">
        <v>0.15</v>
      </c>
      <c r="D310" s="3208">
        <v>0.15</v>
      </c>
      <c r="E310" s="3208">
        <v>0.15</v>
      </c>
      <c r="F310" s="3208">
        <v>0.15</v>
      </c>
      <c r="G310" s="3209">
        <v>0.15</v>
      </c>
    </row>
    <row r="311" spans="1:7">
      <c r="A311" s="3218" t="s">
        <v>1156</v>
      </c>
      <c r="B311" s="3207" t="s">
        <v>3144</v>
      </c>
      <c r="C311" s="3208">
        <v>0.13200000000000001</v>
      </c>
      <c r="D311" s="3208">
        <v>0.13300000000000001</v>
      </c>
      <c r="E311" s="3208">
        <v>0.14499999999999999</v>
      </c>
      <c r="F311" s="3208">
        <v>0.14199999999999999</v>
      </c>
      <c r="G311" s="3209">
        <v>0.14000000000000001</v>
      </c>
    </row>
    <row r="312" spans="1:7">
      <c r="A312" s="3218" t="s">
        <v>1156</v>
      </c>
      <c r="B312" s="3207" t="s">
        <v>2974</v>
      </c>
      <c r="C312" s="3208">
        <v>0.13800000000000001</v>
      </c>
      <c r="D312" s="3208">
        <v>0.14000000000000001</v>
      </c>
      <c r="E312" s="3208">
        <v>0.14599999999999999</v>
      </c>
      <c r="F312" s="3208">
        <v>0.14899999999999999</v>
      </c>
      <c r="G312" s="3209">
        <v>0.14199999999999999</v>
      </c>
    </row>
    <row r="313" spans="1:7">
      <c r="A313" s="3218" t="s">
        <v>1156</v>
      </c>
      <c r="B313" s="3207" t="s">
        <v>2975</v>
      </c>
      <c r="C313" s="3208">
        <v>0.125</v>
      </c>
      <c r="D313" s="3208">
        <v>0.127</v>
      </c>
      <c r="E313" s="3208">
        <v>0.14399999999999999</v>
      </c>
      <c r="F313" s="3208">
        <v>0.115</v>
      </c>
      <c r="G313" s="3209">
        <v>0.13600000000000001</v>
      </c>
    </row>
    <row r="314" spans="1:7">
      <c r="A314" s="3218" t="s">
        <v>1156</v>
      </c>
      <c r="B314" s="3207" t="s">
        <v>3145</v>
      </c>
      <c r="C314" s="3224"/>
      <c r="D314" s="3224"/>
      <c r="E314" s="3224"/>
      <c r="F314" s="3208">
        <v>0.05</v>
      </c>
      <c r="G314" s="3225"/>
    </row>
    <row r="315" spans="1:7">
      <c r="A315" s="3218" t="s">
        <v>1156</v>
      </c>
      <c r="B315" s="3207" t="s">
        <v>3146</v>
      </c>
      <c r="C315" s="3224"/>
      <c r="D315" s="3224"/>
      <c r="E315" s="3224"/>
      <c r="F315" s="3208">
        <v>0.05</v>
      </c>
      <c r="G315" s="3225"/>
    </row>
    <row r="316" spans="1:7">
      <c r="A316" s="3218" t="s">
        <v>1156</v>
      </c>
      <c r="B316" s="3207" t="s">
        <v>3147</v>
      </c>
      <c r="C316" s="3219"/>
      <c r="D316" s="3219"/>
      <c r="E316" s="3219"/>
      <c r="F316" s="3208">
        <v>0.05</v>
      </c>
      <c r="G316" s="3225"/>
    </row>
    <row r="317" spans="1:7">
      <c r="A317" s="3218" t="s">
        <v>1156</v>
      </c>
      <c r="B317" s="3207" t="s">
        <v>3148</v>
      </c>
      <c r="C317" s="3219"/>
      <c r="D317" s="3219"/>
      <c r="E317" s="3219"/>
      <c r="F317" s="3208">
        <v>0.05</v>
      </c>
      <c r="G317" s="3225"/>
    </row>
    <row r="318" spans="1:7">
      <c r="A318" s="3218" t="s">
        <v>1156</v>
      </c>
      <c r="B318" s="3207" t="s">
        <v>3149</v>
      </c>
      <c r="C318" s="3219"/>
      <c r="D318" s="3219"/>
      <c r="E318" s="3219"/>
      <c r="F318" s="3208">
        <v>0.05</v>
      </c>
      <c r="G318" s="3225"/>
    </row>
    <row r="319" spans="1:7">
      <c r="A319" s="3218" t="s">
        <v>1156</v>
      </c>
      <c r="B319" s="3207" t="s">
        <v>3150</v>
      </c>
      <c r="C319" s="3219"/>
      <c r="D319" s="3219"/>
      <c r="E319" s="3219"/>
      <c r="F319" s="3208">
        <v>0.05</v>
      </c>
      <c r="G319" s="3225"/>
    </row>
    <row r="320" spans="1:7">
      <c r="A320" s="3218" t="s">
        <v>1156</v>
      </c>
      <c r="B320" s="3207" t="s">
        <v>3151</v>
      </c>
      <c r="C320" s="3219"/>
      <c r="D320" s="3219"/>
      <c r="E320" s="3219"/>
      <c r="F320" s="3208">
        <v>0.05</v>
      </c>
      <c r="G320" s="3225"/>
    </row>
    <row r="321" spans="1:7">
      <c r="A321" s="3218" t="s">
        <v>1156</v>
      </c>
      <c r="B321" s="3207" t="s">
        <v>3152</v>
      </c>
      <c r="C321" s="3219"/>
      <c r="D321" s="3219"/>
      <c r="E321" s="3219"/>
      <c r="F321" s="3208">
        <v>0.05</v>
      </c>
      <c r="G321" s="3225"/>
    </row>
    <row r="322" spans="1:7">
      <c r="A322" s="3218" t="s">
        <v>1156</v>
      </c>
      <c r="B322" s="3207" t="s">
        <v>3153</v>
      </c>
      <c r="C322" s="3219"/>
      <c r="D322" s="3219"/>
      <c r="E322" s="3219"/>
      <c r="F322" s="3208">
        <v>0.05</v>
      </c>
      <c r="G322" s="3225"/>
    </row>
    <row r="323" spans="1:7">
      <c r="A323" s="3218" t="s">
        <v>1156</v>
      </c>
      <c r="B323" s="3207" t="s">
        <v>3154</v>
      </c>
      <c r="C323" s="3219"/>
      <c r="D323" s="3219"/>
      <c r="E323" s="3219"/>
      <c r="F323" s="3208">
        <v>0.05</v>
      </c>
      <c r="G323" s="3225"/>
    </row>
    <row r="324" spans="1:7">
      <c r="A324" s="3218" t="s">
        <v>1156</v>
      </c>
      <c r="B324" s="3207" t="s">
        <v>3155</v>
      </c>
      <c r="C324" s="3219"/>
      <c r="D324" s="3219"/>
      <c r="E324" s="3219"/>
      <c r="F324" s="3208">
        <v>0.05</v>
      </c>
      <c r="G324" s="3225"/>
    </row>
    <row r="325" spans="1:7">
      <c r="A325" s="3218" t="s">
        <v>1156</v>
      </c>
      <c r="B325" s="3207" t="s">
        <v>3156</v>
      </c>
      <c r="C325" s="3219"/>
      <c r="D325" s="3219"/>
      <c r="E325" s="3219"/>
      <c r="F325" s="3208">
        <v>0.05</v>
      </c>
      <c r="G325" s="3225"/>
    </row>
    <row r="326" spans="1:7" ht="14.25" thickBot="1">
      <c r="A326" s="3221" t="s">
        <v>1156</v>
      </c>
      <c r="B326" s="3211" t="s">
        <v>3157</v>
      </c>
      <c r="C326" s="3213"/>
      <c r="D326" s="3213"/>
      <c r="E326" s="3213"/>
      <c r="F326" s="3212">
        <v>0.05</v>
      </c>
      <c r="G326" s="3226"/>
    </row>
    <row r="327" spans="1:7">
      <c r="A327" s="3217" t="s">
        <v>1157</v>
      </c>
      <c r="B327" s="3203" t="s">
        <v>3158</v>
      </c>
      <c r="C327" s="3204">
        <v>0.15</v>
      </c>
      <c r="D327" s="3204">
        <v>0.15</v>
      </c>
      <c r="E327" s="3204">
        <v>0.15</v>
      </c>
      <c r="F327" s="3204">
        <v>0.15</v>
      </c>
      <c r="G327" s="3205">
        <v>0.15</v>
      </c>
    </row>
    <row r="328" spans="1:7">
      <c r="A328" s="3218" t="s">
        <v>1157</v>
      </c>
      <c r="B328" s="3207" t="s">
        <v>981</v>
      </c>
      <c r="C328" s="3208">
        <v>0.15</v>
      </c>
      <c r="D328" s="3208">
        <v>0.15</v>
      </c>
      <c r="E328" s="3208">
        <v>0.15</v>
      </c>
      <c r="F328" s="3208">
        <v>0.126</v>
      </c>
      <c r="G328" s="3209">
        <v>0.15</v>
      </c>
    </row>
    <row r="329" spans="1:7">
      <c r="A329" s="3218" t="s">
        <v>1157</v>
      </c>
      <c r="B329" s="3207" t="s">
        <v>3159</v>
      </c>
      <c r="C329" s="3208">
        <v>0.15</v>
      </c>
      <c r="D329" s="3208">
        <v>0.15</v>
      </c>
      <c r="E329" s="3208">
        <v>0.15</v>
      </c>
      <c r="F329" s="3208">
        <v>0.15</v>
      </c>
      <c r="G329" s="3209">
        <v>0.15</v>
      </c>
    </row>
    <row r="330" spans="1:7">
      <c r="A330" s="3218" t="s">
        <v>1157</v>
      </c>
      <c r="B330" s="3207" t="s">
        <v>3160</v>
      </c>
      <c r="C330" s="3208">
        <v>0.15</v>
      </c>
      <c r="D330" s="3208">
        <v>0.15</v>
      </c>
      <c r="E330" s="3208">
        <v>0.15</v>
      </c>
      <c r="F330" s="3208">
        <v>0.15</v>
      </c>
      <c r="G330" s="3209">
        <v>0.15</v>
      </c>
    </row>
    <row r="331" spans="1:7">
      <c r="A331" s="3218" t="s">
        <v>1157</v>
      </c>
      <c r="B331" s="3207" t="s">
        <v>1008</v>
      </c>
      <c r="C331" s="3208">
        <v>0.15</v>
      </c>
      <c r="D331" s="3208">
        <v>0.15</v>
      </c>
      <c r="E331" s="3208">
        <v>0.15</v>
      </c>
      <c r="F331" s="3208">
        <v>0.15</v>
      </c>
      <c r="G331" s="3209">
        <v>0.15</v>
      </c>
    </row>
    <row r="332" spans="1:7">
      <c r="A332" s="3218" t="s">
        <v>1157</v>
      </c>
      <c r="B332" s="3207" t="s">
        <v>2992</v>
      </c>
      <c r="C332" s="3208">
        <v>0.15</v>
      </c>
      <c r="D332" s="3208">
        <v>0.15</v>
      </c>
      <c r="E332" s="3208">
        <v>0.15</v>
      </c>
      <c r="F332" s="3208">
        <v>0.15</v>
      </c>
      <c r="G332" s="3209">
        <v>0.15</v>
      </c>
    </row>
    <row r="333" spans="1:7">
      <c r="A333" s="3218" t="s">
        <v>1157</v>
      </c>
      <c r="B333" s="3207" t="s">
        <v>3161</v>
      </c>
      <c r="C333" s="3208">
        <v>0.14899999999999999</v>
      </c>
      <c r="D333" s="3208">
        <v>0.14899999999999999</v>
      </c>
      <c r="E333" s="3208">
        <v>0.15</v>
      </c>
      <c r="F333" s="3208">
        <v>0.11600000000000001</v>
      </c>
      <c r="G333" s="3209">
        <v>0.15</v>
      </c>
    </row>
    <row r="334" spans="1:7">
      <c r="A334" s="3218" t="s">
        <v>1157</v>
      </c>
      <c r="B334" s="3207" t="s">
        <v>1030</v>
      </c>
      <c r="C334" s="3208">
        <v>0.15</v>
      </c>
      <c r="D334" s="3208">
        <v>0.15</v>
      </c>
      <c r="E334" s="3208">
        <v>0.15</v>
      </c>
      <c r="F334" s="3208">
        <v>0.13</v>
      </c>
      <c r="G334" s="3209">
        <v>0.15</v>
      </c>
    </row>
    <row r="335" spans="1:7">
      <c r="A335" s="3218" t="s">
        <v>1157</v>
      </c>
      <c r="B335" s="3207" t="s">
        <v>1040</v>
      </c>
      <c r="C335" s="3208">
        <v>0.15</v>
      </c>
      <c r="D335" s="3208">
        <v>0.15</v>
      </c>
      <c r="E335" s="3208">
        <v>0.15</v>
      </c>
      <c r="F335" s="3208">
        <v>0.14399999999999999</v>
      </c>
      <c r="G335" s="3209">
        <v>0.15</v>
      </c>
    </row>
    <row r="336" spans="1:7">
      <c r="A336" s="3218" t="s">
        <v>1157</v>
      </c>
      <c r="B336" s="3207" t="s">
        <v>2994</v>
      </c>
      <c r="C336" s="3208">
        <v>0.15</v>
      </c>
      <c r="D336" s="3208">
        <v>0.15</v>
      </c>
      <c r="E336" s="3208">
        <v>0.15</v>
      </c>
      <c r="F336" s="3208">
        <v>0.14199999999999999</v>
      </c>
      <c r="G336" s="3209">
        <v>0.15</v>
      </c>
    </row>
    <row r="337" spans="1:7">
      <c r="A337" s="3218" t="s">
        <v>1157</v>
      </c>
      <c r="B337" s="3207" t="s">
        <v>3162</v>
      </c>
      <c r="C337" s="3208">
        <v>0.15</v>
      </c>
      <c r="D337" s="3208">
        <v>0.15</v>
      </c>
      <c r="E337" s="3208">
        <v>0.15</v>
      </c>
      <c r="F337" s="3208">
        <v>0.14499999999999999</v>
      </c>
      <c r="G337" s="3209">
        <v>0.15</v>
      </c>
    </row>
    <row r="338" spans="1:7">
      <c r="A338" s="3218" t="s">
        <v>1157</v>
      </c>
      <c r="B338" s="3207" t="s">
        <v>1068</v>
      </c>
      <c r="C338" s="3208">
        <v>0.15</v>
      </c>
      <c r="D338" s="3208">
        <v>0.15</v>
      </c>
      <c r="E338" s="3208">
        <v>0.15</v>
      </c>
      <c r="F338" s="3208">
        <v>0.15</v>
      </c>
      <c r="G338" s="3209">
        <v>0.15</v>
      </c>
    </row>
    <row r="339" spans="1:7">
      <c r="A339" s="3218" t="s">
        <v>1157</v>
      </c>
      <c r="B339" s="3207" t="s">
        <v>1076</v>
      </c>
      <c r="C339" s="3208">
        <v>0.15</v>
      </c>
      <c r="D339" s="3208">
        <v>0.15</v>
      </c>
      <c r="E339" s="3208">
        <v>0.15</v>
      </c>
      <c r="F339" s="3208">
        <v>0.14699999999999999</v>
      </c>
      <c r="G339" s="3209">
        <v>0.15</v>
      </c>
    </row>
    <row r="340" spans="1:7">
      <c r="A340" s="3218" t="s">
        <v>1157</v>
      </c>
      <c r="B340" s="3207" t="s">
        <v>3163</v>
      </c>
      <c r="C340" s="3208">
        <v>0.14599999999999999</v>
      </c>
      <c r="D340" s="3208">
        <v>0.14599999999999999</v>
      </c>
      <c r="E340" s="3208">
        <v>0.15</v>
      </c>
      <c r="F340" s="3208">
        <v>0.14099999999999999</v>
      </c>
      <c r="G340" s="3209">
        <v>0.14699999999999999</v>
      </c>
    </row>
    <row r="341" spans="1:7">
      <c r="A341" s="3218" t="s">
        <v>1157</v>
      </c>
      <c r="B341" s="3207" t="s">
        <v>1054</v>
      </c>
      <c r="C341" s="3208">
        <v>0.126</v>
      </c>
      <c r="D341" s="3208">
        <v>0.124</v>
      </c>
      <c r="E341" s="3208">
        <v>0.14099999999999999</v>
      </c>
      <c r="F341" s="3208">
        <v>0.14399999999999999</v>
      </c>
      <c r="G341" s="3209">
        <v>0.13</v>
      </c>
    </row>
    <row r="342" spans="1:7">
      <c r="A342" s="3218" t="s">
        <v>1157</v>
      </c>
      <c r="B342" s="3207" t="s">
        <v>3164</v>
      </c>
      <c r="C342" s="3208">
        <v>0.15</v>
      </c>
      <c r="D342" s="3208">
        <v>0.15</v>
      </c>
      <c r="E342" s="3208">
        <v>0.15</v>
      </c>
      <c r="F342" s="3208">
        <v>0.14399999999999999</v>
      </c>
      <c r="G342" s="3209">
        <v>0.15</v>
      </c>
    </row>
    <row r="343" spans="1:7">
      <c r="A343" s="3218" t="s">
        <v>1157</v>
      </c>
      <c r="B343" s="3207" t="s">
        <v>1105</v>
      </c>
      <c r="C343" s="3208">
        <v>0.15</v>
      </c>
      <c r="D343" s="3208">
        <v>0.15</v>
      </c>
      <c r="E343" s="3208">
        <v>0.15</v>
      </c>
      <c r="F343" s="3208">
        <v>0.128</v>
      </c>
      <c r="G343" s="3209">
        <v>0.15</v>
      </c>
    </row>
    <row r="344" spans="1:7">
      <c r="A344" s="3218" t="s">
        <v>1157</v>
      </c>
      <c r="B344" s="3207" t="s">
        <v>1113</v>
      </c>
      <c r="C344" s="3208">
        <v>0.15</v>
      </c>
      <c r="D344" s="3208">
        <v>0.15</v>
      </c>
      <c r="E344" s="3208">
        <v>0.15</v>
      </c>
      <c r="F344" s="3208">
        <v>0.14799999999999999</v>
      </c>
      <c r="G344" s="3209">
        <v>0.15</v>
      </c>
    </row>
    <row r="345" spans="1:7">
      <c r="A345" s="3218" t="s">
        <v>1157</v>
      </c>
      <c r="B345" s="3207" t="s">
        <v>2998</v>
      </c>
      <c r="C345" s="3208">
        <v>0.15</v>
      </c>
      <c r="D345" s="3208">
        <v>0.15</v>
      </c>
      <c r="E345" s="3208">
        <v>0.15</v>
      </c>
      <c r="F345" s="3208">
        <v>0.13800000000000001</v>
      </c>
      <c r="G345" s="3209">
        <v>0.15</v>
      </c>
    </row>
    <row r="346" spans="1:7">
      <c r="A346" s="3218" t="s">
        <v>1157</v>
      </c>
      <c r="B346" s="3207" t="s">
        <v>3165</v>
      </c>
      <c r="C346" s="3208">
        <v>0.15</v>
      </c>
      <c r="D346" s="3208">
        <v>0.15</v>
      </c>
      <c r="E346" s="3208">
        <v>0.15</v>
      </c>
      <c r="F346" s="3208">
        <v>0.14399999999999999</v>
      </c>
      <c r="G346" s="3209">
        <v>0.15</v>
      </c>
    </row>
    <row r="347" spans="1:7">
      <c r="A347" s="3218" t="s">
        <v>1157</v>
      </c>
      <c r="B347" s="3207" t="s">
        <v>1091</v>
      </c>
      <c r="C347" s="3208">
        <v>0.15</v>
      </c>
      <c r="D347" s="3208">
        <v>0.15</v>
      </c>
      <c r="E347" s="3208">
        <v>0.15</v>
      </c>
      <c r="F347" s="3208">
        <v>0.14599999999999999</v>
      </c>
      <c r="G347" s="3209">
        <v>0.15</v>
      </c>
    </row>
    <row r="348" spans="1:7">
      <c r="A348" s="3218" t="s">
        <v>1157</v>
      </c>
      <c r="B348" s="3207" t="s">
        <v>3000</v>
      </c>
      <c r="C348" s="3208">
        <v>0.15</v>
      </c>
      <c r="D348" s="3208">
        <v>0.15</v>
      </c>
      <c r="E348" s="3208">
        <v>0.15</v>
      </c>
      <c r="F348" s="3208">
        <v>0.14399999999999999</v>
      </c>
      <c r="G348" s="3209">
        <v>0.15</v>
      </c>
    </row>
    <row r="349" spans="1:7">
      <c r="A349" s="3218" t="s">
        <v>1157</v>
      </c>
      <c r="B349" s="3207" t="s">
        <v>3001</v>
      </c>
      <c r="C349" s="3208">
        <v>0.15</v>
      </c>
      <c r="D349" s="3208">
        <v>0.15</v>
      </c>
      <c r="E349" s="3208">
        <v>0.15</v>
      </c>
      <c r="F349" s="3208">
        <v>0.15</v>
      </c>
      <c r="G349" s="3209">
        <v>0.15</v>
      </c>
    </row>
    <row r="350" spans="1:7">
      <c r="A350" s="3218" t="s">
        <v>1157</v>
      </c>
      <c r="B350" s="3207" t="s">
        <v>3166</v>
      </c>
      <c r="C350" s="3208">
        <v>0.15</v>
      </c>
      <c r="D350" s="3208">
        <v>0.15</v>
      </c>
      <c r="E350" s="3208">
        <v>0.15</v>
      </c>
      <c r="F350" s="3208">
        <v>0.14699999999999999</v>
      </c>
      <c r="G350" s="3209">
        <v>0.15</v>
      </c>
    </row>
    <row r="351" spans="1:7">
      <c r="A351" s="3218" t="s">
        <v>1157</v>
      </c>
      <c r="B351" s="3207" t="s">
        <v>3003</v>
      </c>
      <c r="C351" s="3208">
        <v>0.15</v>
      </c>
      <c r="D351" s="3208">
        <v>0.15</v>
      </c>
      <c r="E351" s="3208">
        <v>0.15</v>
      </c>
      <c r="F351" s="3208">
        <v>0.13</v>
      </c>
      <c r="G351" s="3209">
        <v>0.15</v>
      </c>
    </row>
    <row r="352" spans="1:7">
      <c r="A352" s="3218" t="s">
        <v>1157</v>
      </c>
      <c r="B352" s="3207" t="s">
        <v>3004</v>
      </c>
      <c r="C352" s="3208">
        <v>0.15</v>
      </c>
      <c r="D352" s="3208">
        <v>0.15</v>
      </c>
      <c r="E352" s="3208">
        <v>0.15</v>
      </c>
      <c r="F352" s="3208">
        <v>0.14599999999999999</v>
      </c>
      <c r="G352" s="3209">
        <v>0.15</v>
      </c>
    </row>
    <row r="353" spans="1:7">
      <c r="A353" s="3218" t="s">
        <v>1157</v>
      </c>
      <c r="B353" s="3207" t="s">
        <v>3167</v>
      </c>
      <c r="C353" s="3208">
        <v>0.15</v>
      </c>
      <c r="D353" s="3208">
        <v>0.15</v>
      </c>
      <c r="E353" s="3208">
        <v>0.15</v>
      </c>
      <c r="F353" s="3208">
        <v>0.14499999999999999</v>
      </c>
      <c r="G353" s="3209">
        <v>0.15</v>
      </c>
    </row>
    <row r="354" spans="1:7">
      <c r="A354" s="3218" t="s">
        <v>1157</v>
      </c>
      <c r="B354" s="3207" t="s">
        <v>1129</v>
      </c>
      <c r="C354" s="3208">
        <v>0.15</v>
      </c>
      <c r="D354" s="3208">
        <v>0.15</v>
      </c>
      <c r="E354" s="3208">
        <v>0.15</v>
      </c>
      <c r="F354" s="3208">
        <v>0.14099999999999999</v>
      </c>
      <c r="G354" s="3209">
        <v>0.15</v>
      </c>
    </row>
    <row r="355" spans="1:7">
      <c r="A355" s="3218" t="s">
        <v>1157</v>
      </c>
      <c r="B355" s="3207" t="s">
        <v>3006</v>
      </c>
      <c r="C355" s="3208">
        <v>0.15</v>
      </c>
      <c r="D355" s="3208">
        <v>0.15</v>
      </c>
      <c r="E355" s="3208">
        <v>0.15</v>
      </c>
      <c r="F355" s="3208">
        <v>0.15</v>
      </c>
      <c r="G355" s="3209">
        <v>0.15</v>
      </c>
    </row>
    <row r="356" spans="1:7">
      <c r="A356" s="3218" t="s">
        <v>1157</v>
      </c>
      <c r="B356" s="3207" t="s">
        <v>3007</v>
      </c>
      <c r="C356" s="3208">
        <v>0.15</v>
      </c>
      <c r="D356" s="3208">
        <v>0.15</v>
      </c>
      <c r="E356" s="3208">
        <v>0.15</v>
      </c>
      <c r="F356" s="3208">
        <v>0.15</v>
      </c>
      <c r="G356" s="3209">
        <v>0.15</v>
      </c>
    </row>
    <row r="357" spans="1:7" ht="14.25" thickBot="1">
      <c r="A357" s="3221" t="s">
        <v>1157</v>
      </c>
      <c r="B357" s="3211" t="s">
        <v>3168</v>
      </c>
      <c r="C357" s="3212">
        <v>0.126</v>
      </c>
      <c r="D357" s="3212">
        <v>0.127</v>
      </c>
      <c r="E357" s="3212">
        <v>0.14299999999999999</v>
      </c>
      <c r="F357" s="3212">
        <v>0.125</v>
      </c>
      <c r="G357" s="3214">
        <v>0.129</v>
      </c>
    </row>
    <row r="358" spans="1:7">
      <c r="A358" s="3217" t="s">
        <v>3169</v>
      </c>
      <c r="B358" s="3203" t="s">
        <v>3170</v>
      </c>
      <c r="C358" s="3204">
        <v>0.15</v>
      </c>
      <c r="D358" s="3204">
        <v>0.15</v>
      </c>
      <c r="E358" s="3204">
        <v>0.15</v>
      </c>
      <c r="F358" s="3204">
        <v>0.15</v>
      </c>
      <c r="G358" s="3205">
        <v>0.15</v>
      </c>
    </row>
    <row r="359" spans="1:7">
      <c r="A359" s="3218" t="s">
        <v>3169</v>
      </c>
      <c r="B359" s="3207" t="s">
        <v>3171</v>
      </c>
      <c r="C359" s="3208">
        <v>0.1</v>
      </c>
      <c r="D359" s="3208">
        <v>0.1</v>
      </c>
      <c r="E359" s="3208">
        <v>0.1</v>
      </c>
      <c r="F359" s="3208">
        <v>0.1</v>
      </c>
      <c r="G359" s="3209">
        <v>0.1</v>
      </c>
    </row>
    <row r="360" spans="1:7">
      <c r="A360" s="3218" t="s">
        <v>3169</v>
      </c>
      <c r="B360" s="3207" t="s">
        <v>3172</v>
      </c>
      <c r="C360" s="3208">
        <v>0.15</v>
      </c>
      <c r="D360" s="3208">
        <v>0.15</v>
      </c>
      <c r="E360" s="3208">
        <v>0.15</v>
      </c>
      <c r="F360" s="3208">
        <v>0.14899999999999999</v>
      </c>
      <c r="G360" s="3209">
        <v>0.15</v>
      </c>
    </row>
    <row r="361" spans="1:7">
      <c r="A361" s="3218" t="s">
        <v>3169</v>
      </c>
      <c r="B361" s="3207" t="s">
        <v>999</v>
      </c>
      <c r="C361" s="3208">
        <v>0.15</v>
      </c>
      <c r="D361" s="3208">
        <v>0.15</v>
      </c>
      <c r="E361" s="3208">
        <v>0.15</v>
      </c>
      <c r="F361" s="3208">
        <v>0.115</v>
      </c>
      <c r="G361" s="3209">
        <v>0.15</v>
      </c>
    </row>
    <row r="362" spans="1:7">
      <c r="A362" s="3218" t="s">
        <v>3169</v>
      </c>
      <c r="B362" s="3207" t="s">
        <v>3173</v>
      </c>
      <c r="C362" s="3208">
        <v>0.15</v>
      </c>
      <c r="D362" s="3208">
        <v>0.15</v>
      </c>
      <c r="E362" s="3208">
        <v>0.15</v>
      </c>
      <c r="F362" s="3208">
        <v>0.106</v>
      </c>
      <c r="G362" s="3209">
        <v>0.15</v>
      </c>
    </row>
    <row r="363" spans="1:7">
      <c r="A363" s="3218" t="s">
        <v>3169</v>
      </c>
      <c r="B363" s="3207" t="s">
        <v>3013</v>
      </c>
      <c r="C363" s="3208">
        <v>0.15</v>
      </c>
      <c r="D363" s="3208">
        <v>0.15</v>
      </c>
      <c r="E363" s="3208">
        <v>0.15</v>
      </c>
      <c r="F363" s="3208">
        <v>0.14699999999999999</v>
      </c>
      <c r="G363" s="3209">
        <v>0.15</v>
      </c>
    </row>
    <row r="364" spans="1:7">
      <c r="A364" s="3218" t="s">
        <v>3169</v>
      </c>
      <c r="B364" s="3207" t="s">
        <v>3174</v>
      </c>
      <c r="C364" s="3208">
        <v>0.15</v>
      </c>
      <c r="D364" s="3208">
        <v>0.15</v>
      </c>
      <c r="E364" s="3208">
        <v>0.15</v>
      </c>
      <c r="F364" s="3208">
        <v>0.14799999999999999</v>
      </c>
      <c r="G364" s="3209">
        <v>0.15</v>
      </c>
    </row>
    <row r="365" spans="1:7">
      <c r="A365" s="3218" t="s">
        <v>3169</v>
      </c>
      <c r="B365" s="3207" t="s">
        <v>1047</v>
      </c>
      <c r="C365" s="3208">
        <v>0.15</v>
      </c>
      <c r="D365" s="3208">
        <v>0.15</v>
      </c>
      <c r="E365" s="3208">
        <v>0.15</v>
      </c>
      <c r="F365" s="3208">
        <v>0.15</v>
      </c>
      <c r="G365" s="3209">
        <v>0.15</v>
      </c>
    </row>
    <row r="366" spans="1:7">
      <c r="A366" s="3218" t="s">
        <v>3169</v>
      </c>
      <c r="B366" s="3207" t="s">
        <v>3015</v>
      </c>
      <c r="C366" s="3208">
        <v>0.15</v>
      </c>
      <c r="D366" s="3208">
        <v>0.15</v>
      </c>
      <c r="E366" s="3208">
        <v>0.15</v>
      </c>
      <c r="F366" s="3208">
        <v>0.15</v>
      </c>
      <c r="G366" s="3209">
        <v>0.15</v>
      </c>
    </row>
    <row r="367" spans="1:7">
      <c r="A367" s="3218" t="s">
        <v>3169</v>
      </c>
      <c r="B367" s="3207" t="s">
        <v>3175</v>
      </c>
      <c r="C367" s="3208">
        <v>0.15</v>
      </c>
      <c r="D367" s="3208">
        <v>0.15</v>
      </c>
      <c r="E367" s="3208">
        <v>0.15</v>
      </c>
      <c r="F367" s="3208">
        <v>0.14699999999999999</v>
      </c>
      <c r="G367" s="3209">
        <v>0.15</v>
      </c>
    </row>
    <row r="368" spans="1:7">
      <c r="A368" s="3218" t="s">
        <v>3169</v>
      </c>
      <c r="B368" s="3207" t="s">
        <v>3176</v>
      </c>
      <c r="C368" s="3208">
        <v>0.15</v>
      </c>
      <c r="D368" s="3208">
        <v>0.15</v>
      </c>
      <c r="E368" s="3208">
        <v>0.15</v>
      </c>
      <c r="F368" s="3208">
        <v>0.13600000000000001</v>
      </c>
      <c r="G368" s="3209">
        <v>0.15</v>
      </c>
    </row>
    <row r="369" spans="1:7">
      <c r="A369" s="3218" t="s">
        <v>3169</v>
      </c>
      <c r="B369" s="3207" t="s">
        <v>1061</v>
      </c>
      <c r="C369" s="3208">
        <v>0.15</v>
      </c>
      <c r="D369" s="3208">
        <v>0.15</v>
      </c>
      <c r="E369" s="3208">
        <v>0.15</v>
      </c>
      <c r="F369" s="3208">
        <v>0.14399999999999999</v>
      </c>
      <c r="G369" s="3209">
        <v>0.15</v>
      </c>
    </row>
    <row r="370" spans="1:7">
      <c r="A370" s="3218" t="s">
        <v>3169</v>
      </c>
      <c r="B370" s="3207" t="s">
        <v>1069</v>
      </c>
      <c r="C370" s="3208">
        <v>0.15</v>
      </c>
      <c r="D370" s="3208">
        <v>0.15</v>
      </c>
      <c r="E370" s="3208">
        <v>0.15</v>
      </c>
      <c r="F370" s="3208">
        <v>0.14599999999999999</v>
      </c>
      <c r="G370" s="3209">
        <v>0.15</v>
      </c>
    </row>
    <row r="371" spans="1:7">
      <c r="A371" s="3218" t="s">
        <v>3169</v>
      </c>
      <c r="B371" s="3207" t="s">
        <v>1077</v>
      </c>
      <c r="C371" s="3208">
        <v>0.15</v>
      </c>
      <c r="D371" s="3208">
        <v>0.15</v>
      </c>
      <c r="E371" s="3208">
        <v>0.15</v>
      </c>
      <c r="F371" s="3208">
        <v>0.12</v>
      </c>
      <c r="G371" s="3209">
        <v>0.15</v>
      </c>
    </row>
    <row r="372" spans="1:7">
      <c r="A372" s="3218" t="s">
        <v>3169</v>
      </c>
      <c r="B372" s="3207" t="s">
        <v>3177</v>
      </c>
      <c r="C372" s="3208">
        <v>0.15</v>
      </c>
      <c r="D372" s="3208">
        <v>0.15</v>
      </c>
      <c r="E372" s="3208">
        <v>0.15</v>
      </c>
      <c r="F372" s="3208">
        <v>0.14299999999999999</v>
      </c>
      <c r="G372" s="3209">
        <v>0.15</v>
      </c>
    </row>
    <row r="373" spans="1:7">
      <c r="A373" s="3218" t="s">
        <v>3169</v>
      </c>
      <c r="B373" s="3207" t="s">
        <v>1106</v>
      </c>
      <c r="C373" s="3208">
        <v>0.15</v>
      </c>
      <c r="D373" s="3208">
        <v>0.15</v>
      </c>
      <c r="E373" s="3208">
        <v>0.15</v>
      </c>
      <c r="F373" s="3208">
        <v>0.14599999999999999</v>
      </c>
      <c r="G373" s="3209">
        <v>0.15</v>
      </c>
    </row>
    <row r="374" spans="1:7">
      <c r="A374" s="3218" t="s">
        <v>3169</v>
      </c>
      <c r="B374" s="3207" t="s">
        <v>1114</v>
      </c>
      <c r="C374" s="3208">
        <v>0.15</v>
      </c>
      <c r="D374" s="3208">
        <v>0.15</v>
      </c>
      <c r="E374" s="3208">
        <v>0.15</v>
      </c>
      <c r="F374" s="3208">
        <v>0.14399999999999999</v>
      </c>
      <c r="G374" s="3209">
        <v>0.15</v>
      </c>
    </row>
    <row r="375" spans="1:7">
      <c r="A375" s="3218" t="s">
        <v>3169</v>
      </c>
      <c r="B375" s="3207" t="s">
        <v>3178</v>
      </c>
      <c r="C375" s="3208">
        <v>0.15</v>
      </c>
      <c r="D375" s="3208">
        <v>0.15</v>
      </c>
      <c r="E375" s="3208">
        <v>0.15</v>
      </c>
      <c r="F375" s="3208">
        <v>0.13</v>
      </c>
      <c r="G375" s="3209">
        <v>0.15</v>
      </c>
    </row>
    <row r="376" spans="1:7">
      <c r="A376" s="3218" t="s">
        <v>3169</v>
      </c>
      <c r="B376" s="3207" t="s">
        <v>1126</v>
      </c>
      <c r="C376" s="3208">
        <v>0.15</v>
      </c>
      <c r="D376" s="3208">
        <v>0.15</v>
      </c>
      <c r="E376" s="3208">
        <v>0.15</v>
      </c>
      <c r="F376" s="3208">
        <v>0.14199999999999999</v>
      </c>
      <c r="G376" s="3209">
        <v>0.15</v>
      </c>
    </row>
    <row r="377" spans="1:7" ht="14.25" thickBot="1">
      <c r="A377" s="3221" t="s">
        <v>3169</v>
      </c>
      <c r="B377" s="3211" t="s">
        <v>3020</v>
      </c>
      <c r="C377" s="3212">
        <v>0.15</v>
      </c>
      <c r="D377" s="3212">
        <v>0.15</v>
      </c>
      <c r="E377" s="3212">
        <v>0.15</v>
      </c>
      <c r="F377" s="3212">
        <v>0.14000000000000001</v>
      </c>
      <c r="G377" s="3214">
        <v>0.15</v>
      </c>
    </row>
    <row r="378" spans="1:7">
      <c r="A378" s="3217" t="s">
        <v>3179</v>
      </c>
      <c r="B378" s="3203" t="s">
        <v>3180</v>
      </c>
      <c r="C378" s="3204">
        <v>0.15</v>
      </c>
      <c r="D378" s="3204">
        <v>0.15</v>
      </c>
      <c r="E378" s="3204">
        <v>0.15</v>
      </c>
      <c r="F378" s="3204">
        <v>0.107</v>
      </c>
      <c r="G378" s="3205">
        <v>0.15</v>
      </c>
    </row>
    <row r="379" spans="1:7">
      <c r="A379" s="3218" t="s">
        <v>3179</v>
      </c>
      <c r="B379" s="3207" t="s">
        <v>3181</v>
      </c>
      <c r="C379" s="3208">
        <v>0.15</v>
      </c>
      <c r="D379" s="3208">
        <v>0.15</v>
      </c>
      <c r="E379" s="3208">
        <v>0.15</v>
      </c>
      <c r="F379" s="3208">
        <v>0.115</v>
      </c>
      <c r="G379" s="3209">
        <v>0.14899999999999999</v>
      </c>
    </row>
    <row r="380" spans="1:7">
      <c r="A380" s="3218" t="s">
        <v>3182</v>
      </c>
      <c r="B380" s="3207" t="s">
        <v>3183</v>
      </c>
      <c r="C380" s="3208">
        <v>0.15</v>
      </c>
      <c r="D380" s="3208">
        <v>0.15</v>
      </c>
      <c r="E380" s="3208">
        <v>0.15</v>
      </c>
      <c r="F380" s="3208">
        <v>0.1</v>
      </c>
      <c r="G380" s="3209">
        <v>0.14799999999999999</v>
      </c>
    </row>
    <row r="381" spans="1:7">
      <c r="A381" s="3218" t="s">
        <v>3182</v>
      </c>
      <c r="B381" s="3207" t="s">
        <v>3184</v>
      </c>
      <c r="C381" s="3208">
        <v>0.15</v>
      </c>
      <c r="D381" s="3208">
        <v>0.15</v>
      </c>
      <c r="E381" s="3208">
        <v>0.15</v>
      </c>
      <c r="F381" s="3208">
        <v>0.126</v>
      </c>
      <c r="G381" s="3209">
        <v>0.15</v>
      </c>
    </row>
    <row r="382" spans="1:7">
      <c r="A382" s="3218" t="s">
        <v>3182</v>
      </c>
      <c r="B382" s="3207" t="s">
        <v>3185</v>
      </c>
      <c r="C382" s="3208">
        <v>0.15</v>
      </c>
      <c r="D382" s="3208">
        <v>0.15</v>
      </c>
      <c r="E382" s="3208">
        <v>0.15</v>
      </c>
      <c r="F382" s="3208">
        <v>0.15</v>
      </c>
      <c r="G382" s="3209">
        <v>0.15</v>
      </c>
    </row>
    <row r="383" spans="1:7">
      <c r="A383" s="3218" t="s">
        <v>3182</v>
      </c>
      <c r="B383" s="3207" t="s">
        <v>3186</v>
      </c>
      <c r="C383" s="3208">
        <v>0.15</v>
      </c>
      <c r="D383" s="3208">
        <v>0.15</v>
      </c>
      <c r="E383" s="3208">
        <v>0.15</v>
      </c>
      <c r="F383" s="3208">
        <v>0.14699999999999999</v>
      </c>
      <c r="G383" s="3209">
        <v>0.15</v>
      </c>
    </row>
    <row r="384" spans="1:7" ht="14.25" thickBot="1">
      <c r="A384" s="3228" t="s">
        <v>3182</v>
      </c>
      <c r="B384" s="3229" t="s">
        <v>3187</v>
      </c>
      <c r="C384" s="3230">
        <v>0.15</v>
      </c>
      <c r="D384" s="3230">
        <v>0.15</v>
      </c>
      <c r="E384" s="3230">
        <v>0.15</v>
      </c>
      <c r="F384" s="3230">
        <v>0.15</v>
      </c>
      <c r="G384" s="3231">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41"/>
    <col min="2" max="6" width="9" style="2441" customWidth="1"/>
    <col min="7" max="7" width="9" style="2466" customWidth="1"/>
    <col min="8" max="12" width="9" style="2441" customWidth="1"/>
    <col min="13" max="13" width="2.25" style="2441" customWidth="1"/>
    <col min="14" max="14" width="9" style="2466" customWidth="1"/>
    <col min="15" max="17" width="9" style="2441" customWidth="1"/>
    <col min="18" max="18" width="2.375" style="2441" customWidth="1"/>
    <col min="19" max="19" width="7.125" style="2466" customWidth="1"/>
    <col min="20" max="22" width="7.125" style="2441" customWidth="1"/>
    <col min="23" max="23" width="24" style="2441" customWidth="1"/>
    <col min="24" max="25" width="9" style="2441"/>
    <col min="26" max="27" width="11.625" style="2441" customWidth="1"/>
    <col min="28" max="28" width="9" style="2441"/>
    <col min="29" max="29" width="2" style="2441" customWidth="1"/>
    <col min="30" max="16384" width="9" style="2441"/>
  </cols>
  <sheetData>
    <row r="1" spans="1:34" s="2422" customFormat="1">
      <c r="B1" s="3670" t="s">
        <v>1858</v>
      </c>
      <c r="C1" s="3670"/>
      <c r="D1" s="3670"/>
      <c r="E1" s="3670"/>
      <c r="F1" s="3670"/>
      <c r="G1" s="3669" t="s">
        <v>1859</v>
      </c>
      <c r="H1" s="3669"/>
      <c r="I1" s="3669"/>
      <c r="J1" s="3669"/>
      <c r="K1" s="3669"/>
      <c r="L1" s="3669"/>
      <c r="N1" s="3669" t="s">
        <v>1860</v>
      </c>
      <c r="O1" s="3669"/>
      <c r="P1" s="3669"/>
      <c r="Q1" s="3669"/>
      <c r="S1" s="3669" t="s">
        <v>1861</v>
      </c>
      <c r="T1" s="3669"/>
      <c r="U1" s="3669"/>
      <c r="V1" s="3669"/>
      <c r="X1" s="3668" t="s">
        <v>1921</v>
      </c>
      <c r="Y1" s="3669"/>
      <c r="Z1" s="3669"/>
      <c r="AA1" s="3669"/>
      <c r="AB1" s="3669"/>
      <c r="AD1" s="3668" t="s">
        <v>1925</v>
      </c>
      <c r="AE1" s="3669"/>
      <c r="AF1" s="3669"/>
      <c r="AG1" s="3669"/>
      <c r="AH1" s="3669"/>
    </row>
    <row r="2" spans="1:34" s="2423" customFormat="1" ht="14.25" thickBot="1">
      <c r="B2" s="2424" t="s">
        <v>1862</v>
      </c>
      <c r="C2" s="2424" t="s">
        <v>1923</v>
      </c>
      <c r="D2" s="2425" t="s">
        <v>1179</v>
      </c>
      <c r="E2" s="2425" t="s">
        <v>1469</v>
      </c>
      <c r="F2" s="2424" t="s">
        <v>1924</v>
      </c>
      <c r="G2" s="2426"/>
      <c r="I2" s="2424" t="s">
        <v>2212</v>
      </c>
      <c r="J2" s="2425" t="s">
        <v>2214</v>
      </c>
      <c r="K2" s="2425" t="s">
        <v>2215</v>
      </c>
      <c r="L2" s="2424" t="s">
        <v>2216</v>
      </c>
      <c r="N2" s="2424" t="s">
        <v>1862</v>
      </c>
      <c r="O2" s="2425" t="s">
        <v>2213</v>
      </c>
      <c r="P2" s="2425" t="s">
        <v>1469</v>
      </c>
      <c r="Q2" s="2424" t="s">
        <v>1924</v>
      </c>
      <c r="S2" s="2424" t="s">
        <v>1862</v>
      </c>
      <c r="T2" s="2425" t="s">
        <v>2213</v>
      </c>
      <c r="U2" s="2425" t="s">
        <v>1469</v>
      </c>
      <c r="V2" s="2424" t="s">
        <v>1924</v>
      </c>
      <c r="X2" s="2424" t="s">
        <v>1862</v>
      </c>
      <c r="Y2" s="2424" t="s">
        <v>1923</v>
      </c>
      <c r="Z2" s="2425" t="s">
        <v>1179</v>
      </c>
      <c r="AA2" s="2425" t="s">
        <v>1469</v>
      </c>
      <c r="AB2" s="2424" t="s">
        <v>1924</v>
      </c>
      <c r="AD2" s="2424" t="s">
        <v>1862</v>
      </c>
      <c r="AE2" s="2424" t="s">
        <v>1923</v>
      </c>
      <c r="AF2" s="2425" t="s">
        <v>1179</v>
      </c>
      <c r="AG2" s="2425" t="s">
        <v>1469</v>
      </c>
      <c r="AH2" s="2424" t="s">
        <v>1924</v>
      </c>
    </row>
    <row r="3" spans="1:34" s="2431" customFormat="1" ht="14.25">
      <c r="A3" s="2427" t="s">
        <v>2223</v>
      </c>
      <c r="B3" s="2428"/>
      <c r="C3" s="2428"/>
      <c r="D3" s="2429"/>
      <c r="E3" s="2429"/>
      <c r="F3" s="2428"/>
      <c r="G3" s="2430"/>
      <c r="I3" s="2432">
        <f>ROUND(AVERAGE($I4:$I41),2)</f>
        <v>1.47</v>
      </c>
      <c r="J3" s="2432">
        <f>ROUND(AVERAGE($J4:$J41),2)</f>
        <v>0.92</v>
      </c>
      <c r="K3" s="2432">
        <f>ROUND(AVERAGE($K4:$K41),2)</f>
        <v>1.61</v>
      </c>
      <c r="L3" s="2432">
        <f>ROUND(AVERAGE($L4:$L41),2)</f>
        <v>1.07</v>
      </c>
      <c r="N3" s="2430"/>
      <c r="S3" s="2430"/>
      <c r="W3" s="2433"/>
      <c r="X3" s="2434">
        <f>ROUND(SUMPRODUCT(PRODUCT(1+N3:N$40)),4)</f>
        <v>1.6585000000000001</v>
      </c>
      <c r="Y3" s="2434">
        <f>ROUND(SUMPRODUCT(PRODUCT(1+O3:O$40)),4)</f>
        <v>1.3676999999999999</v>
      </c>
      <c r="Z3" s="2434">
        <f>Y3</f>
        <v>1.3676999999999999</v>
      </c>
      <c r="AA3" s="2434">
        <f>ROUND(SUMPRODUCT(PRODUCT(1+P3:P$40)),4)</f>
        <v>1.7434000000000001</v>
      </c>
      <c r="AB3" s="2434">
        <f>ROUND(SUMPRODUCT(PRODUCT(1+Q3:Q$40)),4)</f>
        <v>1.4609000000000001</v>
      </c>
      <c r="AD3" s="2435">
        <f>ROUND(AVERAGE(I3:I$41)/100,4)</f>
        <v>1.47E-2</v>
      </c>
      <c r="AE3" s="2435">
        <f>ROUND(AVERAGE(J3:J$41)/100,4)</f>
        <v>9.1999999999999998E-3</v>
      </c>
      <c r="AF3" s="2435">
        <f>AE3</f>
        <v>9.1999999999999998E-3</v>
      </c>
      <c r="AG3" s="2435">
        <f>ROUND(AVERAGE(K3:K$41)/100,4)</f>
        <v>1.61E-2</v>
      </c>
      <c r="AH3" s="2435">
        <f>ROUND(AVERAGE(L3:L$41)/100,4)</f>
        <v>1.0699999999999999E-2</v>
      </c>
    </row>
    <row r="4" spans="1:34" s="2422" customFormat="1" ht="14.25">
      <c r="B4" s="2436"/>
      <c r="C4" s="2436"/>
      <c r="D4" s="2437"/>
      <c r="E4" s="2437"/>
      <c r="F4" s="2436"/>
      <c r="G4" s="2438"/>
      <c r="I4" s="2439"/>
      <c r="J4" s="2439"/>
      <c r="K4" s="2439"/>
      <c r="L4" s="2439"/>
      <c r="N4" s="2438"/>
      <c r="S4" s="2438"/>
      <c r="W4" s="2440"/>
      <c r="X4" s="2441"/>
      <c r="Y4" s="2441"/>
      <c r="Z4" s="2441"/>
      <c r="AA4" s="2441"/>
      <c r="AB4" s="2441"/>
      <c r="AD4" s="2442"/>
      <c r="AE4" s="2442"/>
      <c r="AF4" s="2442"/>
      <c r="AG4" s="2442"/>
      <c r="AH4" s="2442"/>
    </row>
    <row r="5" spans="1:34" s="2450" customFormat="1">
      <c r="A5" s="2443" t="s">
        <v>2444</v>
      </c>
      <c r="B5" s="2444">
        <f t="shared" ref="B5:B19" si="0">B6*(1+N5)</f>
        <v>510.07089659554606</v>
      </c>
      <c r="C5" s="2444">
        <f t="shared" ref="C5:C19" si="1">C6*(1+O5)</f>
        <v>352.55593185737411</v>
      </c>
      <c r="D5" s="2444">
        <f t="shared" ref="D5:D24" si="2">C5</f>
        <v>352.55593185737411</v>
      </c>
      <c r="E5" s="2444">
        <f t="shared" ref="E5:E25" si="3">E6*(1+P5)</f>
        <v>737.27992463403655</v>
      </c>
      <c r="F5" s="2444">
        <f t="shared" ref="F5:F25" si="4">F6*(1+Q5)</f>
        <v>335.88319198297864</v>
      </c>
      <c r="G5" s="2438">
        <v>2023</v>
      </c>
      <c r="H5" s="2445">
        <v>1</v>
      </c>
      <c r="I5" s="2420">
        <v>0</v>
      </c>
      <c r="J5" s="2420">
        <v>0</v>
      </c>
      <c r="K5" s="2420">
        <v>0</v>
      </c>
      <c r="L5" s="2421">
        <v>0</v>
      </c>
      <c r="M5" s="2441"/>
      <c r="N5" s="2446">
        <f t="shared" ref="N5:N24" si="5">I5/100</f>
        <v>0</v>
      </c>
      <c r="O5" s="2442">
        <f t="shared" ref="O5:O24" si="6">J5/100</f>
        <v>0</v>
      </c>
      <c r="P5" s="2442">
        <f t="shared" ref="P5:P24" si="7">K5/100</f>
        <v>0</v>
      </c>
      <c r="Q5" s="2442">
        <f t="shared" ref="Q5:Q24" si="8">L5/100</f>
        <v>0</v>
      </c>
      <c r="R5" s="2447"/>
      <c r="S5" s="2448">
        <f>B5/B6-1</f>
        <v>0</v>
      </c>
      <c r="T5" s="2449">
        <f>C5/C6-1</f>
        <v>0</v>
      </c>
      <c r="U5" s="2449">
        <f>E5/E6-1</f>
        <v>0</v>
      </c>
      <c r="V5" s="2449">
        <f>F5/F6-1</f>
        <v>0</v>
      </c>
      <c r="W5" s="2441"/>
      <c r="X5" s="2441">
        <f>ROUND(IF(项目基本情况!B8="出让",SUMPRODUCT(PRODUCT(1+N5:N$41)),SUMPRODUCT(PRODUCT(1+N5:N$40))),4)</f>
        <v>1.6585000000000001</v>
      </c>
      <c r="Y5" s="2441">
        <f>ROUND(IF(项目基本情况!B8="出让",SUMPRODUCT(PRODUCT(1+O5:O$41)),SUMPRODUCT(PRODUCT(1+O5:O$40))),4)</f>
        <v>1.3676999999999999</v>
      </c>
      <c r="Z5" s="2441">
        <f t="shared" ref="Z5:Z40" si="9">Y5</f>
        <v>1.3676999999999999</v>
      </c>
      <c r="AA5" s="2441">
        <f>ROUND(IF(项目基本情况!B8="出让",SUMPRODUCT(PRODUCT(1+P5:P$41)),SUMPRODUCT(PRODUCT(1+P5:P$40))),4)</f>
        <v>1.7434000000000001</v>
      </c>
      <c r="AB5" s="2441">
        <f>ROUND(IF(项目基本情况!B8="出让",SUMPRODUCT(PRODUCT(1+Q5:Q$41)),SUMPRODUCT(PRODUCT(1+Q5:Q$40))),4)</f>
        <v>1.4609000000000001</v>
      </c>
      <c r="AC5" s="2441"/>
      <c r="AD5" s="2442">
        <f>ROUND(AVERAGE(I5:I$41)/100,4)</f>
        <v>1.47E-2</v>
      </c>
      <c r="AE5" s="2442">
        <f>ROUND(AVERAGE(J5:J$41)/100,4)</f>
        <v>9.1999999999999998E-3</v>
      </c>
      <c r="AF5" s="2442">
        <f t="shared" ref="AF5:AF41" si="10">AE5</f>
        <v>9.1999999999999998E-3</v>
      </c>
      <c r="AG5" s="2442">
        <f>ROUND(AVERAGE(K5:K$41)/100,4)</f>
        <v>1.61E-2</v>
      </c>
      <c r="AH5" s="2442">
        <f>ROUND(AVERAGE(L5:L$41)/100,4)</f>
        <v>1.0699999999999999E-2</v>
      </c>
    </row>
    <row r="6" spans="1:34" s="2450" customFormat="1">
      <c r="A6" s="2443" t="s">
        <v>2443</v>
      </c>
      <c r="B6" s="2444">
        <f t="shared" si="0"/>
        <v>510.07089659554606</v>
      </c>
      <c r="C6" s="2444">
        <f t="shared" si="1"/>
        <v>352.55593185737411</v>
      </c>
      <c r="D6" s="2444">
        <f t="shared" si="2"/>
        <v>352.55593185737411</v>
      </c>
      <c r="E6" s="2444">
        <f t="shared" si="3"/>
        <v>737.27992463403655</v>
      </c>
      <c r="F6" s="2444">
        <f t="shared" si="4"/>
        <v>335.88319198297864</v>
      </c>
      <c r="G6" s="2438">
        <v>2022</v>
      </c>
      <c r="H6" s="2445">
        <v>4</v>
      </c>
      <c r="I6" s="2420">
        <v>0</v>
      </c>
      <c r="J6" s="2420">
        <v>0</v>
      </c>
      <c r="K6" s="2420">
        <v>0</v>
      </c>
      <c r="L6" s="2421">
        <v>0</v>
      </c>
      <c r="M6" s="2441"/>
      <c r="N6" s="2446">
        <f t="shared" si="5"/>
        <v>0</v>
      </c>
      <c r="O6" s="2442">
        <f t="shared" si="6"/>
        <v>0</v>
      </c>
      <c r="P6" s="2442">
        <f t="shared" si="7"/>
        <v>0</v>
      </c>
      <c r="Q6" s="2442">
        <f t="shared" si="8"/>
        <v>0</v>
      </c>
      <c r="R6" s="2447"/>
      <c r="S6" s="2448"/>
      <c r="T6" s="2449"/>
      <c r="U6" s="2449"/>
      <c r="V6" s="2449"/>
      <c r="W6" s="2441"/>
      <c r="X6" s="2441">
        <f>ROUND(IF(项目基本情况!B8="出让",SUMPRODUCT(PRODUCT(1+N6:N$41)),SUMPRODUCT(PRODUCT(1+N6:N$40))),4)</f>
        <v>1.6585000000000001</v>
      </c>
      <c r="Y6" s="2441">
        <f>ROUND(IF(项目基本情况!B8="出让",SUMPRODUCT(PRODUCT(1+O6:O$41)),SUMPRODUCT(PRODUCT(1+O6:O$40))),4)</f>
        <v>1.3676999999999999</v>
      </c>
      <c r="Z6" s="2441">
        <f t="shared" si="9"/>
        <v>1.3676999999999999</v>
      </c>
      <c r="AA6" s="2441">
        <f>ROUND(IF(项目基本情况!B8="出让",SUMPRODUCT(PRODUCT(1+P6:P$41)),SUMPRODUCT(PRODUCT(1+P6:P$40))),4)</f>
        <v>1.7434000000000001</v>
      </c>
      <c r="AB6" s="2441">
        <f>ROUND(IF(项目基本情况!B8="出让",SUMPRODUCT(PRODUCT(1+Q6:Q$41)),SUMPRODUCT(PRODUCT(1+Q6:Q$40))),4)</f>
        <v>1.4609000000000001</v>
      </c>
      <c r="AC6" s="2441"/>
      <c r="AD6" s="2442">
        <f>ROUND(AVERAGE(I6:I$41)/100,4)</f>
        <v>1.5100000000000001E-2</v>
      </c>
      <c r="AE6" s="2442">
        <f>ROUND(AVERAGE(J6:J$41)/100,4)</f>
        <v>9.4000000000000004E-3</v>
      </c>
      <c r="AF6" s="2442">
        <f t="shared" si="10"/>
        <v>9.4000000000000004E-3</v>
      </c>
      <c r="AG6" s="2442">
        <f>ROUND(AVERAGE(K6:K$41)/100,4)</f>
        <v>1.66E-2</v>
      </c>
      <c r="AH6" s="2442">
        <f>ROUND(AVERAGE(L6:L$41)/100,4)</f>
        <v>1.0999999999999999E-2</v>
      </c>
    </row>
    <row r="7" spans="1:34" s="2450" customFormat="1">
      <c r="A7" s="2443" t="s">
        <v>2442</v>
      </c>
      <c r="B7" s="2444">
        <f t="shared" si="0"/>
        <v>510.07089659554606</v>
      </c>
      <c r="C7" s="2444">
        <f t="shared" si="1"/>
        <v>352.55593185737411</v>
      </c>
      <c r="D7" s="2444">
        <f t="shared" si="2"/>
        <v>352.55593185737411</v>
      </c>
      <c r="E7" s="2444">
        <f t="shared" si="3"/>
        <v>737.27992463403655</v>
      </c>
      <c r="F7" s="2444">
        <f t="shared" si="4"/>
        <v>335.88319198297864</v>
      </c>
      <c r="G7" s="2438">
        <v>2022</v>
      </c>
      <c r="H7" s="2445">
        <v>3</v>
      </c>
      <c r="I7" s="2420">
        <v>0</v>
      </c>
      <c r="J7" s="2420">
        <v>0</v>
      </c>
      <c r="K7" s="2420">
        <v>0</v>
      </c>
      <c r="L7" s="2421">
        <v>0</v>
      </c>
      <c r="M7" s="2441"/>
      <c r="N7" s="2446">
        <f t="shared" si="5"/>
        <v>0</v>
      </c>
      <c r="O7" s="2442">
        <f t="shared" si="6"/>
        <v>0</v>
      </c>
      <c r="P7" s="2442">
        <f t="shared" si="7"/>
        <v>0</v>
      </c>
      <c r="Q7" s="2442">
        <f t="shared" si="8"/>
        <v>0</v>
      </c>
      <c r="R7" s="2447"/>
      <c r="S7" s="2448"/>
      <c r="T7" s="2449"/>
      <c r="U7" s="2449"/>
      <c r="V7" s="2449"/>
      <c r="W7" s="2441"/>
      <c r="X7" s="2441">
        <f>ROUND(IF(项目基本情况!B8="出让",SUMPRODUCT(PRODUCT(1+N7:N$41)),SUMPRODUCT(PRODUCT(1+N7:N$40))),4)</f>
        <v>1.6585000000000001</v>
      </c>
      <c r="Y7" s="2441">
        <f>ROUND(IF(项目基本情况!B8="出让",SUMPRODUCT(PRODUCT(1+O7:O$41)),SUMPRODUCT(PRODUCT(1+O7:O$40))),4)</f>
        <v>1.3676999999999999</v>
      </c>
      <c r="Z7" s="2441">
        <f t="shared" si="9"/>
        <v>1.3676999999999999</v>
      </c>
      <c r="AA7" s="2441">
        <f>ROUND(IF(项目基本情况!B8="出让",SUMPRODUCT(PRODUCT(1+P7:P$41)),SUMPRODUCT(PRODUCT(1+P7:P$40))),4)</f>
        <v>1.7434000000000001</v>
      </c>
      <c r="AB7" s="2441">
        <f>ROUND(IF(项目基本情况!B8="出让",SUMPRODUCT(PRODUCT(1+Q7:Q$41)),SUMPRODUCT(PRODUCT(1+Q7:Q$40))),4)</f>
        <v>1.4609000000000001</v>
      </c>
      <c r="AC7" s="2441"/>
      <c r="AD7" s="2442">
        <f>ROUND(AVERAGE(I7:I$41)/100,4)</f>
        <v>1.55E-2</v>
      </c>
      <c r="AE7" s="2442">
        <f>ROUND(AVERAGE(J7:J$41)/100,4)</f>
        <v>9.7000000000000003E-3</v>
      </c>
      <c r="AF7" s="2442">
        <f t="shared" si="10"/>
        <v>9.7000000000000003E-3</v>
      </c>
      <c r="AG7" s="2442">
        <f>ROUND(AVERAGE(K7:K$41)/100,4)</f>
        <v>1.7100000000000001E-2</v>
      </c>
      <c r="AH7" s="2442">
        <f>ROUND(AVERAGE(L7:L$41)/100,4)</f>
        <v>1.1299999999999999E-2</v>
      </c>
    </row>
    <row r="8" spans="1:34" s="2450" customFormat="1">
      <c r="A8" s="2443" t="s">
        <v>2441</v>
      </c>
      <c r="B8" s="2444">
        <f t="shared" si="0"/>
        <v>510.07089659554606</v>
      </c>
      <c r="C8" s="2444">
        <f t="shared" si="1"/>
        <v>352.55593185737411</v>
      </c>
      <c r="D8" s="2444">
        <f t="shared" si="2"/>
        <v>352.55593185737411</v>
      </c>
      <c r="E8" s="2444">
        <f t="shared" si="3"/>
        <v>737.27992463403655</v>
      </c>
      <c r="F8" s="2444">
        <f t="shared" si="4"/>
        <v>335.88319198297864</v>
      </c>
      <c r="G8" s="2438">
        <v>2022</v>
      </c>
      <c r="H8" s="2445">
        <v>2</v>
      </c>
      <c r="I8" s="2420">
        <v>0</v>
      </c>
      <c r="J8" s="2420">
        <v>0</v>
      </c>
      <c r="K8" s="2420">
        <v>0</v>
      </c>
      <c r="L8" s="2421">
        <v>0</v>
      </c>
      <c r="M8" s="2441"/>
      <c r="N8" s="2446">
        <f t="shared" si="5"/>
        <v>0</v>
      </c>
      <c r="O8" s="2442">
        <f t="shared" si="6"/>
        <v>0</v>
      </c>
      <c r="P8" s="2442">
        <f t="shared" si="7"/>
        <v>0</v>
      </c>
      <c r="Q8" s="2442">
        <f t="shared" si="8"/>
        <v>0</v>
      </c>
      <c r="R8" s="2447"/>
      <c r="S8" s="2448"/>
      <c r="T8" s="2449"/>
      <c r="U8" s="2449"/>
      <c r="V8" s="2449"/>
      <c r="W8" s="2441"/>
      <c r="X8" s="2441">
        <f>ROUND(IF(项目基本情况!B8="出让",SUMPRODUCT(PRODUCT(1+N8:N$41)),SUMPRODUCT(PRODUCT(1+N8:N$40))),4)</f>
        <v>1.6585000000000001</v>
      </c>
      <c r="Y8" s="2441">
        <f>ROUND(IF(项目基本情况!B8="出让",SUMPRODUCT(PRODUCT(1+O8:O$41)),SUMPRODUCT(PRODUCT(1+O8:O$40))),4)</f>
        <v>1.3676999999999999</v>
      </c>
      <c r="Z8" s="2441">
        <f t="shared" si="9"/>
        <v>1.3676999999999999</v>
      </c>
      <c r="AA8" s="2441">
        <f>ROUND(IF(项目基本情况!B8="出让",SUMPRODUCT(PRODUCT(1+P8:P$41)),SUMPRODUCT(PRODUCT(1+P8:P$40))),4)</f>
        <v>1.7434000000000001</v>
      </c>
      <c r="AB8" s="2441">
        <f>ROUND(IF(项目基本情况!B8="出让",SUMPRODUCT(PRODUCT(1+Q8:Q$41)),SUMPRODUCT(PRODUCT(1+Q8:Q$40))),4)</f>
        <v>1.4609000000000001</v>
      </c>
      <c r="AC8" s="2441"/>
      <c r="AD8" s="2442">
        <f>ROUND(AVERAGE(I8:I$41)/100,4)</f>
        <v>1.6E-2</v>
      </c>
      <c r="AE8" s="2442">
        <f>ROUND(AVERAGE(J8:J$41)/100,4)</f>
        <v>0.01</v>
      </c>
      <c r="AF8" s="2442">
        <f t="shared" si="10"/>
        <v>0.01</v>
      </c>
      <c r="AG8" s="2442">
        <f>ROUND(AVERAGE(K8:K$41)/100,4)</f>
        <v>1.7600000000000001E-2</v>
      </c>
      <c r="AH8" s="2442">
        <f>ROUND(AVERAGE(L8:L$41)/100,4)</f>
        <v>1.1599999999999999E-2</v>
      </c>
    </row>
    <row r="9" spans="1:34" s="2450" customFormat="1">
      <c r="A9" s="2443" t="s">
        <v>2440</v>
      </c>
      <c r="B9" s="2444">
        <f t="shared" si="0"/>
        <v>510.07089659554606</v>
      </c>
      <c r="C9" s="2444">
        <f t="shared" si="1"/>
        <v>352.55593185737411</v>
      </c>
      <c r="D9" s="2444">
        <f t="shared" si="2"/>
        <v>352.55593185737411</v>
      </c>
      <c r="E9" s="2444">
        <f t="shared" si="3"/>
        <v>737.27992463403655</v>
      </c>
      <c r="F9" s="2444">
        <f t="shared" si="4"/>
        <v>335.88319198297864</v>
      </c>
      <c r="G9" s="2438">
        <v>2022</v>
      </c>
      <c r="H9" s="2445">
        <v>1</v>
      </c>
      <c r="I9" s="2420">
        <v>0</v>
      </c>
      <c r="J9" s="2420">
        <v>0</v>
      </c>
      <c r="K9" s="2420">
        <v>0</v>
      </c>
      <c r="L9" s="2421">
        <v>0</v>
      </c>
      <c r="M9" s="2441"/>
      <c r="N9" s="2446">
        <f t="shared" si="5"/>
        <v>0</v>
      </c>
      <c r="O9" s="2442">
        <f t="shared" si="6"/>
        <v>0</v>
      </c>
      <c r="P9" s="2442">
        <f t="shared" si="7"/>
        <v>0</v>
      </c>
      <c r="Q9" s="2442">
        <f t="shared" si="8"/>
        <v>0</v>
      </c>
      <c r="R9" s="2447"/>
      <c r="S9" s="2448">
        <f>B9/B10-1</f>
        <v>0</v>
      </c>
      <c r="T9" s="2449">
        <f>C9/C10-1</f>
        <v>0</v>
      </c>
      <c r="U9" s="2449">
        <f>E9/E10-1</f>
        <v>0</v>
      </c>
      <c r="V9" s="2449">
        <f>F9/F10-1</f>
        <v>0</v>
      </c>
      <c r="W9" s="2441"/>
      <c r="X9" s="2441">
        <f>ROUND(IF(项目基本情况!B1="出让",SUMPRODUCT(PRODUCT(1+N9:N$41)),SUMPRODUCT(PRODUCT(1+N9:N$40))),4)</f>
        <v>1.6585000000000001</v>
      </c>
      <c r="Y9" s="2441">
        <f>ROUND(IF(项目基本情况!B1="出让",SUMPRODUCT(PRODUCT(1+O9:O$41)),SUMPRODUCT(PRODUCT(1+O9:O$40))),4)</f>
        <v>1.3676999999999999</v>
      </c>
      <c r="Z9" s="2441">
        <f t="shared" si="9"/>
        <v>1.3676999999999999</v>
      </c>
      <c r="AA9" s="2441">
        <f>ROUND(IF(项目基本情况!B1="出让",SUMPRODUCT(PRODUCT(1+P9:P$41)),SUMPRODUCT(PRODUCT(1+P9:P$40))),4)</f>
        <v>1.7434000000000001</v>
      </c>
      <c r="AB9" s="2441">
        <f>ROUND(IF(项目基本情况!B1="出让",SUMPRODUCT(PRODUCT(1+Q9:Q$41)),SUMPRODUCT(PRODUCT(1+Q9:Q$40))),4)</f>
        <v>1.4609000000000001</v>
      </c>
      <c r="AC9" s="2441"/>
      <c r="AD9" s="2442">
        <f>ROUND(AVERAGE(I9:I$41)/100,4)</f>
        <v>1.6400000000000001E-2</v>
      </c>
      <c r="AE9" s="2442">
        <f>ROUND(AVERAGE(J9:J$41)/100,4)</f>
        <v>1.03E-2</v>
      </c>
      <c r="AF9" s="2442">
        <f t="shared" si="10"/>
        <v>1.03E-2</v>
      </c>
      <c r="AG9" s="2442">
        <f>ROUND(AVERAGE(K9:K$41)/100,4)</f>
        <v>1.8100000000000002E-2</v>
      </c>
      <c r="AH9" s="2442">
        <f>ROUND(AVERAGE(L9:L$41)/100,4)</f>
        <v>1.2E-2</v>
      </c>
    </row>
    <row r="10" spans="1:34" s="2450" customFormat="1">
      <c r="A10" s="2443" t="s">
        <v>2289</v>
      </c>
      <c r="B10" s="2444">
        <f t="shared" si="0"/>
        <v>510.07089659554606</v>
      </c>
      <c r="C10" s="2444">
        <f t="shared" si="1"/>
        <v>352.55593185737411</v>
      </c>
      <c r="D10" s="2444">
        <f t="shared" si="2"/>
        <v>352.55593185737411</v>
      </c>
      <c r="E10" s="2444">
        <f t="shared" si="3"/>
        <v>737.27992463403655</v>
      </c>
      <c r="F10" s="2444">
        <f t="shared" si="4"/>
        <v>335.88319198297864</v>
      </c>
      <c r="G10" s="2438">
        <v>2021</v>
      </c>
      <c r="H10" s="2445">
        <v>4</v>
      </c>
      <c r="I10" s="2420">
        <v>1.03</v>
      </c>
      <c r="J10" s="2420">
        <v>0.24</v>
      </c>
      <c r="K10" s="2420">
        <v>1.17</v>
      </c>
      <c r="L10" s="2421">
        <v>0.55000000000000004</v>
      </c>
      <c r="M10" s="2441"/>
      <c r="N10" s="2446">
        <f t="shared" si="5"/>
        <v>1.03E-2</v>
      </c>
      <c r="O10" s="2442">
        <f t="shared" si="6"/>
        <v>2.3999999999999998E-3</v>
      </c>
      <c r="P10" s="2442">
        <f t="shared" si="7"/>
        <v>1.1699999999999999E-2</v>
      </c>
      <c r="Q10" s="2442">
        <f t="shared" si="8"/>
        <v>5.5000000000000005E-3</v>
      </c>
      <c r="R10" s="2447"/>
      <c r="S10" s="2448"/>
      <c r="T10" s="2449"/>
      <c r="U10" s="2449"/>
      <c r="V10" s="2449"/>
      <c r="W10" s="2441"/>
      <c r="X10" s="2441">
        <f>ROUND(IF(项目基本情况!B2="出让",SUMPRODUCT(PRODUCT(1+N10:N$41)),SUMPRODUCT(PRODUCT(1+N10:N$40))),4)</f>
        <v>1.6585000000000001</v>
      </c>
      <c r="Y10" s="2441">
        <f>ROUND(IF(项目基本情况!B2="出让",SUMPRODUCT(PRODUCT(1+O10:O$41)),SUMPRODUCT(PRODUCT(1+O10:O$40))),4)</f>
        <v>1.3676999999999999</v>
      </c>
      <c r="Z10" s="2441">
        <f t="shared" si="9"/>
        <v>1.3676999999999999</v>
      </c>
      <c r="AA10" s="2441">
        <f>ROUND(IF(项目基本情况!B2="出让",SUMPRODUCT(PRODUCT(1+P10:P$41)),SUMPRODUCT(PRODUCT(1+P10:P$40))),4)</f>
        <v>1.7434000000000001</v>
      </c>
      <c r="AB10" s="2441">
        <f>ROUND(IF(项目基本情况!B2="出让",SUMPRODUCT(PRODUCT(1+Q10:Q$41)),SUMPRODUCT(PRODUCT(1+Q10:Q$40))),4)</f>
        <v>1.4609000000000001</v>
      </c>
      <c r="AC10" s="2441"/>
      <c r="AD10" s="2442">
        <f>ROUND(AVERAGE(I10:I$41)/100,4)</f>
        <v>1.6899999999999998E-2</v>
      </c>
      <c r="AE10" s="2442">
        <f>ROUND(AVERAGE(J10:J$41)/100,4)</f>
        <v>1.06E-2</v>
      </c>
      <c r="AF10" s="2442">
        <f t="shared" si="10"/>
        <v>1.06E-2</v>
      </c>
      <c r="AG10" s="2442">
        <f>ROUND(AVERAGE(K10:K$41)/100,4)</f>
        <v>1.8700000000000001E-2</v>
      </c>
      <c r="AH10" s="2442">
        <f>ROUND(AVERAGE(L10:L$41)/100,4)</f>
        <v>1.24E-2</v>
      </c>
    </row>
    <row r="11" spans="1:34" s="2450" customFormat="1">
      <c r="A11" s="2443" t="s">
        <v>2288</v>
      </c>
      <c r="B11" s="2444">
        <f t="shared" si="0"/>
        <v>504.87072809615569</v>
      </c>
      <c r="C11" s="2444">
        <f t="shared" si="1"/>
        <v>351.71182348101968</v>
      </c>
      <c r="D11" s="2444">
        <f t="shared" si="2"/>
        <v>351.71182348101968</v>
      </c>
      <c r="E11" s="2444">
        <f t="shared" si="3"/>
        <v>728.75350858360832</v>
      </c>
      <c r="F11" s="2444">
        <f t="shared" si="4"/>
        <v>334.04593931673656</v>
      </c>
      <c r="G11" s="2438">
        <v>2021</v>
      </c>
      <c r="H11" s="2445">
        <v>3</v>
      </c>
      <c r="I11" s="2420">
        <v>0.47</v>
      </c>
      <c r="J11" s="2420">
        <v>0.41</v>
      </c>
      <c r="K11" s="2420">
        <v>0.48</v>
      </c>
      <c r="L11" s="2421">
        <v>0.48</v>
      </c>
      <c r="M11" s="2441"/>
      <c r="N11" s="2446">
        <f t="shared" si="5"/>
        <v>4.6999999999999993E-3</v>
      </c>
      <c r="O11" s="2442">
        <f t="shared" si="6"/>
        <v>4.0999999999999995E-3</v>
      </c>
      <c r="P11" s="2442">
        <f t="shared" si="7"/>
        <v>4.7999999999999996E-3</v>
      </c>
      <c r="Q11" s="2442">
        <f t="shared" si="8"/>
        <v>4.7999999999999996E-3</v>
      </c>
      <c r="R11" s="2447"/>
      <c r="S11" s="2448"/>
      <c r="T11" s="2449"/>
      <c r="U11" s="2449"/>
      <c r="V11" s="2449"/>
      <c r="W11" s="2441"/>
      <c r="X11" s="2441">
        <f>ROUND(IF(项目基本情况!B3="出让",SUMPRODUCT(PRODUCT(1+N11:N$41)),SUMPRODUCT(PRODUCT(1+N11:N$40))),4)</f>
        <v>1.6415999999999999</v>
      </c>
      <c r="Y11" s="2441">
        <f>ROUND(IF(项目基本情况!B3="出让",SUMPRODUCT(PRODUCT(1+O11:O$41)),SUMPRODUCT(PRODUCT(1+O11:O$40))),4)</f>
        <v>1.3644000000000001</v>
      </c>
      <c r="Z11" s="2441">
        <f t="shared" si="9"/>
        <v>1.3644000000000001</v>
      </c>
      <c r="AA11" s="2441">
        <f>ROUND(IF(项目基本情况!B3="出让",SUMPRODUCT(PRODUCT(1+P11:P$41)),SUMPRODUCT(PRODUCT(1+P11:P$40))),4)</f>
        <v>1.7232000000000001</v>
      </c>
      <c r="AB11" s="2441">
        <f>ROUND(IF(项目基本情况!B3="出让",SUMPRODUCT(PRODUCT(1+Q11:Q$41)),SUMPRODUCT(PRODUCT(1+Q11:Q$40))),4)</f>
        <v>1.4529000000000001</v>
      </c>
      <c r="AC11" s="2441"/>
      <c r="AD11" s="2442">
        <f>ROUND(AVERAGE(I11:I$41)/100,4)</f>
        <v>1.72E-2</v>
      </c>
      <c r="AE11" s="2442">
        <f>ROUND(AVERAGE(J11:J$41)/100,4)</f>
        <v>1.09E-2</v>
      </c>
      <c r="AF11" s="2442">
        <f t="shared" si="10"/>
        <v>1.09E-2</v>
      </c>
      <c r="AG11" s="2442">
        <f>ROUND(AVERAGE(K11:K$41)/100,4)</f>
        <v>1.89E-2</v>
      </c>
      <c r="AH11" s="2442">
        <f>ROUND(AVERAGE(L11:L$41)/100,4)</f>
        <v>1.26E-2</v>
      </c>
    </row>
    <row r="12" spans="1:34" s="2450" customFormat="1">
      <c r="A12" s="2443" t="s">
        <v>2287</v>
      </c>
      <c r="B12" s="2444">
        <f t="shared" si="0"/>
        <v>502.50893609650217</v>
      </c>
      <c r="C12" s="2444">
        <f t="shared" si="1"/>
        <v>350.27569313914915</v>
      </c>
      <c r="D12" s="2444">
        <f t="shared" si="2"/>
        <v>350.27569313914915</v>
      </c>
      <c r="E12" s="2444">
        <f t="shared" si="3"/>
        <v>725.27220201394141</v>
      </c>
      <c r="F12" s="2444">
        <f t="shared" si="4"/>
        <v>332.45017846012797</v>
      </c>
      <c r="G12" s="2438">
        <v>2021</v>
      </c>
      <c r="H12" s="2445">
        <v>2</v>
      </c>
      <c r="I12" s="2420">
        <v>0.92</v>
      </c>
      <c r="J12" s="2420">
        <v>0.72</v>
      </c>
      <c r="K12" s="2420">
        <v>0.95</v>
      </c>
      <c r="L12" s="2421">
        <v>1.01</v>
      </c>
      <c r="M12" s="2441"/>
      <c r="N12" s="2446">
        <f t="shared" si="5"/>
        <v>9.1999999999999998E-3</v>
      </c>
      <c r="O12" s="2442">
        <f t="shared" si="6"/>
        <v>7.1999999999999998E-3</v>
      </c>
      <c r="P12" s="2442">
        <f t="shared" si="7"/>
        <v>9.4999999999999998E-3</v>
      </c>
      <c r="Q12" s="2442">
        <f t="shared" si="8"/>
        <v>1.01E-2</v>
      </c>
      <c r="R12" s="2447"/>
      <c r="S12" s="2448"/>
      <c r="T12" s="2449"/>
      <c r="U12" s="2449"/>
      <c r="V12" s="2449"/>
      <c r="W12" s="2441"/>
      <c r="X12" s="2441">
        <f>ROUND(IF(项目基本情况!B4="出让",SUMPRODUCT(PRODUCT(1+N12:N$41)),SUMPRODUCT(PRODUCT(1+N12:N$40))),4)</f>
        <v>1.6338999999999999</v>
      </c>
      <c r="Y12" s="2441">
        <f>ROUND(IF(项目基本情况!B4="出让",SUMPRODUCT(PRODUCT(1+O12:O$41)),SUMPRODUCT(PRODUCT(1+O12:O$40))),4)</f>
        <v>1.3588</v>
      </c>
      <c r="Z12" s="2441">
        <f t="shared" si="9"/>
        <v>1.3588</v>
      </c>
      <c r="AA12" s="2441">
        <f>ROUND(IF(项目基本情况!B4="出让",SUMPRODUCT(PRODUCT(1+P12:P$41)),SUMPRODUCT(PRODUCT(1+P12:P$40))),4)</f>
        <v>1.7150000000000001</v>
      </c>
      <c r="AB12" s="2441">
        <f>ROUND(IF(项目基本情况!B4="出让",SUMPRODUCT(PRODUCT(1+Q12:Q$41)),SUMPRODUCT(PRODUCT(1+Q12:Q$40))),4)</f>
        <v>1.446</v>
      </c>
      <c r="AC12" s="2441"/>
      <c r="AD12" s="2442">
        <f>ROUND(AVERAGE(I12:I$41)/100,4)</f>
        <v>1.7600000000000001E-2</v>
      </c>
      <c r="AE12" s="2442">
        <f>ROUND(AVERAGE(J12:J$41)/100,4)</f>
        <v>1.11E-2</v>
      </c>
      <c r="AF12" s="2442">
        <f t="shared" si="10"/>
        <v>1.11E-2</v>
      </c>
      <c r="AG12" s="2442">
        <f>ROUND(AVERAGE(K12:K$41)/100,4)</f>
        <v>1.9400000000000001E-2</v>
      </c>
      <c r="AH12" s="2442">
        <f>ROUND(AVERAGE(L12:L$41)/100,4)</f>
        <v>1.2800000000000001E-2</v>
      </c>
    </row>
    <row r="13" spans="1:34" s="2450" customFormat="1">
      <c r="A13" s="2443" t="s">
        <v>2286</v>
      </c>
      <c r="B13" s="2444">
        <f t="shared" si="0"/>
        <v>497.92799851020823</v>
      </c>
      <c r="C13" s="2444">
        <f t="shared" si="1"/>
        <v>347.77173663537445</v>
      </c>
      <c r="D13" s="2444">
        <f t="shared" si="2"/>
        <v>347.77173663537445</v>
      </c>
      <c r="E13" s="2444">
        <f t="shared" si="3"/>
        <v>718.44695593258189</v>
      </c>
      <c r="F13" s="2444">
        <f t="shared" si="4"/>
        <v>329.12600580153247</v>
      </c>
      <c r="G13" s="2438">
        <v>2021</v>
      </c>
      <c r="H13" s="2445">
        <v>1</v>
      </c>
      <c r="I13" s="2420">
        <v>0.97</v>
      </c>
      <c r="J13" s="2420">
        <v>0.16</v>
      </c>
      <c r="K13" s="2420">
        <v>1.1100000000000001</v>
      </c>
      <c r="L13" s="2421">
        <v>0.36</v>
      </c>
      <c r="M13" s="2441"/>
      <c r="N13" s="2446">
        <f t="shared" si="5"/>
        <v>9.7000000000000003E-3</v>
      </c>
      <c r="O13" s="2442">
        <f t="shared" si="6"/>
        <v>1.6000000000000001E-3</v>
      </c>
      <c r="P13" s="2442">
        <f t="shared" si="7"/>
        <v>1.11E-2</v>
      </c>
      <c r="Q13" s="2442">
        <f t="shared" si="8"/>
        <v>3.5999999999999999E-3</v>
      </c>
      <c r="R13" s="2447"/>
      <c r="S13" s="2448">
        <f>B13/B14-1</f>
        <v>9.7000000000000419E-3</v>
      </c>
      <c r="T13" s="2449">
        <f>C13/C14-1</f>
        <v>1.6000000000000458E-3</v>
      </c>
      <c r="U13" s="2449">
        <f>E13/E14-1</f>
        <v>1.110000000000011E-2</v>
      </c>
      <c r="V13" s="2449">
        <f>F13/F14-1</f>
        <v>3.6000000000000476E-3</v>
      </c>
      <c r="W13" s="2441"/>
      <c r="X13" s="2441">
        <f>ROUND(IF(项目基本情况!B5="出让",SUMPRODUCT(PRODUCT(1+N13:N$41)),SUMPRODUCT(PRODUCT(1+N13:N$40))),4)</f>
        <v>1.619</v>
      </c>
      <c r="Y13" s="2441">
        <f>ROUND(IF(项目基本情况!B5="出让",SUMPRODUCT(PRODUCT(1+O13:O$41)),SUMPRODUCT(PRODUCT(1+O13:O$40))),4)</f>
        <v>1.3491</v>
      </c>
      <c r="Z13" s="2441">
        <f t="shared" si="9"/>
        <v>1.3491</v>
      </c>
      <c r="AA13" s="2441">
        <f>ROUND(IF(项目基本情况!B5="出让",SUMPRODUCT(PRODUCT(1+P13:P$41)),SUMPRODUCT(PRODUCT(1+P13:P$40))),4)</f>
        <v>1.6988000000000001</v>
      </c>
      <c r="AB13" s="2441">
        <f>ROUND(IF(项目基本情况!B5="出让",SUMPRODUCT(PRODUCT(1+Q13:Q$41)),SUMPRODUCT(PRODUCT(1+Q13:Q$40))),4)</f>
        <v>1.4315</v>
      </c>
      <c r="AC13" s="2441"/>
      <c r="AD13" s="2442">
        <f>ROUND(AVERAGE(I13:I$41)/100,4)</f>
        <v>1.7899999999999999E-2</v>
      </c>
      <c r="AE13" s="2442">
        <f>ROUND(AVERAGE(J13:J$41)/100,4)</f>
        <v>1.12E-2</v>
      </c>
      <c r="AF13" s="2442">
        <f t="shared" si="10"/>
        <v>1.12E-2</v>
      </c>
      <c r="AG13" s="2442">
        <f>ROUND(AVERAGE(K13:K$41)/100,4)</f>
        <v>1.9699999999999999E-2</v>
      </c>
      <c r="AH13" s="2442">
        <f>ROUND(AVERAGE(L13:L$41)/100,4)</f>
        <v>1.29E-2</v>
      </c>
    </row>
    <row r="14" spans="1:34" s="2450" customFormat="1">
      <c r="A14" s="2443" t="s">
        <v>2284</v>
      </c>
      <c r="B14" s="2444">
        <f t="shared" si="0"/>
        <v>493.14449689037161</v>
      </c>
      <c r="C14" s="2444">
        <f t="shared" si="1"/>
        <v>347.21619073020611</v>
      </c>
      <c r="D14" s="2444">
        <f t="shared" si="2"/>
        <v>347.21619073020611</v>
      </c>
      <c r="E14" s="2444">
        <f t="shared" si="3"/>
        <v>710.55974278763904</v>
      </c>
      <c r="F14" s="2444">
        <f t="shared" si="4"/>
        <v>327.94540235306141</v>
      </c>
      <c r="G14" s="2438">
        <v>2020</v>
      </c>
      <c r="H14" s="2445">
        <v>4</v>
      </c>
      <c r="I14" s="2420">
        <v>2.0699999999999998</v>
      </c>
      <c r="J14" s="2420">
        <v>0.37</v>
      </c>
      <c r="K14" s="2420">
        <v>2.35</v>
      </c>
      <c r="L14" s="2421">
        <v>2.69</v>
      </c>
      <c r="M14" s="2441"/>
      <c r="N14" s="2446">
        <f t="shared" si="5"/>
        <v>2.07E-2</v>
      </c>
      <c r="O14" s="2442">
        <f t="shared" si="6"/>
        <v>3.7000000000000002E-3</v>
      </c>
      <c r="P14" s="2442">
        <f t="shared" si="7"/>
        <v>2.35E-2</v>
      </c>
      <c r="Q14" s="2442">
        <f t="shared" si="8"/>
        <v>2.69E-2</v>
      </c>
      <c r="R14" s="2447"/>
      <c r="S14" s="2448"/>
      <c r="T14" s="2449"/>
      <c r="U14" s="2449"/>
      <c r="V14" s="2449"/>
      <c r="W14" s="2441"/>
      <c r="X14" s="2441">
        <f>ROUND(IF(项目基本情况!B6="出让",SUMPRODUCT(PRODUCT(1+N14:N$41)),SUMPRODUCT(PRODUCT(1+N14:N$40))),4)</f>
        <v>1.6034999999999999</v>
      </c>
      <c r="Y14" s="2441">
        <f>ROUND(IF(项目基本情况!B6="出让",SUMPRODUCT(PRODUCT(1+O14:O$41)),SUMPRODUCT(PRODUCT(1+O14:O$40))),4)</f>
        <v>1.3469</v>
      </c>
      <c r="Z14" s="2441">
        <f t="shared" si="9"/>
        <v>1.3469</v>
      </c>
      <c r="AA14" s="2441">
        <f>ROUND(IF(项目基本情况!B6="出让",SUMPRODUCT(PRODUCT(1+P14:P$41)),SUMPRODUCT(PRODUCT(1+P14:P$40))),4)</f>
        <v>1.6801999999999999</v>
      </c>
      <c r="AB14" s="2441">
        <f>ROUND(IF(项目基本情况!B6="出让",SUMPRODUCT(PRODUCT(1+Q14:Q$41)),SUMPRODUCT(PRODUCT(1+Q14:Q$40))),4)</f>
        <v>1.4263999999999999</v>
      </c>
      <c r="AC14" s="2441"/>
      <c r="AD14" s="2442">
        <f>ROUND(AVERAGE(I14:I$41)/100,4)</f>
        <v>1.8200000000000001E-2</v>
      </c>
      <c r="AE14" s="2442">
        <f>ROUND(AVERAGE(J14:J$41)/100,4)</f>
        <v>1.1599999999999999E-2</v>
      </c>
      <c r="AF14" s="2442">
        <f t="shared" si="10"/>
        <v>1.1599999999999999E-2</v>
      </c>
      <c r="AG14" s="2442">
        <f>ROUND(AVERAGE(K14:K$41)/100,4)</f>
        <v>0.02</v>
      </c>
      <c r="AH14" s="2442">
        <f>ROUND(AVERAGE(L14:L$41)/100,4)</f>
        <v>1.3299999999999999E-2</v>
      </c>
    </row>
    <row r="15" spans="1:34" s="2450" customFormat="1">
      <c r="A15" s="2443" t="s">
        <v>2283</v>
      </c>
      <c r="B15" s="2444">
        <f t="shared" si="0"/>
        <v>483.1434279321756</v>
      </c>
      <c r="C15" s="2444">
        <f t="shared" si="1"/>
        <v>345.93622669144776</v>
      </c>
      <c r="D15" s="2444">
        <f t="shared" si="2"/>
        <v>345.93622669144776</v>
      </c>
      <c r="E15" s="2444">
        <f t="shared" si="3"/>
        <v>694.24498562544113</v>
      </c>
      <c r="F15" s="2444">
        <f t="shared" si="4"/>
        <v>319.35475932716082</v>
      </c>
      <c r="G15" s="2438">
        <v>2020</v>
      </c>
      <c r="H15" s="2445">
        <v>3</v>
      </c>
      <c r="I15" s="2420">
        <v>0.36</v>
      </c>
      <c r="J15" s="2420">
        <v>-0.39</v>
      </c>
      <c r="K15" s="2420">
        <v>0.49</v>
      </c>
      <c r="L15" s="2421">
        <v>7.0000000000000007E-2</v>
      </c>
      <c r="M15" s="2441"/>
      <c r="N15" s="2446">
        <f t="shared" si="5"/>
        <v>3.5999999999999999E-3</v>
      </c>
      <c r="O15" s="2442">
        <f t="shared" si="6"/>
        <v>-3.9000000000000003E-3</v>
      </c>
      <c r="P15" s="2442">
        <f t="shared" si="7"/>
        <v>4.8999999999999998E-3</v>
      </c>
      <c r="Q15" s="2442">
        <f t="shared" si="8"/>
        <v>7.000000000000001E-4</v>
      </c>
      <c r="R15" s="2447"/>
      <c r="S15" s="2448"/>
      <c r="T15" s="2449"/>
      <c r="U15" s="2449"/>
      <c r="V15" s="2449"/>
      <c r="W15" s="2441"/>
      <c r="X15" s="2441">
        <f>ROUND(IF(项目基本情况!B7="出让",SUMPRODUCT(PRODUCT(1+N15:N$41)),SUMPRODUCT(PRODUCT(1+N15:N$40))),4)</f>
        <v>1.571</v>
      </c>
      <c r="Y15" s="2441">
        <f>ROUND(IF(项目基本情况!B7="出让",SUMPRODUCT(PRODUCT(1+O15:O$41)),SUMPRODUCT(PRODUCT(1+O15:O$40))),4)</f>
        <v>1.3420000000000001</v>
      </c>
      <c r="Z15" s="2441">
        <f t="shared" si="9"/>
        <v>1.3420000000000001</v>
      </c>
      <c r="AA15" s="2441">
        <f>ROUND(IF(项目基本情况!B7="出让",SUMPRODUCT(PRODUCT(1+P15:P$41)),SUMPRODUCT(PRODUCT(1+P15:P$40))),4)</f>
        <v>1.6415999999999999</v>
      </c>
      <c r="AB15" s="2441">
        <f>ROUND(IF(项目基本情况!B7="出让",SUMPRODUCT(PRODUCT(1+Q15:Q$41)),SUMPRODUCT(PRODUCT(1+Q15:Q$40))),4)</f>
        <v>1.389</v>
      </c>
      <c r="AC15" s="2441"/>
      <c r="AD15" s="2442">
        <f>ROUND(AVERAGE(I15:I$41)/100,4)</f>
        <v>1.8100000000000002E-2</v>
      </c>
      <c r="AE15" s="2442">
        <f>ROUND(AVERAGE(J15:J$41)/100,4)</f>
        <v>1.1900000000000001E-2</v>
      </c>
      <c r="AF15" s="2442">
        <f t="shared" si="10"/>
        <v>1.1900000000000001E-2</v>
      </c>
      <c r="AG15" s="2442">
        <f>ROUND(AVERAGE(K15:K$41)/100,4)</f>
        <v>1.9900000000000001E-2</v>
      </c>
      <c r="AH15" s="2442">
        <f>ROUND(AVERAGE(L15:L$41)/100,4)</f>
        <v>1.2800000000000001E-2</v>
      </c>
    </row>
    <row r="16" spans="1:34" s="2450" customFormat="1">
      <c r="A16" s="2443" t="s">
        <v>2248</v>
      </c>
      <c r="B16" s="2444">
        <f t="shared" si="0"/>
        <v>481.4103506697644</v>
      </c>
      <c r="C16" s="2444">
        <f t="shared" si="1"/>
        <v>347.29066026648707</v>
      </c>
      <c r="D16" s="2444">
        <f t="shared" si="2"/>
        <v>347.29066026648707</v>
      </c>
      <c r="E16" s="2444">
        <f t="shared" si="3"/>
        <v>690.85977273901995</v>
      </c>
      <c r="F16" s="2444">
        <f t="shared" si="4"/>
        <v>319.13136737000184</v>
      </c>
      <c r="G16" s="2438">
        <v>2020</v>
      </c>
      <c r="H16" s="2445">
        <v>2</v>
      </c>
      <c r="I16" s="2420">
        <v>0.31</v>
      </c>
      <c r="J16" s="2420">
        <v>-0.78</v>
      </c>
      <c r="K16" s="2420">
        <v>0.5</v>
      </c>
      <c r="L16" s="2421">
        <v>0.47</v>
      </c>
      <c r="M16" s="2441"/>
      <c r="N16" s="2446">
        <f t="shared" si="5"/>
        <v>3.0999999999999999E-3</v>
      </c>
      <c r="O16" s="2442">
        <f t="shared" si="6"/>
        <v>-7.8000000000000005E-3</v>
      </c>
      <c r="P16" s="2442">
        <f t="shared" si="7"/>
        <v>5.0000000000000001E-3</v>
      </c>
      <c r="Q16" s="2442">
        <f t="shared" si="8"/>
        <v>4.6999999999999993E-3</v>
      </c>
      <c r="R16" s="2447"/>
      <c r="S16" s="2448"/>
      <c r="T16" s="2449"/>
      <c r="U16" s="2449"/>
      <c r="V16" s="2449"/>
      <c r="W16" s="2441"/>
      <c r="X16" s="2441">
        <f>ROUND(IF(项目基本情况!B8="出让",SUMPRODUCT(PRODUCT(1+N16:N$41)),SUMPRODUCT(PRODUCT(1+N16:N$40))),4)</f>
        <v>1.5652999999999999</v>
      </c>
      <c r="Y16" s="2441">
        <f>ROUND(IF(项目基本情况!B8="出让",SUMPRODUCT(PRODUCT(1+O16:O$41)),SUMPRODUCT(PRODUCT(1+O16:O$40))),4)</f>
        <v>1.3472</v>
      </c>
      <c r="Z16" s="2441">
        <f t="shared" si="9"/>
        <v>1.3472</v>
      </c>
      <c r="AA16" s="2441">
        <f>ROUND(IF(项目基本情况!B8="出让",SUMPRODUCT(PRODUCT(1+P16:P$41)),SUMPRODUCT(PRODUCT(1+P16:P$40))),4)</f>
        <v>1.6335999999999999</v>
      </c>
      <c r="AB16" s="2441">
        <f>ROUND(IF(项目基本情况!B8="出让",SUMPRODUCT(PRODUCT(1+Q16:Q$41)),SUMPRODUCT(PRODUCT(1+Q16:Q$40))),4)</f>
        <v>1.3880999999999999</v>
      </c>
      <c r="AC16" s="2441"/>
      <c r="AD16" s="2442">
        <f>ROUND(AVERAGE(I16:I$41)/100,4)</f>
        <v>1.8599999999999998E-2</v>
      </c>
      <c r="AE16" s="2442">
        <f>ROUND(AVERAGE(J16:J$41)/100,4)</f>
        <v>1.2500000000000001E-2</v>
      </c>
      <c r="AF16" s="2442">
        <f t="shared" si="10"/>
        <v>1.2500000000000001E-2</v>
      </c>
      <c r="AG16" s="2442">
        <f>ROUND(AVERAGE(K16:K$41)/100,4)</f>
        <v>2.0400000000000001E-2</v>
      </c>
      <c r="AH16" s="2442">
        <f>ROUND(AVERAGE(L16:L$41)/100,4)</f>
        <v>1.32E-2</v>
      </c>
    </row>
    <row r="17" spans="1:34" s="2450" customFormat="1">
      <c r="A17" s="2443" t="s">
        <v>2246</v>
      </c>
      <c r="B17" s="2444">
        <f t="shared" si="0"/>
        <v>479.92259063878413</v>
      </c>
      <c r="C17" s="2444">
        <f t="shared" si="1"/>
        <v>350.02082268341775</v>
      </c>
      <c r="D17" s="2444">
        <f t="shared" si="2"/>
        <v>350.02082268341775</v>
      </c>
      <c r="E17" s="2444">
        <f t="shared" si="3"/>
        <v>687.42265944181099</v>
      </c>
      <c r="F17" s="2444">
        <f t="shared" si="4"/>
        <v>317.63846657708956</v>
      </c>
      <c r="G17" s="2438">
        <v>2020</v>
      </c>
      <c r="H17" s="2445">
        <v>1</v>
      </c>
      <c r="I17" s="2420">
        <v>0.12</v>
      </c>
      <c r="J17" s="2420">
        <v>-0.4</v>
      </c>
      <c r="K17" s="2420">
        <v>0.21</v>
      </c>
      <c r="L17" s="2421">
        <v>0.27</v>
      </c>
      <c r="M17" s="2441"/>
      <c r="N17" s="2446">
        <f t="shared" si="5"/>
        <v>1.1999999999999999E-3</v>
      </c>
      <c r="O17" s="2442">
        <f t="shared" si="6"/>
        <v>-4.0000000000000001E-3</v>
      </c>
      <c r="P17" s="2442">
        <f t="shared" si="7"/>
        <v>2.0999999999999999E-3</v>
      </c>
      <c r="Q17" s="2442">
        <f t="shared" si="8"/>
        <v>2.7000000000000001E-3</v>
      </c>
      <c r="R17" s="2447"/>
      <c r="S17" s="2448">
        <f>B17/B18-1</f>
        <v>1.2000000000000899E-3</v>
      </c>
      <c r="T17" s="2449">
        <f>C17/C18-1</f>
        <v>-4.0000000000000036E-3</v>
      </c>
      <c r="U17" s="2449">
        <f>E17/E18-1</f>
        <v>2.0999999999999908E-3</v>
      </c>
      <c r="V17" s="2449">
        <f>F17/F18-1</f>
        <v>2.6999999999999247E-3</v>
      </c>
      <c r="W17" s="2441"/>
      <c r="X17" s="2441">
        <f>ROUND(IF(项目基本情况!B8="出让",SUMPRODUCT(PRODUCT(1+N17:N$41)),SUMPRODUCT(PRODUCT(1+N17:N$40))),4)</f>
        <v>1.5605</v>
      </c>
      <c r="Y17" s="2441">
        <f>ROUND(IF(项目基本情况!B8="出让",SUMPRODUCT(PRODUCT(1+O17:O$41)),SUMPRODUCT(PRODUCT(1+O17:O$40))),4)</f>
        <v>1.3577999999999999</v>
      </c>
      <c r="Z17" s="2441">
        <f t="shared" si="9"/>
        <v>1.3577999999999999</v>
      </c>
      <c r="AA17" s="2441">
        <f>ROUND(IF(项目基本情况!B8="出让",SUMPRODUCT(PRODUCT(1+P17:P$41)),SUMPRODUCT(PRODUCT(1+P17:P$40))),4)</f>
        <v>1.6254999999999999</v>
      </c>
      <c r="AB17" s="2441">
        <f>ROUND(IF(项目基本情况!B8="出让",SUMPRODUCT(PRODUCT(1+Q17:Q$41)),SUMPRODUCT(PRODUCT(1+Q17:Q$40))),4)</f>
        <v>1.3815999999999999</v>
      </c>
      <c r="AC17" s="2441"/>
      <c r="AD17" s="2442">
        <f>ROUND(AVERAGE(I17:I$41)/100,4)</f>
        <v>1.9199999999999998E-2</v>
      </c>
      <c r="AE17" s="2442">
        <f>ROUND(AVERAGE(J17:J$41)/100,4)</f>
        <v>1.3299999999999999E-2</v>
      </c>
      <c r="AF17" s="2442">
        <f t="shared" si="10"/>
        <v>1.3299999999999999E-2</v>
      </c>
      <c r="AG17" s="2442">
        <f>ROUND(AVERAGE(K17:K$41)/100,4)</f>
        <v>2.1100000000000001E-2</v>
      </c>
      <c r="AH17" s="2442">
        <f>ROUND(AVERAGE(L17:L$41)/100,4)</f>
        <v>1.3599999999999999E-2</v>
      </c>
    </row>
    <row r="18" spans="1:34" s="2450" customFormat="1">
      <c r="A18" s="2443" t="s">
        <v>2244</v>
      </c>
      <c r="B18" s="2444">
        <f t="shared" si="0"/>
        <v>479.34737379023579</v>
      </c>
      <c r="C18" s="2444">
        <f t="shared" si="1"/>
        <v>351.4265287986122</v>
      </c>
      <c r="D18" s="2444">
        <f t="shared" si="2"/>
        <v>351.4265287986122</v>
      </c>
      <c r="E18" s="2444">
        <f t="shared" si="3"/>
        <v>685.98209703803116</v>
      </c>
      <c r="F18" s="2444">
        <f t="shared" si="4"/>
        <v>316.78315206651001</v>
      </c>
      <c r="G18" s="2438">
        <v>2019</v>
      </c>
      <c r="H18" s="2445">
        <v>4</v>
      </c>
      <c r="I18" s="2445">
        <v>0.45</v>
      </c>
      <c r="J18" s="2445">
        <v>-0.12</v>
      </c>
      <c r="K18" s="2445">
        <v>0.54</v>
      </c>
      <c r="L18" s="2451">
        <v>0.48</v>
      </c>
      <c r="M18" s="2441"/>
      <c r="N18" s="2446">
        <f t="shared" si="5"/>
        <v>4.5000000000000005E-3</v>
      </c>
      <c r="O18" s="2442">
        <f t="shared" si="6"/>
        <v>-1.1999999999999999E-3</v>
      </c>
      <c r="P18" s="2442">
        <f t="shared" si="7"/>
        <v>5.4000000000000003E-3</v>
      </c>
      <c r="Q18" s="2442">
        <f t="shared" si="8"/>
        <v>4.7999999999999996E-3</v>
      </c>
      <c r="R18" s="2447"/>
      <c r="S18" s="2448"/>
      <c r="T18" s="2449"/>
      <c r="U18" s="2449"/>
      <c r="V18" s="2449"/>
      <c r="W18" s="2441"/>
      <c r="X18" s="2441">
        <f>ROUND(IF(项目基本情况!B8="出让",SUMPRODUCT(PRODUCT(1+N18:N$41)),SUMPRODUCT(PRODUCT(1+N18:N$40))),4)</f>
        <v>1.5586</v>
      </c>
      <c r="Y18" s="2441">
        <f>ROUND(IF(项目基本情况!B8="出让",SUMPRODUCT(PRODUCT(1+O18:O$41)),SUMPRODUCT(PRODUCT(1+O18:O$40))),4)</f>
        <v>1.3633</v>
      </c>
      <c r="Z18" s="2441">
        <f t="shared" si="9"/>
        <v>1.3633</v>
      </c>
      <c r="AA18" s="2441">
        <f>ROUND(IF(项目基本情况!B8="出让",SUMPRODUCT(PRODUCT(1+P18:P$41)),SUMPRODUCT(PRODUCT(1+P18:P$40))),4)</f>
        <v>1.6221000000000001</v>
      </c>
      <c r="AB18" s="2441">
        <f>ROUND(IF(项目基本情况!B8="出让",SUMPRODUCT(PRODUCT(1+Q18:Q$41)),SUMPRODUCT(PRODUCT(1+Q18:Q$40))),4)</f>
        <v>1.3777999999999999</v>
      </c>
      <c r="AC18" s="2441"/>
      <c r="AD18" s="2442">
        <f>ROUND(AVERAGE(I18:I$41)/100,4)</f>
        <v>0.02</v>
      </c>
      <c r="AE18" s="2442">
        <f>ROUND(AVERAGE(J18:J$41)/100,4)</f>
        <v>1.4E-2</v>
      </c>
      <c r="AF18" s="2442">
        <f t="shared" si="10"/>
        <v>1.4E-2</v>
      </c>
      <c r="AG18" s="2442">
        <f>ROUND(AVERAGE(K18:K$41)/100,4)</f>
        <v>2.1899999999999999E-2</v>
      </c>
      <c r="AH18" s="2442">
        <f>ROUND(AVERAGE(L18:L$41)/100,4)</f>
        <v>1.4E-2</v>
      </c>
    </row>
    <row r="19" spans="1:34" s="2450" customFormat="1" ht="13.5" thickBot="1">
      <c r="A19" s="2443" t="s">
        <v>2243</v>
      </c>
      <c r="B19" s="2444">
        <f t="shared" si="0"/>
        <v>477.19997390765138</v>
      </c>
      <c r="C19" s="2444">
        <f t="shared" si="1"/>
        <v>351.84874729536665</v>
      </c>
      <c r="D19" s="2444">
        <f t="shared" si="2"/>
        <v>351.84874729536665</v>
      </c>
      <c r="E19" s="2444">
        <f t="shared" si="3"/>
        <v>682.29768951465201</v>
      </c>
      <c r="F19" s="2444">
        <f t="shared" si="4"/>
        <v>315.26985675409043</v>
      </c>
      <c r="G19" s="2438">
        <v>2019</v>
      </c>
      <c r="H19" s="2445">
        <v>3</v>
      </c>
      <c r="I19" s="2445">
        <v>0.61</v>
      </c>
      <c r="J19" s="2445">
        <v>0.67</v>
      </c>
      <c r="K19" s="2445">
        <v>0.6</v>
      </c>
      <c r="L19" s="2451">
        <v>1.03</v>
      </c>
      <c r="M19" s="2441"/>
      <c r="N19" s="2446">
        <f t="shared" si="5"/>
        <v>6.0999999999999995E-3</v>
      </c>
      <c r="O19" s="2442">
        <f t="shared" si="6"/>
        <v>6.7000000000000002E-3</v>
      </c>
      <c r="P19" s="2442">
        <f t="shared" si="7"/>
        <v>6.0000000000000001E-3</v>
      </c>
      <c r="Q19" s="2442">
        <f t="shared" si="8"/>
        <v>1.03E-2</v>
      </c>
      <c r="R19" s="2447"/>
      <c r="S19" s="2448"/>
      <c r="T19" s="2449"/>
      <c r="U19" s="2449"/>
      <c r="V19" s="2449"/>
      <c r="W19" s="2441"/>
      <c r="X19" s="2441">
        <f>ROUND(IF(项目基本情况!B8="出让",SUMPRODUCT(PRODUCT(1+N19:N$41)),SUMPRODUCT(PRODUCT(1+N19:N$40))),4)</f>
        <v>1.5516000000000001</v>
      </c>
      <c r="Y19" s="2441">
        <f>ROUND(IF(项目基本情况!B8="出让",SUMPRODUCT(PRODUCT(1+O19:O$41)),SUMPRODUCT(PRODUCT(1+O19:O$40))),4)</f>
        <v>1.3649</v>
      </c>
      <c r="Z19" s="2441">
        <f t="shared" si="9"/>
        <v>1.3649</v>
      </c>
      <c r="AA19" s="2441">
        <f>ROUND(IF(项目基本情况!B8="出让",SUMPRODUCT(PRODUCT(1+P19:P$41)),SUMPRODUCT(PRODUCT(1+P19:P$40))),4)</f>
        <v>1.6133999999999999</v>
      </c>
      <c r="AB19" s="2441">
        <f>ROUND(IF(项目基本情况!B8="出让",SUMPRODUCT(PRODUCT(1+Q19:Q$41)),SUMPRODUCT(PRODUCT(1+Q19:Q$40))),4)</f>
        <v>1.3713</v>
      </c>
      <c r="AC19" s="2441"/>
      <c r="AD19" s="2442">
        <f>ROUND(AVERAGE(I19:I$41)/100,4)</f>
        <v>2.07E-2</v>
      </c>
      <c r="AE19" s="2442">
        <f>ROUND(AVERAGE(J19:J$41)/100,4)</f>
        <v>1.47E-2</v>
      </c>
      <c r="AF19" s="2442">
        <f t="shared" si="10"/>
        <v>1.47E-2</v>
      </c>
      <c r="AG19" s="2442">
        <f>ROUND(AVERAGE(K19:K$41)/100,4)</f>
        <v>2.2599999999999999E-2</v>
      </c>
      <c r="AH19" s="2442">
        <f>ROUND(AVERAGE(L19:L$41)/100,4)</f>
        <v>1.44E-2</v>
      </c>
    </row>
    <row r="20" spans="1:34" s="2450" customFormat="1">
      <c r="A20" s="2443" t="s">
        <v>2241</v>
      </c>
      <c r="B20" s="2444">
        <f t="shared" ref="B20:B25" si="11">B21*(1+N20)</f>
        <v>474.30670301923408</v>
      </c>
      <c r="C20" s="2444">
        <f t="shared" ref="C20:C25" si="12">C21*(1+O20)</f>
        <v>349.50705005996491</v>
      </c>
      <c r="D20" s="2444">
        <f t="shared" si="2"/>
        <v>349.50705005996491</v>
      </c>
      <c r="E20" s="2444">
        <f t="shared" si="3"/>
        <v>678.22831959706957</v>
      </c>
      <c r="F20" s="2444">
        <f t="shared" si="4"/>
        <v>312.0556832169558</v>
      </c>
      <c r="G20" s="2438">
        <v>2019</v>
      </c>
      <c r="H20" s="2452">
        <v>2</v>
      </c>
      <c r="I20" s="2452">
        <v>1.53</v>
      </c>
      <c r="J20" s="2452">
        <v>1.01</v>
      </c>
      <c r="K20" s="2452">
        <v>1.62</v>
      </c>
      <c r="L20" s="2453">
        <v>1.25</v>
      </c>
      <c r="M20" s="2441"/>
      <c r="N20" s="2446">
        <f t="shared" si="5"/>
        <v>1.5300000000000001E-2</v>
      </c>
      <c r="O20" s="2442">
        <f t="shared" si="6"/>
        <v>1.01E-2</v>
      </c>
      <c r="P20" s="2442">
        <f t="shared" si="7"/>
        <v>1.6200000000000003E-2</v>
      </c>
      <c r="Q20" s="2442">
        <f t="shared" si="8"/>
        <v>1.2500000000000001E-2</v>
      </c>
      <c r="R20" s="2447"/>
      <c r="S20" s="2448"/>
      <c r="T20" s="2449"/>
      <c r="U20" s="2449"/>
      <c r="V20" s="2449"/>
      <c r="W20" s="2441"/>
      <c r="X20" s="2441">
        <f>ROUND(IF(项目基本情况!B8="出让",SUMPRODUCT(PRODUCT(1+N20:N$41)),SUMPRODUCT(PRODUCT(1+N20:N$40))),4)</f>
        <v>1.5422</v>
      </c>
      <c r="Y20" s="2441">
        <f>ROUND(IF(项目基本情况!B8="出让",SUMPRODUCT(PRODUCT(1+O20:O$41)),SUMPRODUCT(PRODUCT(1+O20:O$40))),4)</f>
        <v>1.3557999999999999</v>
      </c>
      <c r="Z20" s="2441">
        <f t="shared" si="9"/>
        <v>1.3557999999999999</v>
      </c>
      <c r="AA20" s="2441">
        <f>ROUND(IF(项目基本情况!B8="出让",SUMPRODUCT(PRODUCT(1+P20:P$41)),SUMPRODUCT(PRODUCT(1+P20:P$40))),4)</f>
        <v>1.6036999999999999</v>
      </c>
      <c r="AB20" s="2441">
        <f>ROUND(IF(项目基本情况!B8="出让",SUMPRODUCT(PRODUCT(1+Q20:Q$41)),SUMPRODUCT(PRODUCT(1+Q20:Q$40))),4)</f>
        <v>1.3573</v>
      </c>
      <c r="AC20" s="2441"/>
      <c r="AD20" s="2442">
        <f>ROUND(AVERAGE(I20:I$41)/100,4)</f>
        <v>2.1299999999999999E-2</v>
      </c>
      <c r="AE20" s="2442">
        <f>ROUND(AVERAGE(J20:J$41)/100,4)</f>
        <v>1.4999999999999999E-2</v>
      </c>
      <c r="AF20" s="2442">
        <f t="shared" si="10"/>
        <v>1.4999999999999999E-2</v>
      </c>
      <c r="AG20" s="2442">
        <f>ROUND(AVERAGE(K20:K$41)/100,4)</f>
        <v>2.3300000000000001E-2</v>
      </c>
      <c r="AH20" s="2442">
        <f>ROUND(AVERAGE(L20:L$41)/100,4)</f>
        <v>1.46E-2</v>
      </c>
    </row>
    <row r="21" spans="1:34" s="2450" customFormat="1" ht="13.5" thickBot="1">
      <c r="A21" s="2443" t="s">
        <v>2240</v>
      </c>
      <c r="B21" s="2444">
        <f t="shared" si="11"/>
        <v>467.15916775261894</v>
      </c>
      <c r="C21" s="2444">
        <f t="shared" si="12"/>
        <v>346.01232557169084</v>
      </c>
      <c r="D21" s="2444">
        <f t="shared" si="2"/>
        <v>346.01232557169084</v>
      </c>
      <c r="E21" s="2444">
        <f t="shared" si="3"/>
        <v>667.41617752122568</v>
      </c>
      <c r="F21" s="2444">
        <f t="shared" si="4"/>
        <v>308.20314391798104</v>
      </c>
      <c r="G21" s="2438">
        <v>2019</v>
      </c>
      <c r="H21" s="2445">
        <v>1</v>
      </c>
      <c r="I21" s="2445">
        <v>0.6</v>
      </c>
      <c r="J21" s="2445">
        <v>0.37</v>
      </c>
      <c r="K21" s="2445">
        <v>0.63</v>
      </c>
      <c r="L21" s="2451">
        <v>1.1299999999999999</v>
      </c>
      <c r="M21" s="2441"/>
      <c r="N21" s="2446">
        <f t="shared" si="5"/>
        <v>6.0000000000000001E-3</v>
      </c>
      <c r="O21" s="2442">
        <f t="shared" si="6"/>
        <v>3.7000000000000002E-3</v>
      </c>
      <c r="P21" s="2442">
        <f t="shared" si="7"/>
        <v>6.3E-3</v>
      </c>
      <c r="Q21" s="2442">
        <f t="shared" si="8"/>
        <v>1.1299999999999999E-2</v>
      </c>
      <c r="R21" s="2447"/>
      <c r="S21" s="2448">
        <f>B21/B22-1</f>
        <v>6.0000000000000053E-3</v>
      </c>
      <c r="T21" s="2449">
        <f>C21/C22-1</f>
        <v>3.7000000000000366E-3</v>
      </c>
      <c r="U21" s="2449">
        <f>E21/E22-1</f>
        <v>6.2999999999999723E-3</v>
      </c>
      <c r="V21" s="2449">
        <f>F21/F22-1</f>
        <v>1.1300000000000088E-2</v>
      </c>
      <c r="W21" s="2441"/>
      <c r="X21" s="2441">
        <f>ROUND(IF(项目基本情况!B8="出让",SUMPRODUCT(PRODUCT(1+N21:N$41)),SUMPRODUCT(PRODUCT(1+N21:N$40))),4)</f>
        <v>1.5189999999999999</v>
      </c>
      <c r="Y21" s="2441">
        <f>ROUND(IF(项目基本情况!B8="出让",SUMPRODUCT(PRODUCT(1+O21:O$41)),SUMPRODUCT(PRODUCT(1+O21:O$40))),4)</f>
        <v>1.3423</v>
      </c>
      <c r="Z21" s="2441">
        <f t="shared" si="9"/>
        <v>1.3423</v>
      </c>
      <c r="AA21" s="2441">
        <f>ROUND(IF(项目基本情况!B8="出让",SUMPRODUCT(PRODUCT(1+P21:P$41)),SUMPRODUCT(PRODUCT(1+P21:P$40))),4)</f>
        <v>1.5782</v>
      </c>
      <c r="AB21" s="2441">
        <f>ROUND(IF(项目基本情况!B8="出让",SUMPRODUCT(PRODUCT(1+Q21:Q$41)),SUMPRODUCT(PRODUCT(1+Q21:Q$40))),4)</f>
        <v>1.3405</v>
      </c>
      <c r="AC21" s="2441"/>
      <c r="AD21" s="2442">
        <f>ROUND(AVERAGE(I21:I$41)/100,4)</f>
        <v>2.1600000000000001E-2</v>
      </c>
      <c r="AE21" s="2442">
        <f>ROUND(AVERAGE(J21:J$41)/100,4)</f>
        <v>1.5299999999999999E-2</v>
      </c>
      <c r="AF21" s="2442">
        <f t="shared" si="10"/>
        <v>1.5299999999999999E-2</v>
      </c>
      <c r="AG21" s="2442">
        <f>ROUND(AVERAGE(K21:K$41)/100,4)</f>
        <v>2.3699999999999999E-2</v>
      </c>
      <c r="AH21" s="2442">
        <f>ROUND(AVERAGE(L21:L$41)/100,4)</f>
        <v>1.47E-2</v>
      </c>
    </row>
    <row r="22" spans="1:34" s="2450" customFormat="1">
      <c r="A22" s="2443" t="s">
        <v>2239</v>
      </c>
      <c r="B22" s="2454">
        <f t="shared" si="11"/>
        <v>464.37293017158942</v>
      </c>
      <c r="C22" s="2454">
        <f t="shared" si="12"/>
        <v>344.73679941385956</v>
      </c>
      <c r="D22" s="2454">
        <f t="shared" si="2"/>
        <v>344.73679941385956</v>
      </c>
      <c r="E22" s="2454">
        <f t="shared" si="3"/>
        <v>663.2377795103107</v>
      </c>
      <c r="F22" s="2455">
        <f t="shared" si="4"/>
        <v>304.75936311478398</v>
      </c>
      <c r="G22" s="3672">
        <v>2018</v>
      </c>
      <c r="H22" s="2452">
        <v>4</v>
      </c>
      <c r="I22" s="2452">
        <v>0.96</v>
      </c>
      <c r="J22" s="2452">
        <v>1.03</v>
      </c>
      <c r="K22" s="2452">
        <v>0.92</v>
      </c>
      <c r="L22" s="2453">
        <v>1.29</v>
      </c>
      <c r="M22" s="2441"/>
      <c r="N22" s="2446">
        <f t="shared" si="5"/>
        <v>9.5999999999999992E-3</v>
      </c>
      <c r="O22" s="2442">
        <f t="shared" si="6"/>
        <v>1.03E-2</v>
      </c>
      <c r="P22" s="2442">
        <f t="shared" si="7"/>
        <v>9.1999999999999998E-3</v>
      </c>
      <c r="Q22" s="2442">
        <f t="shared" si="8"/>
        <v>1.29E-2</v>
      </c>
      <c r="R22" s="2447"/>
      <c r="S22" s="2456"/>
      <c r="T22" s="2457"/>
      <c r="U22" s="2457"/>
      <c r="V22" s="2457"/>
      <c r="W22" s="2441"/>
      <c r="X22" s="2441">
        <f>ROUND(SUMPRODUCT(PRODUCT(1+N22:N$40)),4)</f>
        <v>1.5099</v>
      </c>
      <c r="Y22" s="2441">
        <f>ROUND(SUMPRODUCT(PRODUCT(1+O22:O$40)),4)</f>
        <v>1.3372999999999999</v>
      </c>
      <c r="Z22" s="2441">
        <f t="shared" si="9"/>
        <v>1.3372999999999999</v>
      </c>
      <c r="AA22" s="2441">
        <f>ROUND(SUMPRODUCT(PRODUCT(1+P22:P$40)),4)</f>
        <v>1.5683</v>
      </c>
      <c r="AB22" s="2441">
        <f>ROUND(SUMPRODUCT(PRODUCT(1+Q22:Q$40)),4)</f>
        <v>1.3255999999999999</v>
      </c>
      <c r="AC22" s="2441"/>
      <c r="AD22" s="2442">
        <f>ROUND(AVERAGE(I22:I$41)/100,4)</f>
        <v>2.24E-2</v>
      </c>
      <c r="AE22" s="2442">
        <f>ROUND(AVERAGE(J22:J$41)/100,4)</f>
        <v>1.5800000000000002E-2</v>
      </c>
      <c r="AF22" s="2442">
        <f t="shared" si="10"/>
        <v>1.5800000000000002E-2</v>
      </c>
      <c r="AG22" s="2442">
        <f>ROUND(AVERAGE(K22:K$41)/100,4)</f>
        <v>2.4500000000000001E-2</v>
      </c>
      <c r="AH22" s="2442">
        <f>ROUND(AVERAGE(L22:L$41)/100,4)</f>
        <v>1.49E-2</v>
      </c>
    </row>
    <row r="23" spans="1:34" s="2450" customFormat="1" ht="14.45" customHeight="1">
      <c r="A23" s="2443" t="s">
        <v>2232</v>
      </c>
      <c r="B23" s="2444">
        <f t="shared" si="11"/>
        <v>459.95733971036987</v>
      </c>
      <c r="C23" s="2444">
        <f t="shared" si="12"/>
        <v>341.22221064422405</v>
      </c>
      <c r="D23" s="2444">
        <f t="shared" si="2"/>
        <v>341.22221064422405</v>
      </c>
      <c r="E23" s="2444">
        <f t="shared" si="3"/>
        <v>657.19161663724799</v>
      </c>
      <c r="F23" s="2444">
        <f t="shared" si="4"/>
        <v>300.87803644464805</v>
      </c>
      <c r="G23" s="3672"/>
      <c r="H23" s="2445">
        <v>3</v>
      </c>
      <c r="I23" s="2445">
        <v>1.51</v>
      </c>
      <c r="J23" s="2445">
        <v>1.41</v>
      </c>
      <c r="K23" s="2445">
        <v>1.52</v>
      </c>
      <c r="L23" s="2451">
        <v>1.74</v>
      </c>
      <c r="M23" s="2441"/>
      <c r="N23" s="2446">
        <f t="shared" si="5"/>
        <v>1.5100000000000001E-2</v>
      </c>
      <c r="O23" s="2442">
        <f t="shared" si="6"/>
        <v>1.41E-2</v>
      </c>
      <c r="P23" s="2442">
        <f t="shared" si="7"/>
        <v>1.52E-2</v>
      </c>
      <c r="Q23" s="2442">
        <f t="shared" si="8"/>
        <v>1.7399999999999999E-2</v>
      </c>
      <c r="R23" s="2447"/>
      <c r="S23" s="2446"/>
      <c r="T23" s="2442"/>
      <c r="U23" s="2442"/>
      <c r="V23" s="2442"/>
      <c r="W23" s="2441"/>
      <c r="X23" s="2441">
        <f>ROUND(SUMPRODUCT(PRODUCT(1+N23:N$40)),4)</f>
        <v>1.4956</v>
      </c>
      <c r="Y23" s="2441">
        <f>ROUND(SUMPRODUCT(PRODUCT(1+O23:O$40)),4)</f>
        <v>1.3237000000000001</v>
      </c>
      <c r="Z23" s="2441">
        <f t="shared" si="9"/>
        <v>1.3237000000000001</v>
      </c>
      <c r="AA23" s="2441">
        <f>ROUND(SUMPRODUCT(PRODUCT(1+P23:P$40)),4)</f>
        <v>1.554</v>
      </c>
      <c r="AB23" s="2441">
        <f>ROUND(SUMPRODUCT(PRODUCT(1+Q23:Q$40)),4)</f>
        <v>1.3087</v>
      </c>
      <c r="AC23" s="2441"/>
      <c r="AD23" s="2442">
        <f>ROUND(AVERAGE(I23:I$41)/100,4)</f>
        <v>2.3099999999999999E-2</v>
      </c>
      <c r="AE23" s="2442">
        <f>ROUND(AVERAGE(J23:J$41)/100,4)</f>
        <v>1.61E-2</v>
      </c>
      <c r="AF23" s="2442">
        <f t="shared" si="10"/>
        <v>1.61E-2</v>
      </c>
      <c r="AG23" s="2442">
        <f>ROUND(AVERAGE(K23:K$41)/100,4)</f>
        <v>2.53E-2</v>
      </c>
      <c r="AH23" s="2442">
        <f>ROUND(AVERAGE(L23:L$41)/100,4)</f>
        <v>1.4999999999999999E-2</v>
      </c>
    </row>
    <row r="24" spans="1:34" s="2450" customFormat="1" ht="14.45" customHeight="1">
      <c r="A24" s="2443" t="s">
        <v>2233</v>
      </c>
      <c r="B24" s="2444">
        <f t="shared" si="11"/>
        <v>453.11529869999993</v>
      </c>
      <c r="C24" s="2444">
        <f t="shared" si="12"/>
        <v>336.47787264000004</v>
      </c>
      <c r="D24" s="2444">
        <f t="shared" si="2"/>
        <v>336.47787264000004</v>
      </c>
      <c r="E24" s="2444">
        <f t="shared" si="3"/>
        <v>647.35186823999993</v>
      </c>
      <c r="F24" s="2444">
        <f t="shared" si="4"/>
        <v>295.73229452000004</v>
      </c>
      <c r="G24" s="3672"/>
      <c r="H24" s="2458">
        <v>2</v>
      </c>
      <c r="I24" s="2458">
        <v>1.49</v>
      </c>
      <c r="J24" s="2458">
        <v>0.96</v>
      </c>
      <c r="K24" s="2458">
        <v>1.58</v>
      </c>
      <c r="L24" s="2459">
        <v>2.44</v>
      </c>
      <c r="M24" s="2441"/>
      <c r="N24" s="2446">
        <f t="shared" si="5"/>
        <v>1.49E-2</v>
      </c>
      <c r="O24" s="2442">
        <f t="shared" si="6"/>
        <v>9.5999999999999992E-3</v>
      </c>
      <c r="P24" s="2442">
        <f t="shared" si="7"/>
        <v>1.5800000000000002E-2</v>
      </c>
      <c r="Q24" s="2442">
        <f t="shared" si="8"/>
        <v>2.4399999999999998E-2</v>
      </c>
      <c r="R24" s="2447"/>
      <c r="S24" s="2446"/>
      <c r="T24" s="2442"/>
      <c r="U24" s="2442"/>
      <c r="V24" s="2442"/>
      <c r="W24" s="2441"/>
      <c r="X24" s="2441">
        <f>ROUND(SUMPRODUCT(PRODUCT(1+N24:N$40)),4)</f>
        <v>1.4733000000000001</v>
      </c>
      <c r="Y24" s="2441">
        <f>ROUND(SUMPRODUCT(PRODUCT(1+O24:O$40)),4)</f>
        <v>1.3052999999999999</v>
      </c>
      <c r="Z24" s="2441">
        <f t="shared" si="9"/>
        <v>1.3052999999999999</v>
      </c>
      <c r="AA24" s="2441">
        <f>ROUND(SUMPRODUCT(PRODUCT(1+P24:P$40)),4)</f>
        <v>1.5306999999999999</v>
      </c>
      <c r="AB24" s="2441">
        <f>ROUND(SUMPRODUCT(PRODUCT(1+Q24:Q$40)),4)</f>
        <v>1.2863</v>
      </c>
      <c r="AC24" s="2441"/>
      <c r="AD24" s="2442">
        <f>ROUND(AVERAGE(I24:I$41)/100,4)</f>
        <v>2.35E-2</v>
      </c>
      <c r="AE24" s="2442">
        <f>ROUND(AVERAGE(J24:J$41)/100,4)</f>
        <v>1.6199999999999999E-2</v>
      </c>
      <c r="AF24" s="2442">
        <f t="shared" si="10"/>
        <v>1.6199999999999999E-2</v>
      </c>
      <c r="AG24" s="2442">
        <f>ROUND(AVERAGE(K24:K$41)/100,4)</f>
        <v>2.5899999999999999E-2</v>
      </c>
      <c r="AH24" s="2442">
        <f>ROUND(AVERAGE(L24:L$41)/100,4)</f>
        <v>1.49E-2</v>
      </c>
    </row>
    <row r="25" spans="1:34" s="2450" customFormat="1" ht="15" customHeight="1" thickBot="1">
      <c r="A25" s="2443" t="s">
        <v>2229</v>
      </c>
      <c r="B25" s="2444">
        <f t="shared" si="11"/>
        <v>446.46299999999997</v>
      </c>
      <c r="C25" s="2444">
        <f t="shared" si="12"/>
        <v>333.27840000000003</v>
      </c>
      <c r="D25" s="2444">
        <f t="shared" ref="D25:D30" si="13">C25</f>
        <v>333.27840000000003</v>
      </c>
      <c r="E25" s="2444">
        <f t="shared" si="3"/>
        <v>637.28279999999995</v>
      </c>
      <c r="F25" s="2444">
        <f t="shared" si="4"/>
        <v>288.68830000000003</v>
      </c>
      <c r="G25" s="3678"/>
      <c r="H25" s="2445">
        <v>1</v>
      </c>
      <c r="I25" s="2445">
        <v>1.7</v>
      </c>
      <c r="J25" s="2445">
        <v>1.92</v>
      </c>
      <c r="K25" s="2445">
        <v>1.64</v>
      </c>
      <c r="L25" s="2451">
        <v>2.0099999999999998</v>
      </c>
      <c r="M25" s="2441"/>
      <c r="N25" s="2446">
        <f t="shared" ref="N25:N30" si="14">I25/100</f>
        <v>1.7000000000000001E-2</v>
      </c>
      <c r="O25" s="2442">
        <f t="shared" ref="O25:Q29" si="15">J25/100</f>
        <v>1.9199999999999998E-2</v>
      </c>
      <c r="P25" s="2442">
        <f t="shared" si="15"/>
        <v>1.6399999999999998E-2</v>
      </c>
      <c r="Q25" s="2442">
        <f t="shared" si="15"/>
        <v>2.0099999999999996E-2</v>
      </c>
      <c r="R25" s="2447"/>
      <c r="S25" s="2448">
        <f>B25/B26-1</f>
        <v>1.6999999999999904E-2</v>
      </c>
      <c r="T25" s="2449">
        <f>C25/C26-1</f>
        <v>1.9200000000000106E-2</v>
      </c>
      <c r="U25" s="2449">
        <f>E25/E26-1</f>
        <v>1.639999999999997E-2</v>
      </c>
      <c r="V25" s="2449">
        <f>F25/F26-1</f>
        <v>2.0100000000000007E-2</v>
      </c>
      <c r="W25" s="2441"/>
      <c r="X25" s="2441">
        <f>ROUND(SUMPRODUCT(PRODUCT(1+N25:N$40)),4)</f>
        <v>1.4517</v>
      </c>
      <c r="Y25" s="2441">
        <f>ROUND(SUMPRODUCT(PRODUCT(1+O25:O$40)),4)</f>
        <v>1.2928999999999999</v>
      </c>
      <c r="Z25" s="2441">
        <f t="shared" si="9"/>
        <v>1.2928999999999999</v>
      </c>
      <c r="AA25" s="2441">
        <f>ROUND(SUMPRODUCT(PRODUCT(1+P25:P$40)),4)</f>
        <v>1.5068999999999999</v>
      </c>
      <c r="AB25" s="2441">
        <f>ROUND(SUMPRODUCT(PRODUCT(1+Q25:Q$40)),4)</f>
        <v>1.2557</v>
      </c>
      <c r="AC25" s="2441"/>
      <c r="AD25" s="2442">
        <f>ROUND(AVERAGE(I25:I$41)/100,4)</f>
        <v>2.4E-2</v>
      </c>
      <c r="AE25" s="2442">
        <f>ROUND(AVERAGE(J25:J$41)/100,4)</f>
        <v>1.66E-2</v>
      </c>
      <c r="AF25" s="2442">
        <f t="shared" si="10"/>
        <v>1.66E-2</v>
      </c>
      <c r="AG25" s="2442">
        <f>ROUND(AVERAGE(K25:K$41)/100,4)</f>
        <v>2.6499999999999999E-2</v>
      </c>
      <c r="AH25" s="2442">
        <f>ROUND(AVERAGE(L25:L$41)/100,4)</f>
        <v>1.43E-2</v>
      </c>
    </row>
    <row r="26" spans="1:34">
      <c r="A26" s="2443" t="s">
        <v>2222</v>
      </c>
      <c r="B26" s="2454">
        <v>439</v>
      </c>
      <c r="C26" s="2454">
        <v>327</v>
      </c>
      <c r="D26" s="2454">
        <f t="shared" si="13"/>
        <v>327</v>
      </c>
      <c r="E26" s="2454">
        <v>627</v>
      </c>
      <c r="F26" s="2455">
        <v>283</v>
      </c>
      <c r="G26" s="3677">
        <v>2017</v>
      </c>
      <c r="H26" s="2452">
        <v>4</v>
      </c>
      <c r="I26" s="2452">
        <v>1.71</v>
      </c>
      <c r="J26" s="2452">
        <v>1.78</v>
      </c>
      <c r="K26" s="2452">
        <v>1.71</v>
      </c>
      <c r="L26" s="2453">
        <v>1.43</v>
      </c>
      <c r="N26" s="2460">
        <f t="shared" si="14"/>
        <v>1.7100000000000001E-2</v>
      </c>
      <c r="O26" s="2461">
        <f t="shared" si="15"/>
        <v>1.78E-2</v>
      </c>
      <c r="P26" s="2461">
        <f t="shared" si="15"/>
        <v>1.7100000000000001E-2</v>
      </c>
      <c r="Q26" s="2461">
        <f t="shared" si="15"/>
        <v>1.43E-2</v>
      </c>
      <c r="R26" s="2447"/>
      <c r="S26" s="2456"/>
      <c r="T26" s="2457"/>
      <c r="U26" s="2457"/>
      <c r="V26" s="2457"/>
      <c r="X26" s="2441">
        <f>ROUND(SUMPRODUCT(PRODUCT(1+N26:N$40)),4)</f>
        <v>1.4274</v>
      </c>
      <c r="Y26" s="2441">
        <f>ROUND(SUMPRODUCT(PRODUCT(1+O26:O$40)),4)</f>
        <v>1.2685</v>
      </c>
      <c r="Z26" s="2441">
        <f t="shared" si="9"/>
        <v>1.2685</v>
      </c>
      <c r="AA26" s="2441">
        <f>ROUND(SUMPRODUCT(PRODUCT(1+P26:P$40)),4)</f>
        <v>1.4825999999999999</v>
      </c>
      <c r="AB26" s="2441">
        <f>ROUND(SUMPRODUCT(PRODUCT(1+Q26:Q$40)),4)</f>
        <v>1.2309000000000001</v>
      </c>
      <c r="AD26" s="2442">
        <f>ROUND(AVERAGE(I26:I$41)/100,4)</f>
        <v>2.4500000000000001E-2</v>
      </c>
      <c r="AE26" s="2442">
        <f>ROUND(AVERAGE(J26:J$41)/100,4)</f>
        <v>1.6500000000000001E-2</v>
      </c>
      <c r="AF26" s="2442">
        <f t="shared" si="10"/>
        <v>1.6500000000000001E-2</v>
      </c>
      <c r="AG26" s="2442">
        <f>ROUND(AVERAGE(K26:K$41)/100,4)</f>
        <v>2.7099999999999999E-2</v>
      </c>
      <c r="AH26" s="2442">
        <f>ROUND(AVERAGE(L26:L$41)/100,4)</f>
        <v>1.3899999999999999E-2</v>
      </c>
    </row>
    <row r="27" spans="1:34" s="2450" customFormat="1" ht="14.45" customHeight="1">
      <c r="A27" s="2443" t="s">
        <v>2224</v>
      </c>
      <c r="B27" s="2444">
        <f t="shared" ref="B27:C29" si="16">B28*(1+N27)</f>
        <v>431.80730811680002</v>
      </c>
      <c r="C27" s="2444">
        <f t="shared" si="16"/>
        <v>320.57880516480003</v>
      </c>
      <c r="D27" s="2444">
        <f t="shared" si="13"/>
        <v>320.57880516480003</v>
      </c>
      <c r="E27" s="2444">
        <f t="shared" ref="E27:F29" si="17">E28*(1+P27)</f>
        <v>615.96110553196797</v>
      </c>
      <c r="F27" s="2444">
        <f t="shared" si="17"/>
        <v>279.46777300108801</v>
      </c>
      <c r="G27" s="3672"/>
      <c r="H27" s="2445">
        <v>3</v>
      </c>
      <c r="I27" s="2445">
        <v>2.98</v>
      </c>
      <c r="J27" s="2445">
        <v>2.11</v>
      </c>
      <c r="K27" s="2445">
        <v>3.24</v>
      </c>
      <c r="L27" s="2451">
        <v>1.72</v>
      </c>
      <c r="M27" s="2441"/>
      <c r="N27" s="2446">
        <f t="shared" si="14"/>
        <v>2.98E-2</v>
      </c>
      <c r="O27" s="2442">
        <f t="shared" si="15"/>
        <v>2.1099999999999997E-2</v>
      </c>
      <c r="P27" s="2442">
        <f t="shared" si="15"/>
        <v>3.2400000000000005E-2</v>
      </c>
      <c r="Q27" s="2442">
        <f t="shared" si="15"/>
        <v>1.72E-2</v>
      </c>
      <c r="R27" s="2447"/>
      <c r="S27" s="2446"/>
      <c r="T27" s="2442"/>
      <c r="U27" s="2442"/>
      <c r="V27" s="2442"/>
      <c r="W27" s="2441"/>
      <c r="X27" s="2441">
        <f>ROUND(SUMPRODUCT(PRODUCT(1+N27:N$40)),4)</f>
        <v>1.4034</v>
      </c>
      <c r="Y27" s="2441">
        <f>ROUND(SUMPRODUCT(PRODUCT(1+O27:O$40)),4)</f>
        <v>1.2463</v>
      </c>
      <c r="Z27" s="2441">
        <f t="shared" si="9"/>
        <v>1.2463</v>
      </c>
      <c r="AA27" s="2441">
        <f>ROUND(SUMPRODUCT(PRODUCT(1+P27:P$40)),4)</f>
        <v>1.4577</v>
      </c>
      <c r="AB27" s="2441">
        <f>ROUND(SUMPRODUCT(PRODUCT(1+Q27:Q$40)),4)</f>
        <v>1.2136</v>
      </c>
      <c r="AC27" s="2441"/>
      <c r="AD27" s="2442">
        <f>ROUND(AVERAGE(I27:I$41)/100,4)</f>
        <v>2.4899999999999999E-2</v>
      </c>
      <c r="AE27" s="2442">
        <f>ROUND(AVERAGE(J27:J$41)/100,4)</f>
        <v>1.6400000000000001E-2</v>
      </c>
      <c r="AF27" s="2442">
        <f t="shared" si="10"/>
        <v>1.6400000000000001E-2</v>
      </c>
      <c r="AG27" s="2442">
        <f>ROUND(AVERAGE(K27:K$41)/100,4)</f>
        <v>2.7799999999999998E-2</v>
      </c>
      <c r="AH27" s="2442">
        <f>ROUND(AVERAGE(L27:L$41)/100,4)</f>
        <v>1.3899999999999999E-2</v>
      </c>
    </row>
    <row r="28" spans="1:34" s="2422" customFormat="1" ht="14.45" customHeight="1">
      <c r="A28" s="2443" t="s">
        <v>1863</v>
      </c>
      <c r="B28" s="2444">
        <f t="shared" si="16"/>
        <v>419.31181600000002</v>
      </c>
      <c r="C28" s="2444">
        <f t="shared" si="16"/>
        <v>313.95436800000004</v>
      </c>
      <c r="D28" s="2444">
        <f t="shared" si="13"/>
        <v>313.95436800000004</v>
      </c>
      <c r="E28" s="2444">
        <f t="shared" si="17"/>
        <v>596.63028431999999</v>
      </c>
      <c r="F28" s="2444">
        <f t="shared" si="17"/>
        <v>274.74220703999998</v>
      </c>
      <c r="G28" s="3672"/>
      <c r="H28" s="2458">
        <v>2</v>
      </c>
      <c r="I28" s="2458">
        <v>3.4</v>
      </c>
      <c r="J28" s="2458">
        <v>2</v>
      </c>
      <c r="K28" s="2458">
        <v>3.82</v>
      </c>
      <c r="L28" s="2459">
        <v>1.68</v>
      </c>
      <c r="N28" s="2446">
        <f t="shared" si="14"/>
        <v>3.4000000000000002E-2</v>
      </c>
      <c r="O28" s="2442">
        <f t="shared" si="15"/>
        <v>0.02</v>
      </c>
      <c r="P28" s="2442">
        <f t="shared" si="15"/>
        <v>3.8199999999999998E-2</v>
      </c>
      <c r="Q28" s="2442">
        <f t="shared" si="15"/>
        <v>1.6799999999999999E-2</v>
      </c>
      <c r="S28" s="2446"/>
      <c r="T28" s="2442"/>
      <c r="U28" s="2442"/>
      <c r="V28" s="2442"/>
      <c r="X28" s="2441">
        <f>ROUND(SUMPRODUCT(PRODUCT(1+N28:N$40)),4)</f>
        <v>1.3628</v>
      </c>
      <c r="Y28" s="2441">
        <f>ROUND(SUMPRODUCT(PRODUCT(1+O28:O$40)),4)</f>
        <v>1.2205999999999999</v>
      </c>
      <c r="Z28" s="2441">
        <f t="shared" si="9"/>
        <v>1.2205999999999999</v>
      </c>
      <c r="AA28" s="2441">
        <f>ROUND(SUMPRODUCT(PRODUCT(1+P28:P$40)),4)</f>
        <v>1.4118999999999999</v>
      </c>
      <c r="AB28" s="2441">
        <f>ROUND(SUMPRODUCT(PRODUCT(1+Q28:Q$40)),4)</f>
        <v>1.1930000000000001</v>
      </c>
      <c r="AD28" s="2442">
        <f>ROUND(AVERAGE(I28:I$41)/100,4)</f>
        <v>2.46E-2</v>
      </c>
      <c r="AE28" s="2442">
        <f>ROUND(AVERAGE(J28:J$41)/100,4)</f>
        <v>1.6E-2</v>
      </c>
      <c r="AF28" s="2442">
        <f t="shared" si="10"/>
        <v>1.6E-2</v>
      </c>
      <c r="AG28" s="2442">
        <f>ROUND(AVERAGE(K28:K$41)/100,4)</f>
        <v>2.75E-2</v>
      </c>
      <c r="AH28" s="2442">
        <f>ROUND(AVERAGE(L28:L$41)/100,4)</f>
        <v>1.37E-2</v>
      </c>
    </row>
    <row r="29" spans="1:34" s="2450" customFormat="1" ht="15" customHeight="1" thickBot="1">
      <c r="A29" s="2443" t="s">
        <v>1864</v>
      </c>
      <c r="B29" s="2444">
        <f t="shared" si="16"/>
        <v>405.524</v>
      </c>
      <c r="C29" s="2444">
        <f t="shared" si="16"/>
        <v>307.79840000000002</v>
      </c>
      <c r="D29" s="2444">
        <f t="shared" si="13"/>
        <v>307.79840000000002</v>
      </c>
      <c r="E29" s="2444">
        <f t="shared" si="17"/>
        <v>574.67759999999998</v>
      </c>
      <c r="F29" s="2444">
        <f t="shared" si="17"/>
        <v>270.20280000000002</v>
      </c>
      <c r="G29" s="3678"/>
      <c r="H29" s="2445">
        <v>1</v>
      </c>
      <c r="I29" s="2445">
        <v>3.45</v>
      </c>
      <c r="J29" s="2445">
        <v>1.92</v>
      </c>
      <c r="K29" s="2445">
        <v>3.92</v>
      </c>
      <c r="L29" s="2451">
        <v>1.58</v>
      </c>
      <c r="M29" s="2441"/>
      <c r="N29" s="2448">
        <f t="shared" si="14"/>
        <v>3.4500000000000003E-2</v>
      </c>
      <c r="O29" s="2449">
        <f t="shared" si="15"/>
        <v>1.9199999999999998E-2</v>
      </c>
      <c r="P29" s="2449">
        <f t="shared" si="15"/>
        <v>3.9199999999999999E-2</v>
      </c>
      <c r="Q29" s="2449">
        <f t="shared" si="15"/>
        <v>1.5800000000000002E-2</v>
      </c>
      <c r="R29" s="2447"/>
      <c r="S29" s="2448">
        <f>B29/B30-1</f>
        <v>3.4499999999999975E-2</v>
      </c>
      <c r="T29" s="2449">
        <f>C29/C30-1</f>
        <v>1.9200000000000106E-2</v>
      </c>
      <c r="U29" s="2449">
        <f>E29/E30-1</f>
        <v>3.9199999999999902E-2</v>
      </c>
      <c r="V29" s="2449">
        <f>F29/F30-1</f>
        <v>1.5800000000000036E-2</v>
      </c>
      <c r="W29" s="2441"/>
      <c r="X29" s="2441">
        <f>ROUND(SUMPRODUCT(PRODUCT(1+N29:N$40)),4)</f>
        <v>1.3180000000000001</v>
      </c>
      <c r="Y29" s="2441">
        <f>ROUND(SUMPRODUCT(PRODUCT(1+O29:O$40)),4)</f>
        <v>1.1966000000000001</v>
      </c>
      <c r="Z29" s="2441">
        <f t="shared" si="9"/>
        <v>1.1966000000000001</v>
      </c>
      <c r="AA29" s="2441">
        <f>ROUND(SUMPRODUCT(PRODUCT(1+P29:P$40)),4)</f>
        <v>1.36</v>
      </c>
      <c r="AB29" s="2441">
        <f>ROUND(SUMPRODUCT(PRODUCT(1+Q29:Q$40)),4)</f>
        <v>1.1733</v>
      </c>
      <c r="AC29" s="2441"/>
      <c r="AD29" s="2442">
        <f>ROUND(AVERAGE(I29:I$41)/100,4)</f>
        <v>2.3900000000000001E-2</v>
      </c>
      <c r="AE29" s="2442">
        <f>ROUND(AVERAGE(J29:J$41)/100,4)</f>
        <v>1.5699999999999999E-2</v>
      </c>
      <c r="AF29" s="2442">
        <f t="shared" si="10"/>
        <v>1.5699999999999999E-2</v>
      </c>
      <c r="AG29" s="2442">
        <f>ROUND(AVERAGE(K29:K$41)/100,4)</f>
        <v>2.6599999999999999E-2</v>
      </c>
      <c r="AH29" s="2442">
        <f>ROUND(AVERAGE(L29:L$41)/100,4)</f>
        <v>1.34E-2</v>
      </c>
    </row>
    <row r="30" spans="1:34">
      <c r="A30" s="2443" t="s">
        <v>895</v>
      </c>
      <c r="B30" s="2462">
        <v>392</v>
      </c>
      <c r="C30" s="2462">
        <v>302</v>
      </c>
      <c r="D30" s="2462">
        <f t="shared" si="13"/>
        <v>302</v>
      </c>
      <c r="E30" s="2462">
        <v>553</v>
      </c>
      <c r="F30" s="2463">
        <v>266</v>
      </c>
      <c r="G30" s="3677">
        <v>2016</v>
      </c>
      <c r="H30" s="2452">
        <v>4</v>
      </c>
      <c r="I30" s="2452">
        <v>4.5599999999999996</v>
      </c>
      <c r="J30" s="2452">
        <v>2.15</v>
      </c>
      <c r="K30" s="2452">
        <v>5.32</v>
      </c>
      <c r="L30" s="2453">
        <v>1.57</v>
      </c>
      <c r="N30" s="2446">
        <f t="shared" si="14"/>
        <v>4.5599999999999995E-2</v>
      </c>
      <c r="O30" s="2442">
        <f t="shared" ref="O30:Q45" si="18">J30/100</f>
        <v>2.1499999999999998E-2</v>
      </c>
      <c r="P30" s="2442">
        <f t="shared" si="18"/>
        <v>5.3200000000000004E-2</v>
      </c>
      <c r="Q30" s="2442">
        <f t="shared" si="18"/>
        <v>1.5700000000000002E-2</v>
      </c>
      <c r="R30" s="2447"/>
      <c r="S30" s="2456"/>
      <c r="T30" s="2457"/>
      <c r="U30" s="2457"/>
      <c r="V30" s="2457"/>
      <c r="X30" s="2441">
        <f>ROUND(SUMPRODUCT(PRODUCT(1+N30:N$40)),4)</f>
        <v>1.274</v>
      </c>
      <c r="Y30" s="2441">
        <f>ROUND(SUMPRODUCT(PRODUCT(1+O30:O$40)),4)</f>
        <v>1.1740999999999999</v>
      </c>
      <c r="Z30" s="2441">
        <f t="shared" si="9"/>
        <v>1.1740999999999999</v>
      </c>
      <c r="AA30" s="2441">
        <f>ROUND(SUMPRODUCT(PRODUCT(1+P30:P$40)),4)</f>
        <v>1.3087</v>
      </c>
      <c r="AB30" s="2441">
        <f>ROUND(SUMPRODUCT(PRODUCT(1+Q30:Q$40)),4)</f>
        <v>1.1551</v>
      </c>
      <c r="AD30" s="2442">
        <f>ROUND(AVERAGE(I30:I$41)/100,4)</f>
        <v>2.3E-2</v>
      </c>
      <c r="AE30" s="2442">
        <f>ROUND(AVERAGE(J30:J$41)/100,4)</f>
        <v>1.55E-2</v>
      </c>
      <c r="AF30" s="2442">
        <f t="shared" si="10"/>
        <v>1.55E-2</v>
      </c>
      <c r="AG30" s="2442">
        <f>ROUND(AVERAGE(K30:K$41)/100,4)</f>
        <v>2.5600000000000001E-2</v>
      </c>
      <c r="AH30" s="2442">
        <f>ROUND(AVERAGE(L30:L$41)/100,4)</f>
        <v>1.32E-2</v>
      </c>
    </row>
    <row r="31" spans="1:34">
      <c r="A31" s="2443" t="s">
        <v>894</v>
      </c>
      <c r="B31" s="2444">
        <f t="shared" ref="B31:C33" si="19">B30/(1+N30)</f>
        <v>374.90436113236416</v>
      </c>
      <c r="C31" s="2444">
        <f t="shared" si="19"/>
        <v>295.64366128242779</v>
      </c>
      <c r="D31" s="2444">
        <f t="shared" ref="D31:D90" si="20">C31</f>
        <v>295.64366128242779</v>
      </c>
      <c r="E31" s="2444">
        <f t="shared" ref="E31:F33" si="21">E30/(1+P30)</f>
        <v>525.06646410938095</v>
      </c>
      <c r="F31" s="2444">
        <f t="shared" si="21"/>
        <v>261.88835286009646</v>
      </c>
      <c r="G31" s="3672"/>
      <c r="H31" s="2445">
        <v>3</v>
      </c>
      <c r="I31" s="2445">
        <v>4.12</v>
      </c>
      <c r="J31" s="2445">
        <v>2</v>
      </c>
      <c r="K31" s="2445">
        <v>4.79</v>
      </c>
      <c r="L31" s="2451">
        <v>1.97</v>
      </c>
      <c r="N31" s="2446">
        <f t="shared" ref="N31:Q65" si="22">I31/100</f>
        <v>4.1200000000000001E-2</v>
      </c>
      <c r="O31" s="2442">
        <f t="shared" si="18"/>
        <v>0.02</v>
      </c>
      <c r="P31" s="2442">
        <f t="shared" si="18"/>
        <v>4.7899999999999998E-2</v>
      </c>
      <c r="Q31" s="2442">
        <f t="shared" si="18"/>
        <v>1.9699999999999999E-2</v>
      </c>
      <c r="R31" s="2447"/>
      <c r="S31" s="2446"/>
      <c r="T31" s="2442"/>
      <c r="U31" s="2442"/>
      <c r="V31" s="2442"/>
      <c r="X31" s="2441">
        <f>ROUND(SUMPRODUCT(PRODUCT(1+N31:N$40)),4)</f>
        <v>1.2184999999999999</v>
      </c>
      <c r="Y31" s="2441">
        <f>ROUND(SUMPRODUCT(PRODUCT(1+O31:O$40)),4)</f>
        <v>1.1494</v>
      </c>
      <c r="Z31" s="2441">
        <f t="shared" si="9"/>
        <v>1.1494</v>
      </c>
      <c r="AA31" s="2441">
        <f>ROUND(SUMPRODUCT(PRODUCT(1+P31:P$40)),4)</f>
        <v>1.2425999999999999</v>
      </c>
      <c r="AB31" s="2441">
        <f>ROUND(SUMPRODUCT(PRODUCT(1+Q31:Q$40)),4)</f>
        <v>1.1372</v>
      </c>
      <c r="AD31" s="2442">
        <f>ROUND(AVERAGE(I31:I$41)/100,4)</f>
        <v>2.0899999999999998E-2</v>
      </c>
      <c r="AE31" s="2442">
        <f>ROUND(AVERAGE(J31:J$41)/100,4)</f>
        <v>1.49E-2</v>
      </c>
      <c r="AF31" s="2442">
        <f t="shared" si="10"/>
        <v>1.49E-2</v>
      </c>
      <c r="AG31" s="2442">
        <f>ROUND(AVERAGE(K31:K$41)/100,4)</f>
        <v>2.3099999999999999E-2</v>
      </c>
      <c r="AH31" s="2442">
        <f>ROUND(AVERAGE(L31:L$41)/100,4)</f>
        <v>1.2999999999999999E-2</v>
      </c>
    </row>
    <row r="32" spans="1:34">
      <c r="A32" s="2443" t="s">
        <v>884</v>
      </c>
      <c r="B32" s="2444">
        <f t="shared" si="19"/>
        <v>360.06949782209392</v>
      </c>
      <c r="C32" s="2444">
        <f t="shared" si="19"/>
        <v>289.84672674747821</v>
      </c>
      <c r="D32" s="2444">
        <f t="shared" si="20"/>
        <v>289.84672674747821</v>
      </c>
      <c r="E32" s="2444">
        <f t="shared" si="21"/>
        <v>501.06543001181495</v>
      </c>
      <c r="F32" s="2444">
        <f t="shared" si="21"/>
        <v>256.82882500744967</v>
      </c>
      <c r="G32" s="3672"/>
      <c r="H32" s="2458">
        <v>2</v>
      </c>
      <c r="I32" s="2458">
        <v>3.85</v>
      </c>
      <c r="J32" s="2458">
        <v>1.95</v>
      </c>
      <c r="K32" s="2458">
        <v>4.4800000000000004</v>
      </c>
      <c r="L32" s="2459">
        <v>1.41</v>
      </c>
      <c r="N32" s="2446">
        <f t="shared" si="22"/>
        <v>3.85E-2</v>
      </c>
      <c r="O32" s="2442">
        <f t="shared" si="18"/>
        <v>1.95E-2</v>
      </c>
      <c r="P32" s="2442">
        <f t="shared" si="18"/>
        <v>4.4800000000000006E-2</v>
      </c>
      <c r="Q32" s="2442">
        <f t="shared" si="18"/>
        <v>1.41E-2</v>
      </c>
      <c r="R32" s="2447"/>
      <c r="S32" s="2446"/>
      <c r="T32" s="2442"/>
      <c r="U32" s="2442"/>
      <c r="V32" s="2442"/>
      <c r="X32" s="2441">
        <f>ROUND(SUMPRODUCT(PRODUCT(1+N32:N$40)),4)</f>
        <v>1.1702999999999999</v>
      </c>
      <c r="Y32" s="2441">
        <f>ROUND(SUMPRODUCT(PRODUCT(1+O32:O$40)),4)</f>
        <v>1.1269</v>
      </c>
      <c r="Z32" s="2441">
        <f t="shared" si="9"/>
        <v>1.1269</v>
      </c>
      <c r="AA32" s="2441">
        <f>ROUND(SUMPRODUCT(PRODUCT(1+P32:P$40)),4)</f>
        <v>1.1858</v>
      </c>
      <c r="AB32" s="2441">
        <f>ROUND(SUMPRODUCT(PRODUCT(1+Q32:Q$40)),4)</f>
        <v>1.1152</v>
      </c>
      <c r="AD32" s="2442">
        <f>ROUND(AVERAGE(I32:I$41)/100,4)</f>
        <v>1.89E-2</v>
      </c>
      <c r="AE32" s="2442">
        <f>ROUND(AVERAGE(J32:J$41)/100,4)</f>
        <v>1.44E-2</v>
      </c>
      <c r="AF32" s="2442">
        <f t="shared" si="10"/>
        <v>1.44E-2</v>
      </c>
      <c r="AG32" s="2442">
        <f>ROUND(AVERAGE(K32:K$41)/100,4)</f>
        <v>2.06E-2</v>
      </c>
      <c r="AH32" s="2442">
        <f>ROUND(AVERAGE(L32:L$41)/100,4)</f>
        <v>1.23E-2</v>
      </c>
    </row>
    <row r="33" spans="1:34" ht="13.5" thickBot="1">
      <c r="A33" s="2443" t="s">
        <v>893</v>
      </c>
      <c r="B33" s="2444">
        <f t="shared" si="19"/>
        <v>346.720748986128</v>
      </c>
      <c r="C33" s="2444">
        <f t="shared" si="19"/>
        <v>284.30282172386285</v>
      </c>
      <c r="D33" s="2444">
        <f t="shared" si="20"/>
        <v>284.30282172386285</v>
      </c>
      <c r="E33" s="2444">
        <f t="shared" si="21"/>
        <v>479.58023546306947</v>
      </c>
      <c r="F33" s="2444">
        <f t="shared" si="21"/>
        <v>253.25788877571213</v>
      </c>
      <c r="G33" s="3673"/>
      <c r="H33" s="2445">
        <v>1</v>
      </c>
      <c r="I33" s="2445">
        <v>4.09</v>
      </c>
      <c r="J33" s="2445">
        <v>2.93</v>
      </c>
      <c r="K33" s="2445">
        <v>4.54</v>
      </c>
      <c r="L33" s="2451">
        <v>1.48</v>
      </c>
      <c r="N33" s="2446">
        <f t="shared" si="22"/>
        <v>4.0899999999999999E-2</v>
      </c>
      <c r="O33" s="2442">
        <f t="shared" si="18"/>
        <v>2.9300000000000003E-2</v>
      </c>
      <c r="P33" s="2442">
        <f t="shared" si="18"/>
        <v>4.5400000000000003E-2</v>
      </c>
      <c r="Q33" s="2442">
        <f t="shared" si="18"/>
        <v>1.4800000000000001E-2</v>
      </c>
      <c r="R33" s="2447"/>
      <c r="S33" s="2448">
        <f>B33/B34-1</f>
        <v>4.1203450408792808E-2</v>
      </c>
      <c r="T33" s="2449">
        <f>C33/C34-1</f>
        <v>2.6363977342465095E-2</v>
      </c>
      <c r="U33" s="2449">
        <f>E33/E34-1</f>
        <v>4.4837114298626357E-2</v>
      </c>
      <c r="V33" s="2449">
        <f>F33/F34-1</f>
        <v>1.7099954922538574E-2</v>
      </c>
      <c r="X33" s="2441">
        <f>ROUND(SUMPRODUCT(PRODUCT(1+N33:N$40)),4)</f>
        <v>1.1269</v>
      </c>
      <c r="Y33" s="2441">
        <f>ROUND(SUMPRODUCT(PRODUCT(1+O33:O$40)),4)</f>
        <v>1.1052999999999999</v>
      </c>
      <c r="Z33" s="2441">
        <f t="shared" si="9"/>
        <v>1.1052999999999999</v>
      </c>
      <c r="AA33" s="2441">
        <f>ROUND(SUMPRODUCT(PRODUCT(1+P33:P$40)),4)</f>
        <v>1.1349</v>
      </c>
      <c r="AB33" s="2441">
        <f>ROUND(SUMPRODUCT(PRODUCT(1+Q33:Q$40)),4)</f>
        <v>1.0996999999999999</v>
      </c>
      <c r="AD33" s="2442">
        <f>ROUND(AVERAGE(I33:I$41)/100,4)</f>
        <v>1.67E-2</v>
      </c>
      <c r="AE33" s="2442">
        <f>ROUND(AVERAGE(J33:J$41)/100,4)</f>
        <v>1.38E-2</v>
      </c>
      <c r="AF33" s="2442">
        <f t="shared" si="10"/>
        <v>1.38E-2</v>
      </c>
      <c r="AG33" s="2442">
        <f>ROUND(AVERAGE(K33:K$41)/100,4)</f>
        <v>1.7899999999999999E-2</v>
      </c>
      <c r="AH33" s="2442">
        <f>ROUND(AVERAGE(L33:L$41)/100,4)</f>
        <v>1.21E-2</v>
      </c>
    </row>
    <row r="34" spans="1:34" ht="13.5" thickBot="1">
      <c r="A34" s="2443" t="s">
        <v>892</v>
      </c>
      <c r="B34" s="2462">
        <v>333</v>
      </c>
      <c r="C34" s="2462">
        <v>277</v>
      </c>
      <c r="D34" s="2462">
        <f t="shared" si="20"/>
        <v>277</v>
      </c>
      <c r="E34" s="2462">
        <v>459</v>
      </c>
      <c r="F34" s="2463">
        <v>249</v>
      </c>
      <c r="G34" s="3671">
        <v>2015</v>
      </c>
      <c r="H34" s="2464">
        <v>4</v>
      </c>
      <c r="I34" s="2464">
        <v>1.63</v>
      </c>
      <c r="J34" s="2464">
        <v>1.1100000000000001</v>
      </c>
      <c r="K34" s="2464">
        <v>1.77</v>
      </c>
      <c r="L34" s="2465">
        <v>1.89</v>
      </c>
      <c r="N34" s="2460">
        <f t="shared" si="22"/>
        <v>1.6299999999999999E-2</v>
      </c>
      <c r="O34" s="2461">
        <f t="shared" si="18"/>
        <v>1.11E-2</v>
      </c>
      <c r="P34" s="2461">
        <f t="shared" si="18"/>
        <v>1.77E-2</v>
      </c>
      <c r="Q34" s="2461">
        <f t="shared" si="18"/>
        <v>1.89E-2</v>
      </c>
      <c r="R34" s="2447"/>
      <c r="X34" s="2441">
        <f>ROUND(SUMPRODUCT(PRODUCT(1+N34:N$40)),4)</f>
        <v>1.0826</v>
      </c>
      <c r="Y34" s="2441">
        <f>ROUND(SUMPRODUCT(PRODUCT(1+O34:O$40)),4)</f>
        <v>1.0738000000000001</v>
      </c>
      <c r="Z34" s="2441">
        <f t="shared" si="9"/>
        <v>1.0738000000000001</v>
      </c>
      <c r="AA34" s="2441">
        <f>ROUND(SUMPRODUCT(PRODUCT(1+P34:P$40)),4)</f>
        <v>1.0855999999999999</v>
      </c>
      <c r="AB34" s="2441">
        <f>ROUND(SUMPRODUCT(PRODUCT(1+Q34:Q$40)),4)</f>
        <v>1.0837000000000001</v>
      </c>
      <c r="AD34" s="2442">
        <f>ROUND(AVERAGE(I34:I$41)/100,4)</f>
        <v>1.37E-2</v>
      </c>
      <c r="AE34" s="2442">
        <f>ROUND(AVERAGE(J34:J$41)/100,4)</f>
        <v>1.1900000000000001E-2</v>
      </c>
      <c r="AF34" s="2442">
        <f t="shared" si="10"/>
        <v>1.1900000000000001E-2</v>
      </c>
      <c r="AG34" s="2442">
        <f>ROUND(AVERAGE(K34:K$41)/100,4)</f>
        <v>1.4500000000000001E-2</v>
      </c>
      <c r="AH34" s="2442">
        <f>ROUND(AVERAGE(L34:L$41)/100,4)</f>
        <v>1.18E-2</v>
      </c>
    </row>
    <row r="35" spans="1:34">
      <c r="A35" s="2443" t="s">
        <v>891</v>
      </c>
      <c r="B35" s="2444">
        <f t="shared" ref="B35:C37" si="23">B34/(1+N34)</f>
        <v>327.65915576109415</v>
      </c>
      <c r="C35" s="2444">
        <f t="shared" si="23"/>
        <v>273.95905449510434</v>
      </c>
      <c r="D35" s="2444">
        <f t="shared" si="20"/>
        <v>273.95905449510434</v>
      </c>
      <c r="E35" s="2444">
        <f t="shared" ref="E35:F37" si="24">E34/(1+P34)</f>
        <v>451.01699911565294</v>
      </c>
      <c r="F35" s="2444">
        <f t="shared" si="24"/>
        <v>244.38119540681129</v>
      </c>
      <c r="G35" s="3672"/>
      <c r="H35" s="2467">
        <v>3</v>
      </c>
      <c r="I35" s="2467">
        <v>1.65</v>
      </c>
      <c r="J35" s="2467">
        <v>0.92</v>
      </c>
      <c r="K35" s="2467">
        <v>1.88</v>
      </c>
      <c r="L35" s="2468">
        <v>1.26</v>
      </c>
      <c r="N35" s="2446">
        <f t="shared" si="22"/>
        <v>1.6500000000000001E-2</v>
      </c>
      <c r="O35" s="2442">
        <f t="shared" si="18"/>
        <v>9.1999999999999998E-3</v>
      </c>
      <c r="P35" s="2442">
        <f t="shared" si="18"/>
        <v>1.8799999999999997E-2</v>
      </c>
      <c r="Q35" s="2442">
        <f t="shared" si="18"/>
        <v>1.26E-2</v>
      </c>
      <c r="R35" s="2447"/>
      <c r="S35" s="2446"/>
      <c r="T35" s="2442"/>
      <c r="U35" s="2442"/>
      <c r="V35" s="2442"/>
      <c r="X35" s="2441">
        <f>ROUND(SUMPRODUCT(PRODUCT(1+N35:N$40)),4)</f>
        <v>1.0651999999999999</v>
      </c>
      <c r="Y35" s="2441">
        <f>ROUND(SUMPRODUCT(PRODUCT(1+O35:O$40)),4)</f>
        <v>1.0621</v>
      </c>
      <c r="Z35" s="2441">
        <f t="shared" si="9"/>
        <v>1.0621</v>
      </c>
      <c r="AA35" s="2441">
        <f>ROUND(SUMPRODUCT(PRODUCT(1+P35:P$40)),4)</f>
        <v>1.0668</v>
      </c>
      <c r="AB35" s="2441">
        <f>ROUND(SUMPRODUCT(PRODUCT(1+Q35:Q$40)),4)</f>
        <v>1.0636000000000001</v>
      </c>
      <c r="AD35" s="2442">
        <f>ROUND(AVERAGE(I35:I$41)/100,4)</f>
        <v>1.3299999999999999E-2</v>
      </c>
      <c r="AE35" s="2442">
        <f>ROUND(AVERAGE(J35:J$41)/100,4)</f>
        <v>1.2E-2</v>
      </c>
      <c r="AF35" s="2442">
        <f t="shared" si="10"/>
        <v>1.2E-2</v>
      </c>
      <c r="AG35" s="2442">
        <f>ROUND(AVERAGE(K35:K$41)/100,4)</f>
        <v>1.4E-2</v>
      </c>
      <c r="AH35" s="2442">
        <f>ROUND(AVERAGE(L35:L$41)/100,4)</f>
        <v>1.0800000000000001E-2</v>
      </c>
    </row>
    <row r="36" spans="1:34">
      <c r="A36" s="2443" t="s">
        <v>890</v>
      </c>
      <c r="B36" s="2444">
        <f t="shared" si="23"/>
        <v>322.34053690220776</v>
      </c>
      <c r="C36" s="2444">
        <f t="shared" si="23"/>
        <v>271.46160770422546</v>
      </c>
      <c r="D36" s="2444">
        <f t="shared" si="20"/>
        <v>271.46160770422546</v>
      </c>
      <c r="E36" s="2444">
        <f t="shared" si="24"/>
        <v>442.69434542172456</v>
      </c>
      <c r="F36" s="2444">
        <f t="shared" si="24"/>
        <v>241.34030753190925</v>
      </c>
      <c r="G36" s="3672"/>
      <c r="H36" s="2458">
        <v>2</v>
      </c>
      <c r="I36" s="2458">
        <v>0.77</v>
      </c>
      <c r="J36" s="2458">
        <v>0.69</v>
      </c>
      <c r="K36" s="2458">
        <v>0.8</v>
      </c>
      <c r="L36" s="2459">
        <v>0.88</v>
      </c>
      <c r="N36" s="2446">
        <f t="shared" si="22"/>
        <v>7.7000000000000002E-3</v>
      </c>
      <c r="O36" s="2442">
        <f t="shared" si="18"/>
        <v>6.8999999999999999E-3</v>
      </c>
      <c r="P36" s="2442">
        <f t="shared" si="18"/>
        <v>8.0000000000000002E-3</v>
      </c>
      <c r="Q36" s="2442">
        <f t="shared" si="18"/>
        <v>8.8000000000000005E-3</v>
      </c>
      <c r="R36" s="2447"/>
      <c r="S36" s="2446"/>
      <c r="T36" s="2442"/>
      <c r="U36" s="2442"/>
      <c r="V36" s="2442"/>
      <c r="X36" s="2441">
        <f>ROUND(SUMPRODUCT(PRODUCT(1+N36:N$40)),4)</f>
        <v>1.048</v>
      </c>
      <c r="Y36" s="2441">
        <f>ROUND(SUMPRODUCT(PRODUCT(1+O36:O$40)),4)</f>
        <v>1.0524</v>
      </c>
      <c r="Z36" s="2441">
        <f t="shared" si="9"/>
        <v>1.0524</v>
      </c>
      <c r="AA36" s="2441">
        <f>ROUND(SUMPRODUCT(PRODUCT(1+P36:P$40)),4)</f>
        <v>1.0470999999999999</v>
      </c>
      <c r="AB36" s="2441">
        <f>ROUND(SUMPRODUCT(PRODUCT(1+Q36:Q$40)),4)</f>
        <v>1.0504</v>
      </c>
      <c r="AD36" s="2442">
        <f>ROUND(AVERAGE(I36:I$41)/100,4)</f>
        <v>1.2800000000000001E-2</v>
      </c>
      <c r="AE36" s="2442">
        <f>ROUND(AVERAGE(J36:J$41)/100,4)</f>
        <v>1.2500000000000001E-2</v>
      </c>
      <c r="AF36" s="2442">
        <f t="shared" si="10"/>
        <v>1.2500000000000001E-2</v>
      </c>
      <c r="AG36" s="2442">
        <f>ROUND(AVERAGE(K36:K$41)/100,4)</f>
        <v>1.32E-2</v>
      </c>
      <c r="AH36" s="2442">
        <f>ROUND(AVERAGE(L36:L$41)/100,4)</f>
        <v>1.0500000000000001E-2</v>
      </c>
    </row>
    <row r="37" spans="1:34">
      <c r="A37" s="2443" t="s">
        <v>889</v>
      </c>
      <c r="B37" s="2444">
        <f t="shared" si="23"/>
        <v>319.87748030386797</v>
      </c>
      <c r="C37" s="2444">
        <f t="shared" si="23"/>
        <v>269.60135833173649</v>
      </c>
      <c r="D37" s="2444">
        <f t="shared" si="20"/>
        <v>269.60135833173649</v>
      </c>
      <c r="E37" s="2444">
        <f t="shared" si="24"/>
        <v>439.18089823583784</v>
      </c>
      <c r="F37" s="2444">
        <f t="shared" si="24"/>
        <v>239.23503918706311</v>
      </c>
      <c r="G37" s="3673"/>
      <c r="H37" s="2445">
        <v>1</v>
      </c>
      <c r="I37" s="2445">
        <v>0.51</v>
      </c>
      <c r="J37" s="2445">
        <v>0.54</v>
      </c>
      <c r="K37" s="2445">
        <v>0.48</v>
      </c>
      <c r="L37" s="2451">
        <v>0.93</v>
      </c>
      <c r="N37" s="2448">
        <f t="shared" si="22"/>
        <v>5.1000000000000004E-3</v>
      </c>
      <c r="O37" s="2449">
        <f t="shared" si="18"/>
        <v>5.4000000000000003E-3</v>
      </c>
      <c r="P37" s="2449">
        <f t="shared" si="18"/>
        <v>4.7999999999999996E-3</v>
      </c>
      <c r="Q37" s="2449">
        <f t="shared" si="18"/>
        <v>9.300000000000001E-3</v>
      </c>
      <c r="R37" s="2447"/>
      <c r="S37" s="2448">
        <f>B37/B38-1</f>
        <v>5.9040261127922822E-3</v>
      </c>
      <c r="T37" s="2449">
        <f>C37/C38-1</f>
        <v>5.9752176557332781E-3</v>
      </c>
      <c r="U37" s="2449">
        <f>E37/E38-1</f>
        <v>4.9906138119859556E-3</v>
      </c>
      <c r="V37" s="2449">
        <f>F37/F38-1</f>
        <v>9.4305450930933787E-3</v>
      </c>
      <c r="X37" s="2441">
        <f>ROUND(SUMPRODUCT(PRODUCT(1+N37:N$40)),4)</f>
        <v>1.0399</v>
      </c>
      <c r="Y37" s="2441">
        <f>ROUND(SUMPRODUCT(PRODUCT(1+O37:O$40)),4)</f>
        <v>1.0451999999999999</v>
      </c>
      <c r="Z37" s="2441">
        <f t="shared" si="9"/>
        <v>1.0451999999999999</v>
      </c>
      <c r="AA37" s="2441">
        <f>ROUND(SUMPRODUCT(PRODUCT(1+P37:P$40)),4)</f>
        <v>1.0387999999999999</v>
      </c>
      <c r="AB37" s="2441">
        <f>ROUND(SUMPRODUCT(PRODUCT(1+Q37:Q$40)),4)</f>
        <v>1.0411999999999999</v>
      </c>
      <c r="AD37" s="2442">
        <f>ROUND(AVERAGE(I37:I$41)/100,4)</f>
        <v>1.38E-2</v>
      </c>
      <c r="AE37" s="2442">
        <f>ROUND(AVERAGE(J37:J$41)/100,4)</f>
        <v>1.3599999999999999E-2</v>
      </c>
      <c r="AF37" s="2442">
        <f t="shared" si="10"/>
        <v>1.3599999999999999E-2</v>
      </c>
      <c r="AG37" s="2442">
        <f>ROUND(AVERAGE(K37:K$41)/100,4)</f>
        <v>1.4200000000000001E-2</v>
      </c>
      <c r="AH37" s="2442">
        <f>ROUND(AVERAGE(L37:L$41)/100,4)</f>
        <v>1.0800000000000001E-2</v>
      </c>
    </row>
    <row r="38" spans="1:34" ht="13.5" thickBot="1">
      <c r="A38" s="2443" t="s">
        <v>888</v>
      </c>
      <c r="B38" s="2469">
        <v>318</v>
      </c>
      <c r="C38" s="2469">
        <v>268</v>
      </c>
      <c r="D38" s="2469">
        <f t="shared" si="20"/>
        <v>268</v>
      </c>
      <c r="E38" s="2469">
        <v>437</v>
      </c>
      <c r="F38" s="2470">
        <v>237</v>
      </c>
      <c r="G38" s="3671">
        <v>2014</v>
      </c>
      <c r="H38" s="2464">
        <v>4</v>
      </c>
      <c r="I38" s="2464">
        <v>0.21</v>
      </c>
      <c r="J38" s="2464">
        <v>0.41</v>
      </c>
      <c r="K38" s="2464">
        <v>0.12</v>
      </c>
      <c r="L38" s="2465">
        <v>0.89</v>
      </c>
      <c r="N38" s="2446">
        <f t="shared" si="22"/>
        <v>2.0999999999999999E-3</v>
      </c>
      <c r="O38" s="2442">
        <f t="shared" si="18"/>
        <v>4.0999999999999995E-3</v>
      </c>
      <c r="P38" s="2442">
        <f t="shared" si="18"/>
        <v>1.1999999999999999E-3</v>
      </c>
      <c r="Q38" s="2442">
        <f t="shared" si="18"/>
        <v>8.8999999999999999E-3</v>
      </c>
      <c r="R38" s="2447"/>
      <c r="S38" s="2456"/>
      <c r="T38" s="2457"/>
      <c r="U38" s="2457"/>
      <c r="V38" s="2457"/>
      <c r="X38" s="2441">
        <f>ROUND(SUMPRODUCT(PRODUCT(1+N38:N$40)),4)</f>
        <v>1.0347</v>
      </c>
      <c r="Y38" s="2441">
        <f>ROUND(SUMPRODUCT(PRODUCT(1+O38:O$40)),4)</f>
        <v>1.0395000000000001</v>
      </c>
      <c r="Z38" s="2441">
        <f t="shared" si="9"/>
        <v>1.0395000000000001</v>
      </c>
      <c r="AA38" s="2441">
        <f>ROUND(SUMPRODUCT(PRODUCT(1+P38:P$40)),4)</f>
        <v>1.0338000000000001</v>
      </c>
      <c r="AB38" s="2441">
        <f>ROUND(SUMPRODUCT(PRODUCT(1+Q38:Q$40)),4)</f>
        <v>1.0316000000000001</v>
      </c>
      <c r="AD38" s="2442">
        <f>ROUND(AVERAGE(I38:I$41)/100,4)</f>
        <v>1.6E-2</v>
      </c>
      <c r="AE38" s="2442">
        <f>ROUND(AVERAGE(J38:J$41)/100,4)</f>
        <v>1.5599999999999999E-2</v>
      </c>
      <c r="AF38" s="2442">
        <f t="shared" si="10"/>
        <v>1.5599999999999999E-2</v>
      </c>
      <c r="AG38" s="2442">
        <f>ROUND(AVERAGE(K38:K$41)/100,4)</f>
        <v>1.66E-2</v>
      </c>
      <c r="AH38" s="2442">
        <f>ROUND(AVERAGE(L38:L$41)/100,4)</f>
        <v>1.12E-2</v>
      </c>
    </row>
    <row r="39" spans="1:34">
      <c r="A39" s="2443" t="s">
        <v>887</v>
      </c>
      <c r="B39" s="2444">
        <f t="shared" ref="B39:C41" si="25">B38/(1+N38)</f>
        <v>317.33359944117353</v>
      </c>
      <c r="C39" s="2444">
        <f t="shared" si="25"/>
        <v>266.90568668459315</v>
      </c>
      <c r="D39" s="2444">
        <f t="shared" si="20"/>
        <v>266.90568668459315</v>
      </c>
      <c r="E39" s="2444">
        <f t="shared" ref="E39:F41" si="26">E38/(1+P38)</f>
        <v>436.47622852576905</v>
      </c>
      <c r="F39" s="2444">
        <f t="shared" si="26"/>
        <v>234.90930716622066</v>
      </c>
      <c r="G39" s="3672"/>
      <c r="H39" s="2471">
        <v>3</v>
      </c>
      <c r="I39" s="2471">
        <v>0.83</v>
      </c>
      <c r="J39" s="2471">
        <v>1.47</v>
      </c>
      <c r="K39" s="2471">
        <v>0.65</v>
      </c>
      <c r="L39" s="2472">
        <v>0.72</v>
      </c>
      <c r="N39" s="2446">
        <f t="shared" si="22"/>
        <v>8.3000000000000001E-3</v>
      </c>
      <c r="O39" s="2442">
        <f t="shared" si="18"/>
        <v>1.47E-2</v>
      </c>
      <c r="P39" s="2442">
        <f t="shared" si="18"/>
        <v>6.5000000000000006E-3</v>
      </c>
      <c r="Q39" s="2442">
        <f t="shared" si="18"/>
        <v>7.1999999999999998E-3</v>
      </c>
      <c r="R39" s="2447"/>
      <c r="S39" s="2446"/>
      <c r="T39" s="2442"/>
      <c r="U39" s="2442"/>
      <c r="V39" s="2442"/>
      <c r="X39" s="2441">
        <f>ROUND(SUMPRODUCT(PRODUCT(1+N39:N$40)),4)</f>
        <v>1.0325</v>
      </c>
      <c r="Y39" s="2441">
        <f>ROUND(SUMPRODUCT(PRODUCT(1+O39:O$40)),4)</f>
        <v>1.0353000000000001</v>
      </c>
      <c r="Z39" s="2441">
        <f t="shared" si="9"/>
        <v>1.0353000000000001</v>
      </c>
      <c r="AA39" s="2441">
        <f>ROUND(SUMPRODUCT(PRODUCT(1+P39:P$40)),4)</f>
        <v>1.0326</v>
      </c>
      <c r="AB39" s="2441">
        <f>ROUND(SUMPRODUCT(PRODUCT(1+Q39:Q$40)),4)</f>
        <v>1.0225</v>
      </c>
      <c r="AD39" s="2442">
        <f>ROUND(AVERAGE(I39:I$41)/100,4)</f>
        <v>2.07E-2</v>
      </c>
      <c r="AE39" s="2442">
        <f>ROUND(AVERAGE(J39:J$41)/100,4)</f>
        <v>1.95E-2</v>
      </c>
      <c r="AF39" s="2442">
        <f t="shared" si="10"/>
        <v>1.95E-2</v>
      </c>
      <c r="AG39" s="2442">
        <f>ROUND(AVERAGE(K39:K$41)/100,4)</f>
        <v>2.1700000000000001E-2</v>
      </c>
      <c r="AH39" s="2442">
        <f>ROUND(AVERAGE(L39:L$41)/100,4)</f>
        <v>1.2E-2</v>
      </c>
    </row>
    <row r="40" spans="1:34" ht="13.5" thickBot="1">
      <c r="A40" s="2443" t="s">
        <v>886</v>
      </c>
      <c r="B40" s="2444">
        <f t="shared" si="25"/>
        <v>314.72141172386546</v>
      </c>
      <c r="C40" s="2444">
        <f t="shared" si="25"/>
        <v>263.03901319069001</v>
      </c>
      <c r="D40" s="2444">
        <f t="shared" si="20"/>
        <v>263.03901319069001</v>
      </c>
      <c r="E40" s="2444">
        <f t="shared" si="26"/>
        <v>433.65745506782821</v>
      </c>
      <c r="F40" s="2444">
        <f t="shared" si="26"/>
        <v>233.23005080045735</v>
      </c>
      <c r="G40" s="3672"/>
      <c r="H40" s="2464">
        <v>2</v>
      </c>
      <c r="I40" s="2464">
        <v>2.4</v>
      </c>
      <c r="J40" s="2464">
        <v>2.0299999999999998</v>
      </c>
      <c r="K40" s="2464">
        <v>2.59</v>
      </c>
      <c r="L40" s="2465">
        <v>1.52</v>
      </c>
      <c r="N40" s="2446">
        <f t="shared" si="22"/>
        <v>2.4E-2</v>
      </c>
      <c r="O40" s="2442">
        <f t="shared" si="18"/>
        <v>2.0299999999999999E-2</v>
      </c>
      <c r="P40" s="2442">
        <f t="shared" si="18"/>
        <v>2.5899999999999999E-2</v>
      </c>
      <c r="Q40" s="2442">
        <f t="shared" si="18"/>
        <v>1.52E-2</v>
      </c>
      <c r="R40" s="2447"/>
      <c r="S40" s="2446"/>
      <c r="T40" s="2442"/>
      <c r="U40" s="2442"/>
      <c r="V40" s="2442"/>
      <c r="X40" s="2441">
        <f>1+N40</f>
        <v>1.024</v>
      </c>
      <c r="Y40" s="2441">
        <f>1+O40</f>
        <v>1.0203</v>
      </c>
      <c r="Z40" s="2441">
        <f t="shared" si="9"/>
        <v>1.0203</v>
      </c>
      <c r="AA40" s="2441">
        <f>1+P40</f>
        <v>1.0259</v>
      </c>
      <c r="AB40" s="2441">
        <f>1+Q40</f>
        <v>1.0152000000000001</v>
      </c>
      <c r="AD40" s="2442">
        <f>ROUND(AVERAGE(I40:I$41)/100,4)</f>
        <v>2.69E-2</v>
      </c>
      <c r="AE40" s="2442">
        <f>ROUND(AVERAGE(J40:J$41)/100,4)</f>
        <v>2.1899999999999999E-2</v>
      </c>
      <c r="AF40" s="2442">
        <f t="shared" si="10"/>
        <v>2.1899999999999999E-2</v>
      </c>
      <c r="AG40" s="2442">
        <f>ROUND(AVERAGE(K40:K$41)/100,4)</f>
        <v>2.9399999999999999E-2</v>
      </c>
      <c r="AH40" s="2442">
        <f>ROUND(AVERAGE(L40:L$41)/100,4)</f>
        <v>1.44E-2</v>
      </c>
    </row>
    <row r="41" spans="1:34" s="2477" customFormat="1" ht="13.5" thickBot="1">
      <c r="A41" s="2473" t="s">
        <v>885</v>
      </c>
      <c r="B41" s="2474">
        <f t="shared" si="25"/>
        <v>307.34512863658733</v>
      </c>
      <c r="C41" s="2474">
        <f t="shared" si="25"/>
        <v>257.80556031626975</v>
      </c>
      <c r="D41" s="2474">
        <f t="shared" si="20"/>
        <v>257.80556031626975</v>
      </c>
      <c r="E41" s="2474">
        <f t="shared" si="26"/>
        <v>422.70928459677179</v>
      </c>
      <c r="F41" s="2474">
        <f t="shared" si="26"/>
        <v>229.73803270336617</v>
      </c>
      <c r="G41" s="3673"/>
      <c r="H41" s="2475">
        <v>1</v>
      </c>
      <c r="I41" s="2475">
        <v>2.97</v>
      </c>
      <c r="J41" s="2475">
        <v>2.34</v>
      </c>
      <c r="K41" s="2475">
        <v>3.28</v>
      </c>
      <c r="L41" s="2476">
        <v>1.36</v>
      </c>
      <c r="N41" s="2478">
        <f t="shared" si="22"/>
        <v>2.9700000000000001E-2</v>
      </c>
      <c r="O41" s="2479">
        <f t="shared" si="18"/>
        <v>2.3399999999999997E-2</v>
      </c>
      <c r="P41" s="2479">
        <f t="shared" si="18"/>
        <v>3.2799999999999996E-2</v>
      </c>
      <c r="Q41" s="2479">
        <f t="shared" si="18"/>
        <v>1.3600000000000001E-2</v>
      </c>
      <c r="R41" s="2480"/>
      <c r="S41" s="2481">
        <f>B41/B42-1</f>
        <v>2.7910129219355539E-2</v>
      </c>
      <c r="T41" s="2482">
        <f>C41/C42-1</f>
        <v>2.3037937762975247E-2</v>
      </c>
      <c r="U41" s="2482">
        <f>E41/E42-1</f>
        <v>3.3519033243940788E-2</v>
      </c>
      <c r="V41" s="2482">
        <f>F41/F42-1</f>
        <v>1.2061818076502862E-2</v>
      </c>
      <c r="W41" s="2483" t="s">
        <v>1922</v>
      </c>
      <c r="X41" s="2477">
        <v>1</v>
      </c>
      <c r="Y41" s="2477">
        <v>1</v>
      </c>
      <c r="Z41" s="2477">
        <v>1</v>
      </c>
      <c r="AA41" s="2477">
        <v>1</v>
      </c>
      <c r="AB41" s="2477">
        <v>1</v>
      </c>
      <c r="AD41" s="2479">
        <f>I41/100</f>
        <v>2.9700000000000001E-2</v>
      </c>
      <c r="AE41" s="2479">
        <f>J41/100</f>
        <v>2.3399999999999997E-2</v>
      </c>
      <c r="AF41" s="2479">
        <f t="shared" si="10"/>
        <v>2.3399999999999997E-2</v>
      </c>
      <c r="AG41" s="2479">
        <f>K41/100</f>
        <v>3.2799999999999996E-2</v>
      </c>
      <c r="AH41" s="2479">
        <f>L41/100</f>
        <v>1.3600000000000001E-2</v>
      </c>
    </row>
    <row r="42" spans="1:34" ht="13.5" thickBot="1">
      <c r="A42" s="2443" t="s">
        <v>1865</v>
      </c>
      <c r="B42" s="2462">
        <v>299</v>
      </c>
      <c r="C42" s="2462">
        <v>252</v>
      </c>
      <c r="D42" s="2462">
        <f t="shared" si="20"/>
        <v>252</v>
      </c>
      <c r="E42" s="2462">
        <v>409</v>
      </c>
      <c r="F42" s="2463">
        <v>227</v>
      </c>
      <c r="G42" s="3674">
        <v>2013</v>
      </c>
      <c r="H42" s="2484">
        <v>4</v>
      </c>
      <c r="I42" s="2484">
        <v>1.83</v>
      </c>
      <c r="J42" s="2484">
        <v>1.68</v>
      </c>
      <c r="K42" s="2484">
        <v>1.97</v>
      </c>
      <c r="L42" s="2485">
        <v>0.87</v>
      </c>
      <c r="N42" s="2460">
        <f t="shared" si="22"/>
        <v>1.83E-2</v>
      </c>
      <c r="O42" s="2461">
        <f t="shared" si="18"/>
        <v>1.6799999999999999E-2</v>
      </c>
      <c r="P42" s="2461">
        <f t="shared" si="18"/>
        <v>1.9699999999999999E-2</v>
      </c>
      <c r="Q42" s="2461">
        <f t="shared" si="18"/>
        <v>8.6999999999999994E-3</v>
      </c>
      <c r="R42" s="2447"/>
      <c r="S42" s="2456"/>
      <c r="T42" s="2457"/>
      <c r="U42" s="2457"/>
      <c r="V42" s="2457"/>
      <c r="X42" s="2457"/>
      <c r="Y42" s="2457"/>
      <c r="Z42" s="2457"/>
    </row>
    <row r="43" spans="1:34">
      <c r="A43" s="2443" t="s">
        <v>1866</v>
      </c>
      <c r="B43" s="2444">
        <f t="shared" ref="B43:C45" si="27">B42/(1+N42)</f>
        <v>293.62663262299913</v>
      </c>
      <c r="C43" s="2444">
        <f t="shared" si="27"/>
        <v>247.83634933123525</v>
      </c>
      <c r="D43" s="2444">
        <f t="shared" si="20"/>
        <v>247.83634933123525</v>
      </c>
      <c r="E43" s="2444">
        <f t="shared" ref="E43:F45" si="28">E42/(1+P42)</f>
        <v>401.09836226341076</v>
      </c>
      <c r="F43" s="2444">
        <f t="shared" si="28"/>
        <v>225.04213343908003</v>
      </c>
      <c r="G43" s="3675"/>
      <c r="H43" s="2467">
        <v>3</v>
      </c>
      <c r="I43" s="2467">
        <v>1.86</v>
      </c>
      <c r="J43" s="2467">
        <v>1.72</v>
      </c>
      <c r="K43" s="2467">
        <v>1.98</v>
      </c>
      <c r="L43" s="2468">
        <v>0.88</v>
      </c>
      <c r="N43" s="2446">
        <f t="shared" si="22"/>
        <v>1.8600000000000002E-2</v>
      </c>
      <c r="O43" s="2442">
        <f t="shared" si="18"/>
        <v>1.72E-2</v>
      </c>
      <c r="P43" s="2442">
        <f t="shared" si="18"/>
        <v>1.9799999999999998E-2</v>
      </c>
      <c r="Q43" s="2442">
        <f t="shared" si="18"/>
        <v>8.8000000000000005E-3</v>
      </c>
      <c r="R43" s="2447"/>
      <c r="S43" s="2446"/>
      <c r="T43" s="2442"/>
      <c r="U43" s="2442"/>
      <c r="V43" s="2442"/>
    </row>
    <row r="44" spans="1:34">
      <c r="A44" s="2443" t="s">
        <v>1867</v>
      </c>
      <c r="B44" s="2444">
        <f t="shared" si="27"/>
        <v>288.2649053828776</v>
      </c>
      <c r="C44" s="2444">
        <f t="shared" si="27"/>
        <v>243.64564425013293</v>
      </c>
      <c r="D44" s="2444">
        <f t="shared" si="20"/>
        <v>243.64564425013293</v>
      </c>
      <c r="E44" s="2444">
        <f t="shared" si="28"/>
        <v>393.31080825986544</v>
      </c>
      <c r="F44" s="2444">
        <f t="shared" si="28"/>
        <v>223.07903790551154</v>
      </c>
      <c r="G44" s="3675"/>
      <c r="H44" s="2458">
        <v>2</v>
      </c>
      <c r="I44" s="2458">
        <v>2.04</v>
      </c>
      <c r="J44" s="2458">
        <v>2.33</v>
      </c>
      <c r="K44" s="2458">
        <v>2.0699999999999998</v>
      </c>
      <c r="L44" s="2459">
        <v>0.69</v>
      </c>
      <c r="N44" s="2446">
        <f t="shared" si="22"/>
        <v>2.0400000000000001E-2</v>
      </c>
      <c r="O44" s="2442">
        <f t="shared" si="18"/>
        <v>2.3300000000000001E-2</v>
      </c>
      <c r="P44" s="2442">
        <f t="shared" si="18"/>
        <v>2.07E-2</v>
      </c>
      <c r="Q44" s="2442">
        <f t="shared" si="18"/>
        <v>6.8999999999999999E-3</v>
      </c>
      <c r="R44" s="2447"/>
      <c r="S44" s="2446"/>
      <c r="T44" s="2442"/>
      <c r="U44" s="2442"/>
      <c r="V44" s="2442"/>
      <c r="X44" s="2486"/>
      <c r="Y44" s="2487"/>
    </row>
    <row r="45" spans="1:34">
      <c r="A45" s="2443" t="s">
        <v>1868</v>
      </c>
      <c r="B45" s="2444">
        <f t="shared" si="27"/>
        <v>282.50186729015837</v>
      </c>
      <c r="C45" s="2444">
        <f t="shared" si="27"/>
        <v>238.09796174155468</v>
      </c>
      <c r="D45" s="2444">
        <f t="shared" si="20"/>
        <v>238.09796174155468</v>
      </c>
      <c r="E45" s="2444">
        <f t="shared" si="28"/>
        <v>385.33438646014054</v>
      </c>
      <c r="F45" s="2444">
        <f t="shared" si="28"/>
        <v>221.55034055567739</v>
      </c>
      <c r="G45" s="3676"/>
      <c r="H45" s="2445">
        <v>1</v>
      </c>
      <c r="I45" s="2445">
        <v>1.67</v>
      </c>
      <c r="J45" s="2445">
        <v>1.31</v>
      </c>
      <c r="K45" s="2445">
        <v>1.85</v>
      </c>
      <c r="L45" s="2451">
        <v>0.96</v>
      </c>
      <c r="N45" s="2448">
        <f t="shared" si="22"/>
        <v>1.67E-2</v>
      </c>
      <c r="O45" s="2449">
        <f t="shared" si="18"/>
        <v>1.3100000000000001E-2</v>
      </c>
      <c r="P45" s="2449">
        <f t="shared" si="18"/>
        <v>1.8500000000000003E-2</v>
      </c>
      <c r="Q45" s="2449">
        <f t="shared" si="18"/>
        <v>9.5999999999999992E-3</v>
      </c>
      <c r="R45" s="2447"/>
      <c r="S45" s="2448">
        <f>B45/B46-1</f>
        <v>1.6193767230785472E-2</v>
      </c>
      <c r="T45" s="2449">
        <f>C45/C46-1</f>
        <v>1.7512657015190891E-2</v>
      </c>
      <c r="U45" s="2449">
        <f>E45/E46-1</f>
        <v>1.6713420739157048E-2</v>
      </c>
      <c r="V45" s="2449">
        <f>F45/F46-1</f>
        <v>7.0470025258062563E-3</v>
      </c>
      <c r="Y45" s="2442"/>
      <c r="Z45" s="2442"/>
    </row>
    <row r="46" spans="1:34" ht="13.5" thickBot="1">
      <c r="A46" s="2443" t="s">
        <v>1869</v>
      </c>
      <c r="B46" s="2488">
        <v>278</v>
      </c>
      <c r="C46" s="2488">
        <v>234</v>
      </c>
      <c r="D46" s="2488">
        <f t="shared" si="20"/>
        <v>234</v>
      </c>
      <c r="E46" s="2488">
        <v>379</v>
      </c>
      <c r="F46" s="2489">
        <v>220</v>
      </c>
      <c r="G46" s="3671">
        <v>2012</v>
      </c>
      <c r="H46" s="2464">
        <v>4</v>
      </c>
      <c r="I46" s="2464">
        <v>0.91</v>
      </c>
      <c r="J46" s="2464">
        <v>0.68</v>
      </c>
      <c r="K46" s="2464">
        <v>0.98</v>
      </c>
      <c r="L46" s="2465">
        <v>0.9</v>
      </c>
      <c r="N46" s="2446">
        <f t="shared" si="22"/>
        <v>9.1000000000000004E-3</v>
      </c>
      <c r="O46" s="2442">
        <f t="shared" si="22"/>
        <v>6.8000000000000005E-3</v>
      </c>
      <c r="P46" s="2442">
        <f t="shared" si="22"/>
        <v>9.7999999999999997E-3</v>
      </c>
      <c r="Q46" s="2442">
        <f t="shared" si="22"/>
        <v>9.0000000000000011E-3</v>
      </c>
      <c r="R46" s="2447"/>
      <c r="S46" s="2456"/>
      <c r="T46" s="2457"/>
      <c r="U46" s="2457"/>
      <c r="V46" s="2457"/>
      <c r="X46" s="2457"/>
      <c r="Y46" s="2457"/>
      <c r="Z46" s="2457"/>
    </row>
    <row r="47" spans="1:34">
      <c r="A47" s="2443" t="s">
        <v>1870</v>
      </c>
      <c r="B47" s="2444">
        <f>B46/(1+N46)</f>
        <v>275.49301357645425</v>
      </c>
      <c r="C47" s="2444">
        <f>C46/(1+O46)</f>
        <v>232.41954707985698</v>
      </c>
      <c r="D47" s="2444">
        <f t="shared" si="20"/>
        <v>232.41954707985698</v>
      </c>
      <c r="E47" s="2444">
        <f t="shared" ref="E47:F49" si="29">E46/(1+P46)</f>
        <v>375.32184591008121</v>
      </c>
      <c r="F47" s="2444">
        <f t="shared" si="29"/>
        <v>218.03766105054513</v>
      </c>
      <c r="G47" s="3672"/>
      <c r="H47" s="2467">
        <v>3</v>
      </c>
      <c r="I47" s="2467">
        <v>0.09</v>
      </c>
      <c r="J47" s="2467">
        <v>0.28999999999999998</v>
      </c>
      <c r="K47" s="2467">
        <v>-0.01</v>
      </c>
      <c r="L47" s="2468">
        <v>0.57999999999999996</v>
      </c>
      <c r="N47" s="2446">
        <f t="shared" si="22"/>
        <v>8.9999999999999998E-4</v>
      </c>
      <c r="O47" s="2442">
        <f t="shared" si="22"/>
        <v>2.8999999999999998E-3</v>
      </c>
      <c r="P47" s="2442">
        <f t="shared" si="22"/>
        <v>-1E-4</v>
      </c>
      <c r="Q47" s="2442">
        <f t="shared" si="22"/>
        <v>5.7999999999999996E-3</v>
      </c>
      <c r="R47" s="2447"/>
      <c r="S47" s="2446"/>
      <c r="T47" s="2442"/>
      <c r="U47" s="2442"/>
      <c r="V47" s="2442"/>
    </row>
    <row r="48" spans="1:34">
      <c r="A48" s="2443" t="s">
        <v>1871</v>
      </c>
      <c r="B48" s="2444">
        <f>B47/(1+N47)</f>
        <v>275.24529281292263</v>
      </c>
      <c r="C48" s="2444">
        <f>C47/(1+O47)</f>
        <v>231.74747938962707</v>
      </c>
      <c r="D48" s="2444">
        <f t="shared" si="20"/>
        <v>231.74747938962707</v>
      </c>
      <c r="E48" s="2444">
        <f t="shared" si="29"/>
        <v>375.35938184826603</v>
      </c>
      <c r="F48" s="2444">
        <f t="shared" si="29"/>
        <v>216.78033510692495</v>
      </c>
      <c r="G48" s="3672"/>
      <c r="H48" s="2458">
        <v>2</v>
      </c>
      <c r="I48" s="2458">
        <v>0.02</v>
      </c>
      <c r="J48" s="2458">
        <v>0.12</v>
      </c>
      <c r="K48" s="2458">
        <v>-0.08</v>
      </c>
      <c r="L48" s="2459">
        <v>1.24</v>
      </c>
      <c r="N48" s="2446">
        <f t="shared" si="22"/>
        <v>2.0000000000000001E-4</v>
      </c>
      <c r="O48" s="2442">
        <f t="shared" si="22"/>
        <v>1.1999999999999999E-3</v>
      </c>
      <c r="P48" s="2442">
        <f t="shared" si="22"/>
        <v>-8.0000000000000004E-4</v>
      </c>
      <c r="Q48" s="2442">
        <f t="shared" si="22"/>
        <v>1.24E-2</v>
      </c>
      <c r="R48" s="2447"/>
      <c r="S48" s="2446"/>
      <c r="T48" s="2442"/>
      <c r="U48" s="2442"/>
      <c r="V48" s="2442"/>
    </row>
    <row r="49" spans="1:26" ht="13.5" thickBot="1">
      <c r="A49" s="2443" t="s">
        <v>1872</v>
      </c>
      <c r="B49" s="2444">
        <f>B48/(1+N48)</f>
        <v>275.19025476197027</v>
      </c>
      <c r="C49" s="2490">
        <v>232</v>
      </c>
      <c r="D49" s="2490">
        <f t="shared" si="20"/>
        <v>232</v>
      </c>
      <c r="E49" s="2444">
        <f t="shared" si="29"/>
        <v>375.65990977608692</v>
      </c>
      <c r="F49" s="2444">
        <f t="shared" si="29"/>
        <v>214.12518283971252</v>
      </c>
      <c r="G49" s="3673"/>
      <c r="H49" s="2445">
        <v>1</v>
      </c>
      <c r="I49" s="2445">
        <v>0.02</v>
      </c>
      <c r="J49" s="2445">
        <v>0.13</v>
      </c>
      <c r="K49" s="2445">
        <v>-0.04</v>
      </c>
      <c r="L49" s="2451">
        <v>0.46</v>
      </c>
      <c r="N49" s="2446">
        <f t="shared" si="22"/>
        <v>2.0000000000000001E-4</v>
      </c>
      <c r="O49" s="2442">
        <f t="shared" si="22"/>
        <v>1.2999999999999999E-3</v>
      </c>
      <c r="P49" s="2442">
        <f t="shared" si="22"/>
        <v>-4.0000000000000002E-4</v>
      </c>
      <c r="Q49" s="2442">
        <f t="shared" si="22"/>
        <v>4.5999999999999999E-3</v>
      </c>
      <c r="R49" s="2447"/>
      <c r="S49" s="2448">
        <f>B49/B50-1</f>
        <v>6.9183549807361189E-4</v>
      </c>
      <c r="T49" s="2449">
        <f>C49/C50-1</f>
        <v>0</v>
      </c>
      <c r="U49" s="2449">
        <f>E49/E50-1</f>
        <v>-9.0449527636460303E-4</v>
      </c>
      <c r="V49" s="2449">
        <f>F49/F50-1</f>
        <v>5.2825485432512753E-3</v>
      </c>
      <c r="X49" s="2442"/>
      <c r="Y49" s="2442"/>
      <c r="Z49" s="2442"/>
    </row>
    <row r="50" spans="1:26" ht="13.5" thickBot="1">
      <c r="A50" s="2443" t="s">
        <v>1873</v>
      </c>
      <c r="B50" s="2462">
        <v>275</v>
      </c>
      <c r="C50" s="2462">
        <v>232</v>
      </c>
      <c r="D50" s="2462">
        <f t="shared" si="20"/>
        <v>232</v>
      </c>
      <c r="E50" s="2462">
        <v>376</v>
      </c>
      <c r="F50" s="2463">
        <v>213</v>
      </c>
      <c r="G50" s="3671">
        <v>2011</v>
      </c>
      <c r="H50" s="2464">
        <v>4</v>
      </c>
      <c r="I50" s="2464">
        <v>-0.2</v>
      </c>
      <c r="J50" s="2464">
        <v>0.04</v>
      </c>
      <c r="K50" s="2464">
        <v>-0.34</v>
      </c>
      <c r="L50" s="2465">
        <v>0.46</v>
      </c>
      <c r="N50" s="2460">
        <f t="shared" si="22"/>
        <v>-2E-3</v>
      </c>
      <c r="O50" s="2461">
        <f t="shared" si="22"/>
        <v>4.0000000000000002E-4</v>
      </c>
      <c r="P50" s="2461">
        <f t="shared" si="22"/>
        <v>-3.4000000000000002E-3</v>
      </c>
      <c r="Q50" s="2461">
        <f t="shared" si="22"/>
        <v>4.5999999999999999E-3</v>
      </c>
      <c r="R50" s="2447"/>
      <c r="S50" s="2456"/>
      <c r="T50" s="2457"/>
      <c r="U50" s="2457"/>
      <c r="V50" s="2457"/>
      <c r="X50" s="2457"/>
      <c r="Y50" s="2457"/>
      <c r="Z50" s="2457"/>
    </row>
    <row r="51" spans="1:26">
      <c r="A51" s="2443" t="s">
        <v>1874</v>
      </c>
      <c r="B51" s="2444">
        <f t="shared" ref="B51:C53" si="30">B50/(1+N50)</f>
        <v>275.55110220440883</v>
      </c>
      <c r="C51" s="2444">
        <f t="shared" si="30"/>
        <v>231.90723710515795</v>
      </c>
      <c r="D51" s="2444">
        <f t="shared" si="20"/>
        <v>231.90723710515795</v>
      </c>
      <c r="E51" s="2444">
        <f t="shared" ref="E51:F53" si="31">E50/(1+P50)</f>
        <v>377.28276138872161</v>
      </c>
      <c r="F51" s="2444">
        <f t="shared" si="31"/>
        <v>212.02468644236512</v>
      </c>
      <c r="G51" s="3672">
        <v>2011</v>
      </c>
      <c r="H51" s="2467">
        <v>3</v>
      </c>
      <c r="I51" s="2467">
        <v>0.13</v>
      </c>
      <c r="J51" s="2467">
        <v>0.75</v>
      </c>
      <c r="K51" s="2467">
        <v>-0.08</v>
      </c>
      <c r="L51" s="2468">
        <v>0.53</v>
      </c>
      <c r="N51" s="2446">
        <f t="shared" si="22"/>
        <v>1.2999999999999999E-3</v>
      </c>
      <c r="O51" s="2442">
        <f t="shared" si="22"/>
        <v>7.4999999999999997E-3</v>
      </c>
      <c r="P51" s="2442">
        <f t="shared" si="22"/>
        <v>-8.0000000000000004E-4</v>
      </c>
      <c r="Q51" s="2442">
        <f t="shared" si="22"/>
        <v>5.3E-3</v>
      </c>
      <c r="R51" s="2447"/>
      <c r="S51" s="2446"/>
      <c r="T51" s="2442"/>
      <c r="U51" s="2442"/>
      <c r="V51" s="2442"/>
    </row>
    <row r="52" spans="1:26">
      <c r="A52" s="2443" t="s">
        <v>1875</v>
      </c>
      <c r="B52" s="2444">
        <f t="shared" si="30"/>
        <v>275.19335084830601</v>
      </c>
      <c r="C52" s="2444">
        <f t="shared" si="30"/>
        <v>230.18088050139744</v>
      </c>
      <c r="D52" s="2444">
        <f t="shared" si="20"/>
        <v>230.18088050139744</v>
      </c>
      <c r="E52" s="2444">
        <f t="shared" si="31"/>
        <v>377.58482925212331</v>
      </c>
      <c r="F52" s="2444">
        <f t="shared" si="31"/>
        <v>210.90687997847917</v>
      </c>
      <c r="G52" s="3672">
        <v>2011</v>
      </c>
      <c r="H52" s="2458">
        <v>2</v>
      </c>
      <c r="I52" s="2458">
        <v>-0.4</v>
      </c>
      <c r="J52" s="2458">
        <v>0.17</v>
      </c>
      <c r="K52" s="2458">
        <v>-0.57999999999999996</v>
      </c>
      <c r="L52" s="2459">
        <v>-0.2</v>
      </c>
      <c r="N52" s="2446">
        <f t="shared" si="22"/>
        <v>-4.0000000000000001E-3</v>
      </c>
      <c r="O52" s="2442">
        <f t="shared" si="22"/>
        <v>1.7000000000000001E-3</v>
      </c>
      <c r="P52" s="2442">
        <f t="shared" si="22"/>
        <v>-5.7999999999999996E-3</v>
      </c>
      <c r="Q52" s="2442">
        <f t="shared" si="22"/>
        <v>-2E-3</v>
      </c>
      <c r="R52" s="2447"/>
      <c r="S52" s="2446"/>
      <c r="T52" s="2442"/>
      <c r="U52" s="2442"/>
      <c r="V52" s="2442"/>
    </row>
    <row r="53" spans="1:26" ht="13.5" thickBot="1">
      <c r="A53" s="2443" t="s">
        <v>1876</v>
      </c>
      <c r="B53" s="2444">
        <f t="shared" si="30"/>
        <v>276.29854502841971</v>
      </c>
      <c r="C53" s="2444">
        <f t="shared" si="30"/>
        <v>229.79023709833027</v>
      </c>
      <c r="D53" s="2444">
        <f t="shared" si="20"/>
        <v>229.79023709833027</v>
      </c>
      <c r="E53" s="2444">
        <f t="shared" si="31"/>
        <v>379.78759731655936</v>
      </c>
      <c r="F53" s="2444">
        <f t="shared" si="31"/>
        <v>211.32953905659235</v>
      </c>
      <c r="G53" s="3673">
        <v>2011</v>
      </c>
      <c r="H53" s="2445">
        <v>1</v>
      </c>
      <c r="I53" s="2445">
        <v>2.65</v>
      </c>
      <c r="J53" s="2445">
        <v>3.76</v>
      </c>
      <c r="K53" s="2445">
        <v>1.89</v>
      </c>
      <c r="L53" s="2451">
        <v>7.95</v>
      </c>
      <c r="N53" s="2448">
        <f t="shared" si="22"/>
        <v>2.6499999999999999E-2</v>
      </c>
      <c r="O53" s="2449">
        <f t="shared" si="22"/>
        <v>3.7599999999999995E-2</v>
      </c>
      <c r="P53" s="2449">
        <f t="shared" si="22"/>
        <v>1.89E-2</v>
      </c>
      <c r="Q53" s="2449">
        <f t="shared" si="22"/>
        <v>7.9500000000000001E-2</v>
      </c>
      <c r="R53" s="2447"/>
      <c r="S53" s="2448">
        <f>B53/B54-1</f>
        <v>2.713213765211786E-2</v>
      </c>
      <c r="T53" s="2449">
        <f>C53/C54-1</f>
        <v>3.9774828499231862E-2</v>
      </c>
      <c r="U53" s="2449">
        <f>E53/E54-1</f>
        <v>1.8197311840641772E-2</v>
      </c>
      <c r="V53" s="2449">
        <f>F53/F54-1</f>
        <v>7.8211933962205826E-2</v>
      </c>
      <c r="X53" s="2442"/>
      <c r="Y53" s="2442"/>
      <c r="Z53" s="2442"/>
    </row>
    <row r="54" spans="1:26" ht="13.5" thickBot="1">
      <c r="A54" s="2443" t="s">
        <v>1877</v>
      </c>
      <c r="B54" s="2462">
        <v>269</v>
      </c>
      <c r="C54" s="2462">
        <v>221</v>
      </c>
      <c r="D54" s="2462">
        <f t="shared" si="20"/>
        <v>221</v>
      </c>
      <c r="E54" s="2462">
        <v>373</v>
      </c>
      <c r="F54" s="2463">
        <v>196</v>
      </c>
      <c r="G54" s="3671">
        <v>2010</v>
      </c>
      <c r="H54" s="2464">
        <v>4</v>
      </c>
      <c r="I54" s="2464">
        <v>5.72</v>
      </c>
      <c r="J54" s="2464">
        <v>6.57</v>
      </c>
      <c r="K54" s="2464">
        <v>5.72</v>
      </c>
      <c r="L54" s="2465">
        <v>2.72</v>
      </c>
      <c r="N54" s="2446">
        <f t="shared" si="22"/>
        <v>5.7200000000000001E-2</v>
      </c>
      <c r="O54" s="2442">
        <f t="shared" si="22"/>
        <v>6.5700000000000008E-2</v>
      </c>
      <c r="P54" s="2442">
        <f t="shared" si="22"/>
        <v>5.7200000000000001E-2</v>
      </c>
      <c r="Q54" s="2442">
        <f t="shared" si="22"/>
        <v>2.7200000000000002E-2</v>
      </c>
      <c r="R54" s="2447"/>
      <c r="S54" s="2456"/>
      <c r="T54" s="2457"/>
      <c r="U54" s="2457"/>
      <c r="V54" s="2457"/>
      <c r="X54" s="2457"/>
      <c r="Y54" s="2457"/>
      <c r="Z54" s="2457"/>
    </row>
    <row r="55" spans="1:26">
      <c r="A55" s="2443" t="s">
        <v>1878</v>
      </c>
      <c r="B55" s="2444">
        <f t="shared" ref="B55:C57" si="32">B54/(1+N54)</f>
        <v>254.44570563753314</v>
      </c>
      <c r="C55" s="2444">
        <f t="shared" si="32"/>
        <v>207.37543398705074</v>
      </c>
      <c r="D55" s="2444">
        <f t="shared" si="20"/>
        <v>207.37543398705074</v>
      </c>
      <c r="E55" s="2444">
        <f t="shared" ref="E55:F57" si="33">E54/(1+P54)</f>
        <v>352.81876655315932</v>
      </c>
      <c r="F55" s="2444">
        <f t="shared" si="33"/>
        <v>190.809968847352</v>
      </c>
      <c r="G55" s="3672">
        <v>2010</v>
      </c>
      <c r="H55" s="2467">
        <v>3</v>
      </c>
      <c r="I55" s="2467">
        <v>4.7300000000000004</v>
      </c>
      <c r="J55" s="2467">
        <v>3.9</v>
      </c>
      <c r="K55" s="2467">
        <v>5.03</v>
      </c>
      <c r="L55" s="2468">
        <v>4.21</v>
      </c>
      <c r="N55" s="2446">
        <f t="shared" si="22"/>
        <v>4.7300000000000002E-2</v>
      </c>
      <c r="O55" s="2442">
        <f t="shared" si="22"/>
        <v>3.9E-2</v>
      </c>
      <c r="P55" s="2442">
        <f t="shared" si="22"/>
        <v>5.0300000000000004E-2</v>
      </c>
      <c r="Q55" s="2442">
        <f t="shared" si="22"/>
        <v>4.2099999999999999E-2</v>
      </c>
      <c r="R55" s="2447"/>
      <c r="S55" s="2446"/>
      <c r="T55" s="2442"/>
      <c r="U55" s="2442"/>
      <c r="V55" s="2442"/>
    </row>
    <row r="56" spans="1:26">
      <c r="A56" s="2443" t="s">
        <v>1879</v>
      </c>
      <c r="B56" s="2444">
        <f t="shared" si="32"/>
        <v>242.95398227588385</v>
      </c>
      <c r="C56" s="2444">
        <f t="shared" si="32"/>
        <v>199.59137053614126</v>
      </c>
      <c r="D56" s="2444">
        <f t="shared" si="20"/>
        <v>199.59137053614126</v>
      </c>
      <c r="E56" s="2444">
        <f t="shared" si="33"/>
        <v>335.92189522342125</v>
      </c>
      <c r="F56" s="2444">
        <f t="shared" si="33"/>
        <v>183.10139991109489</v>
      </c>
      <c r="G56" s="3672">
        <v>2010</v>
      </c>
      <c r="H56" s="2458">
        <v>2</v>
      </c>
      <c r="I56" s="2458">
        <v>4.6900000000000004</v>
      </c>
      <c r="J56" s="2458">
        <v>3.55</v>
      </c>
      <c r="K56" s="2458">
        <v>5.07</v>
      </c>
      <c r="L56" s="2459">
        <v>4.2300000000000004</v>
      </c>
      <c r="N56" s="2446">
        <f t="shared" si="22"/>
        <v>4.6900000000000004E-2</v>
      </c>
      <c r="O56" s="2442">
        <f t="shared" si="22"/>
        <v>3.5499999999999997E-2</v>
      </c>
      <c r="P56" s="2442">
        <f t="shared" si="22"/>
        <v>5.0700000000000002E-2</v>
      </c>
      <c r="Q56" s="2442">
        <f t="shared" si="22"/>
        <v>4.2300000000000004E-2</v>
      </c>
      <c r="R56" s="2447"/>
      <c r="S56" s="2446"/>
      <c r="T56" s="2442"/>
      <c r="U56" s="2442"/>
      <c r="V56" s="2442"/>
    </row>
    <row r="57" spans="1:26" ht="13.5" thickBot="1">
      <c r="A57" s="2443" t="s">
        <v>1880</v>
      </c>
      <c r="B57" s="2444">
        <f t="shared" si="32"/>
        <v>232.06990378821649</v>
      </c>
      <c r="C57" s="2444">
        <f t="shared" si="32"/>
        <v>192.74878854286936</v>
      </c>
      <c r="D57" s="2444">
        <f t="shared" si="20"/>
        <v>192.74878854286936</v>
      </c>
      <c r="E57" s="2444">
        <f t="shared" si="33"/>
        <v>319.71247284992984</v>
      </c>
      <c r="F57" s="2444">
        <f t="shared" si="33"/>
        <v>175.67053622862409</v>
      </c>
      <c r="G57" s="3673">
        <v>2010</v>
      </c>
      <c r="H57" s="2445">
        <v>1</v>
      </c>
      <c r="I57" s="2445">
        <v>5.4</v>
      </c>
      <c r="J57" s="2445">
        <v>3.2</v>
      </c>
      <c r="K57" s="2445">
        <v>6.16</v>
      </c>
      <c r="L57" s="2451">
        <v>4.51</v>
      </c>
      <c r="N57" s="2446">
        <f t="shared" si="22"/>
        <v>5.4000000000000006E-2</v>
      </c>
      <c r="O57" s="2442">
        <f t="shared" si="22"/>
        <v>3.2000000000000001E-2</v>
      </c>
      <c r="P57" s="2442">
        <f t="shared" si="22"/>
        <v>6.1600000000000002E-2</v>
      </c>
      <c r="Q57" s="2442">
        <f t="shared" si="22"/>
        <v>4.5100000000000001E-2</v>
      </c>
      <c r="R57" s="2447"/>
      <c r="S57" s="2448">
        <f>B57/B58-1</f>
        <v>5.4863199037347599E-2</v>
      </c>
      <c r="T57" s="2449">
        <f>C57/C58-1</f>
        <v>3.0742184721226584E-2</v>
      </c>
      <c r="U57" s="2449">
        <f>E57/E58-1</f>
        <v>6.2167683886810154E-2</v>
      </c>
      <c r="V57" s="2449">
        <f>F57/F58-1</f>
        <v>4.5657953741810031E-2</v>
      </c>
      <c r="X57" s="2442"/>
      <c r="Y57" s="2442"/>
      <c r="Z57" s="2442"/>
    </row>
    <row r="58" spans="1:26" ht="13.5" thickBot="1">
      <c r="A58" s="2443" t="s">
        <v>1881</v>
      </c>
      <c r="B58" s="2462">
        <v>220</v>
      </c>
      <c r="C58" s="2462">
        <v>187</v>
      </c>
      <c r="D58" s="2462">
        <f t="shared" si="20"/>
        <v>187</v>
      </c>
      <c r="E58" s="2462">
        <v>301</v>
      </c>
      <c r="F58" s="2463">
        <v>168</v>
      </c>
      <c r="G58" s="3671">
        <v>2009</v>
      </c>
      <c r="H58" s="2464">
        <v>4</v>
      </c>
      <c r="I58" s="2464">
        <v>2.2999999999999998</v>
      </c>
      <c r="J58" s="2464">
        <v>1.04</v>
      </c>
      <c r="K58" s="2464">
        <v>2.84</v>
      </c>
      <c r="L58" s="2465">
        <v>0.67</v>
      </c>
      <c r="N58" s="2460">
        <f t="shared" si="22"/>
        <v>2.3E-2</v>
      </c>
      <c r="O58" s="2461">
        <f t="shared" si="22"/>
        <v>1.04E-2</v>
      </c>
      <c r="P58" s="2461">
        <f t="shared" si="22"/>
        <v>2.8399999999999998E-2</v>
      </c>
      <c r="Q58" s="2461">
        <f t="shared" si="22"/>
        <v>6.7000000000000002E-3</v>
      </c>
      <c r="R58" s="2447"/>
      <c r="S58" s="2456"/>
      <c r="T58" s="2457"/>
      <c r="U58" s="2457"/>
      <c r="V58" s="2457"/>
      <c r="X58" s="2457"/>
      <c r="Y58" s="2457"/>
      <c r="Z58" s="2457"/>
    </row>
    <row r="59" spans="1:26">
      <c r="A59" s="2443" t="s">
        <v>1882</v>
      </c>
      <c r="B59" s="2444">
        <f t="shared" ref="B59:C61" si="34">B58/(1+N58)</f>
        <v>215.05376344086022</v>
      </c>
      <c r="C59" s="2444">
        <f t="shared" si="34"/>
        <v>185.0752177355503</v>
      </c>
      <c r="D59" s="2444">
        <f t="shared" si="20"/>
        <v>185.0752177355503</v>
      </c>
      <c r="E59" s="2444">
        <f t="shared" ref="E59:F61" si="35">E58/(1+P58)</f>
        <v>292.68767016725008</v>
      </c>
      <c r="F59" s="2444">
        <f t="shared" si="35"/>
        <v>166.88189132810174</v>
      </c>
      <c r="G59" s="3672">
        <v>2009</v>
      </c>
      <c r="H59" s="2467">
        <v>3</v>
      </c>
      <c r="I59" s="2467">
        <v>2.1</v>
      </c>
      <c r="J59" s="2467">
        <v>1.86</v>
      </c>
      <c r="K59" s="2467">
        <v>2.29</v>
      </c>
      <c r="L59" s="2468">
        <v>0.85</v>
      </c>
      <c r="N59" s="2446">
        <f t="shared" si="22"/>
        <v>2.1000000000000001E-2</v>
      </c>
      <c r="O59" s="2442">
        <f t="shared" si="22"/>
        <v>1.8600000000000002E-2</v>
      </c>
      <c r="P59" s="2442">
        <f t="shared" si="22"/>
        <v>2.29E-2</v>
      </c>
      <c r="Q59" s="2442">
        <f t="shared" si="22"/>
        <v>8.5000000000000006E-3</v>
      </c>
      <c r="R59" s="2447"/>
      <c r="S59" s="2446"/>
      <c r="T59" s="2442"/>
      <c r="U59" s="2442"/>
      <c r="V59" s="2442"/>
    </row>
    <row r="60" spans="1:26">
      <c r="A60" s="2443" t="s">
        <v>1883</v>
      </c>
      <c r="B60" s="2444">
        <f t="shared" si="34"/>
        <v>210.630522469011</v>
      </c>
      <c r="C60" s="2444">
        <f t="shared" si="34"/>
        <v>181.69567812247232</v>
      </c>
      <c r="D60" s="2444">
        <f t="shared" si="20"/>
        <v>181.69567812247232</v>
      </c>
      <c r="E60" s="2444">
        <f t="shared" si="35"/>
        <v>286.13517466736738</v>
      </c>
      <c r="F60" s="2444">
        <f t="shared" si="35"/>
        <v>165.47535084591149</v>
      </c>
      <c r="G60" s="3672">
        <v>2009</v>
      </c>
      <c r="H60" s="2458">
        <v>2</v>
      </c>
      <c r="I60" s="2458">
        <v>0.86</v>
      </c>
      <c r="J60" s="2458">
        <v>-1.1299999999999999</v>
      </c>
      <c r="K60" s="2458">
        <v>1.79</v>
      </c>
      <c r="L60" s="2459">
        <v>-2.0699999999999998</v>
      </c>
      <c r="N60" s="2446">
        <f t="shared" si="22"/>
        <v>8.6E-3</v>
      </c>
      <c r="O60" s="2442">
        <f t="shared" si="22"/>
        <v>-1.1299999999999999E-2</v>
      </c>
      <c r="P60" s="2442">
        <f t="shared" si="22"/>
        <v>1.7899999999999999E-2</v>
      </c>
      <c r="Q60" s="2442">
        <f t="shared" si="22"/>
        <v>-2.07E-2</v>
      </c>
      <c r="R60" s="2447"/>
      <c r="S60" s="2446"/>
      <c r="T60" s="2442"/>
      <c r="U60" s="2442"/>
      <c r="V60" s="2442"/>
    </row>
    <row r="61" spans="1:26">
      <c r="A61" s="2443" t="s">
        <v>1884</v>
      </c>
      <c r="B61" s="2444">
        <f t="shared" si="34"/>
        <v>208.83454537875372</v>
      </c>
      <c r="C61" s="2444">
        <f t="shared" si="34"/>
        <v>183.77230517090351</v>
      </c>
      <c r="D61" s="2444">
        <f t="shared" si="20"/>
        <v>183.77230517090351</v>
      </c>
      <c r="E61" s="2444">
        <f t="shared" si="35"/>
        <v>281.10342338870947</v>
      </c>
      <c r="F61" s="2444">
        <f t="shared" si="35"/>
        <v>168.97309388942256</v>
      </c>
      <c r="G61" s="3673">
        <v>2009</v>
      </c>
      <c r="H61" s="2445">
        <v>1</v>
      </c>
      <c r="I61" s="2445">
        <v>-2.64</v>
      </c>
      <c r="J61" s="2445">
        <v>-2.5299999999999998</v>
      </c>
      <c r="K61" s="2445">
        <v>-3.02</v>
      </c>
      <c r="L61" s="2451">
        <v>1.52</v>
      </c>
      <c r="N61" s="2448">
        <f t="shared" si="22"/>
        <v>-2.64E-2</v>
      </c>
      <c r="O61" s="2449">
        <f t="shared" si="22"/>
        <v>-2.53E-2</v>
      </c>
      <c r="P61" s="2449">
        <f t="shared" si="22"/>
        <v>-3.0200000000000001E-2</v>
      </c>
      <c r="Q61" s="2449">
        <f t="shared" si="22"/>
        <v>1.52E-2</v>
      </c>
      <c r="R61" s="2447"/>
      <c r="S61" s="2448">
        <f>B61/B62-1</f>
        <v>-2.4137638417038754E-2</v>
      </c>
      <c r="T61" s="2449">
        <f>C61/C62-1</f>
        <v>-2.248773845264096E-2</v>
      </c>
      <c r="U61" s="2449">
        <f>E61/E62-1</f>
        <v>-2.7323794502735366E-2</v>
      </c>
      <c r="V61" s="2449">
        <f>F61/F62-1</f>
        <v>1.7910204153148035E-2</v>
      </c>
      <c r="X61" s="2442"/>
      <c r="Y61" s="2442"/>
      <c r="Z61" s="2442"/>
    </row>
    <row r="62" spans="1:26" ht="13.5" thickBot="1">
      <c r="A62" s="2443" t="s">
        <v>1885</v>
      </c>
      <c r="B62" s="2488">
        <v>214</v>
      </c>
      <c r="C62" s="2488">
        <v>188</v>
      </c>
      <c r="D62" s="2488">
        <f t="shared" si="20"/>
        <v>188</v>
      </c>
      <c r="E62" s="2488">
        <v>289</v>
      </c>
      <c r="F62" s="2489">
        <v>166</v>
      </c>
      <c r="G62" s="3671">
        <v>2008</v>
      </c>
      <c r="H62" s="2464">
        <v>4</v>
      </c>
      <c r="I62" s="2464">
        <v>1.73</v>
      </c>
      <c r="J62" s="2464">
        <v>0.03</v>
      </c>
      <c r="K62" s="2464">
        <v>2.59</v>
      </c>
      <c r="L62" s="2465">
        <v>-1.66</v>
      </c>
      <c r="N62" s="2446">
        <f t="shared" si="22"/>
        <v>1.7299999999999999E-2</v>
      </c>
      <c r="O62" s="2442">
        <f t="shared" si="22"/>
        <v>2.9999999999999997E-4</v>
      </c>
      <c r="P62" s="2442">
        <f t="shared" si="22"/>
        <v>2.5899999999999999E-2</v>
      </c>
      <c r="Q62" s="2442">
        <f t="shared" si="22"/>
        <v>-1.66E-2</v>
      </c>
      <c r="R62" s="2447"/>
      <c r="S62" s="2456"/>
      <c r="T62" s="2457"/>
      <c r="U62" s="2457"/>
      <c r="V62" s="2457"/>
      <c r="X62" s="2457"/>
      <c r="Y62" s="2457"/>
      <c r="Z62" s="2457"/>
    </row>
    <row r="63" spans="1:26">
      <c r="A63" s="2443" t="s">
        <v>1886</v>
      </c>
      <c r="B63" s="2444">
        <f t="shared" ref="B63:C65" si="36">B62/(1+N62)</f>
        <v>210.36075887152265</v>
      </c>
      <c r="C63" s="2444">
        <f t="shared" si="36"/>
        <v>187.94361691492554</v>
      </c>
      <c r="D63" s="2444">
        <f t="shared" si="20"/>
        <v>187.94361691492554</v>
      </c>
      <c r="E63" s="2444">
        <f t="shared" ref="E63:F65" si="37">E62/(1+P62)</f>
        <v>281.70386977288234</v>
      </c>
      <c r="F63" s="2444">
        <f t="shared" si="37"/>
        <v>168.80211511083994</v>
      </c>
      <c r="G63" s="3672">
        <v>2008</v>
      </c>
      <c r="H63" s="2467">
        <v>3</v>
      </c>
      <c r="I63" s="2467">
        <v>1.96</v>
      </c>
      <c r="J63" s="2467">
        <v>2.36</v>
      </c>
      <c r="K63" s="2467">
        <v>1.82</v>
      </c>
      <c r="L63" s="2468">
        <v>2.2200000000000002</v>
      </c>
      <c r="N63" s="2446">
        <f t="shared" si="22"/>
        <v>1.9599999999999999E-2</v>
      </c>
      <c r="O63" s="2442">
        <f t="shared" si="22"/>
        <v>2.3599999999999999E-2</v>
      </c>
      <c r="P63" s="2442">
        <f t="shared" si="22"/>
        <v>1.8200000000000001E-2</v>
      </c>
      <c r="Q63" s="2442">
        <f t="shared" si="22"/>
        <v>2.2200000000000001E-2</v>
      </c>
      <c r="R63" s="2447"/>
      <c r="S63" s="2446"/>
      <c r="T63" s="2442"/>
      <c r="U63" s="2442"/>
      <c r="V63" s="2442"/>
    </row>
    <row r="64" spans="1:26">
      <c r="A64" s="2443" t="s">
        <v>1887</v>
      </c>
      <c r="B64" s="2444">
        <f t="shared" si="36"/>
        <v>206.31694671589116</v>
      </c>
      <c r="C64" s="2444">
        <f t="shared" si="36"/>
        <v>183.61041121036101</v>
      </c>
      <c r="D64" s="2444">
        <f t="shared" si="20"/>
        <v>183.61041121036101</v>
      </c>
      <c r="E64" s="2444">
        <f t="shared" si="37"/>
        <v>276.66850301795557</v>
      </c>
      <c r="F64" s="2444">
        <f t="shared" si="37"/>
        <v>165.1360938278614</v>
      </c>
      <c r="G64" s="3672">
        <v>2008</v>
      </c>
      <c r="H64" s="2458">
        <v>2</v>
      </c>
      <c r="I64" s="2458">
        <v>4.93</v>
      </c>
      <c r="J64" s="2458">
        <v>7.38</v>
      </c>
      <c r="K64" s="2458">
        <v>3.98</v>
      </c>
      <c r="L64" s="2459">
        <v>6.86</v>
      </c>
      <c r="N64" s="2446">
        <f t="shared" si="22"/>
        <v>4.9299999999999997E-2</v>
      </c>
      <c r="O64" s="2442">
        <f t="shared" si="22"/>
        <v>7.3800000000000004E-2</v>
      </c>
      <c r="P64" s="2442">
        <f t="shared" si="22"/>
        <v>3.9800000000000002E-2</v>
      </c>
      <c r="Q64" s="2442">
        <f t="shared" si="22"/>
        <v>6.8600000000000008E-2</v>
      </c>
      <c r="R64" s="2447"/>
      <c r="S64" s="2446"/>
      <c r="T64" s="2442"/>
      <c r="U64" s="2442"/>
      <c r="V64" s="2442"/>
    </row>
    <row r="65" spans="1:26" s="2494" customFormat="1" ht="13.5" thickBot="1">
      <c r="A65" s="2443" t="s">
        <v>1888</v>
      </c>
      <c r="B65" s="2491">
        <f t="shared" si="36"/>
        <v>196.62341248059772</v>
      </c>
      <c r="C65" s="2491">
        <f t="shared" si="36"/>
        <v>170.99125648199012</v>
      </c>
      <c r="D65" s="2491">
        <f t="shared" si="20"/>
        <v>170.99125648199012</v>
      </c>
      <c r="E65" s="2491">
        <f t="shared" si="37"/>
        <v>266.07857570490052</v>
      </c>
      <c r="F65" s="2491">
        <f t="shared" si="37"/>
        <v>154.53499328828505</v>
      </c>
      <c r="G65" s="3673">
        <v>2008</v>
      </c>
      <c r="H65" s="2492">
        <v>1</v>
      </c>
      <c r="I65" s="2492">
        <v>4.1399999999999997</v>
      </c>
      <c r="J65" s="2492">
        <v>3.45</v>
      </c>
      <c r="K65" s="2492">
        <v>4.95</v>
      </c>
      <c r="L65" s="2493">
        <v>4.82</v>
      </c>
      <c r="N65" s="2495">
        <f t="shared" si="22"/>
        <v>4.1399999999999999E-2</v>
      </c>
      <c r="O65" s="2496">
        <f t="shared" si="22"/>
        <v>3.4500000000000003E-2</v>
      </c>
      <c r="P65" s="2496">
        <f t="shared" si="22"/>
        <v>4.9500000000000002E-2</v>
      </c>
      <c r="Q65" s="2496">
        <f t="shared" si="22"/>
        <v>4.82E-2</v>
      </c>
      <c r="R65" s="2497"/>
      <c r="S65" s="2495">
        <f>B65/B66-1</f>
        <v>4.5869215322328349E-2</v>
      </c>
      <c r="T65" s="2496">
        <f>C65/C66-1</f>
        <v>3.6310645345394743E-2</v>
      </c>
      <c r="U65" s="2496">
        <f>E65/E66-1</f>
        <v>4.7553447657088688E-2</v>
      </c>
      <c r="V65" s="2496">
        <f>F65/F66-1</f>
        <v>4.4155360055980086E-2</v>
      </c>
      <c r="X65" s="2496"/>
      <c r="Y65" s="2496"/>
      <c r="Z65" s="2496"/>
    </row>
    <row r="66" spans="1:26" ht="13.5" thickBot="1">
      <c r="A66" s="2443" t="s">
        <v>1889</v>
      </c>
      <c r="B66" s="2462">
        <v>188</v>
      </c>
      <c r="C66" s="2462">
        <v>165</v>
      </c>
      <c r="D66" s="2462">
        <f t="shared" si="20"/>
        <v>165</v>
      </c>
      <c r="E66" s="2462">
        <v>254</v>
      </c>
      <c r="F66" s="2463">
        <v>148</v>
      </c>
      <c r="G66" s="3671">
        <v>2007</v>
      </c>
      <c r="H66" s="2498">
        <v>4</v>
      </c>
      <c r="I66" s="2498">
        <v>5.51</v>
      </c>
      <c r="J66" s="2498">
        <v>4.8899999999999997</v>
      </c>
      <c r="K66" s="2498">
        <v>6.43</v>
      </c>
      <c r="L66" s="2499">
        <v>5.36</v>
      </c>
      <c r="N66" s="2500">
        <f t="shared" ref="N66:O69" si="38">B66/B67-1</f>
        <v>4.1339718365245526E-2</v>
      </c>
      <c r="O66" s="2501">
        <f t="shared" si="38"/>
        <v>4.0324492593776018E-2</v>
      </c>
      <c r="P66" s="2501">
        <f t="shared" ref="P66:Q69" si="39">E66/E67-1</f>
        <v>6.1625555347990968E-2</v>
      </c>
      <c r="Q66" s="2501">
        <f t="shared" si="39"/>
        <v>4.6757569250590603E-2</v>
      </c>
      <c r="R66" s="2447"/>
      <c r="S66" s="2456"/>
      <c r="T66" s="2457"/>
      <c r="U66" s="2457"/>
      <c r="V66" s="2457"/>
      <c r="X66" s="2457"/>
      <c r="Y66" s="2457"/>
      <c r="Z66" s="2457"/>
    </row>
    <row r="67" spans="1:26">
      <c r="A67" s="2443" t="s">
        <v>1890</v>
      </c>
      <c r="B67" s="2444">
        <f t="shared" ref="B67:C69" si="40">B68+(B$66-B$70)*I67/SUM(I$66:I$69)</f>
        <v>180.5366651097618</v>
      </c>
      <c r="C67" s="2444">
        <f t="shared" si="40"/>
        <v>158.60435967302453</v>
      </c>
      <c r="D67" s="2444">
        <f t="shared" si="20"/>
        <v>158.60435967302453</v>
      </c>
      <c r="E67" s="2444">
        <f t="shared" ref="E67:F69" si="41">E68+(E$66-E$70)*K67/SUM(K$66:K$69)</f>
        <v>239.25573260785075</v>
      </c>
      <c r="F67" s="2444">
        <f t="shared" si="41"/>
        <v>141.38899430740037</v>
      </c>
      <c r="G67" s="3672">
        <v>2007</v>
      </c>
      <c r="H67" s="2467">
        <v>3</v>
      </c>
      <c r="I67" s="2467">
        <v>8.65</v>
      </c>
      <c r="J67" s="2467">
        <v>8.06</v>
      </c>
      <c r="K67" s="2467">
        <v>9.94</v>
      </c>
      <c r="L67" s="2468">
        <v>5.8</v>
      </c>
      <c r="N67" s="2500">
        <f t="shared" si="38"/>
        <v>6.940217571740015E-2</v>
      </c>
      <c r="O67" s="2501">
        <f t="shared" si="38"/>
        <v>7.1197482471153428E-2</v>
      </c>
      <c r="P67" s="2501">
        <f t="shared" si="39"/>
        <v>0.10529679922579582</v>
      </c>
      <c r="Q67" s="2501">
        <f t="shared" si="39"/>
        <v>5.3292245059512133E-2</v>
      </c>
      <c r="R67" s="2447"/>
      <c r="S67" s="2446"/>
      <c r="T67" s="2442"/>
      <c r="U67" s="2442"/>
      <c r="V67" s="2442"/>
      <c r="X67" s="2502"/>
      <c r="Y67" s="2502"/>
      <c r="Z67" s="2502"/>
    </row>
    <row r="68" spans="1:26">
      <c r="A68" s="2443" t="s">
        <v>1891</v>
      </c>
      <c r="B68" s="2444">
        <f t="shared" si="40"/>
        <v>168.82017748715555</v>
      </c>
      <c r="C68" s="2444">
        <f t="shared" si="40"/>
        <v>148.06267029972753</v>
      </c>
      <c r="D68" s="2444">
        <f t="shared" si="20"/>
        <v>148.06267029972753</v>
      </c>
      <c r="E68" s="2444">
        <f t="shared" si="41"/>
        <v>216.46288379323747</v>
      </c>
      <c r="F68" s="2444">
        <f t="shared" si="41"/>
        <v>134.23529411764704</v>
      </c>
      <c r="G68" s="3672">
        <v>2007</v>
      </c>
      <c r="H68" s="2458">
        <v>2</v>
      </c>
      <c r="I68" s="2458">
        <v>3.67</v>
      </c>
      <c r="J68" s="2458">
        <v>2.3199999999999998</v>
      </c>
      <c r="K68" s="2458">
        <v>5.0199999999999996</v>
      </c>
      <c r="L68" s="2459">
        <v>6.71</v>
      </c>
      <c r="N68" s="2500">
        <f t="shared" si="38"/>
        <v>3.0339138143848032E-2</v>
      </c>
      <c r="O68" s="2501">
        <f t="shared" si="38"/>
        <v>2.0922341588790472E-2</v>
      </c>
      <c r="P68" s="2501">
        <f t="shared" si="39"/>
        <v>5.6164796592717003E-2</v>
      </c>
      <c r="Q68" s="2501">
        <f t="shared" si="39"/>
        <v>6.5704536723887319E-2</v>
      </c>
      <c r="R68" s="2447"/>
      <c r="S68" s="2446"/>
      <c r="T68" s="2442"/>
      <c r="U68" s="2442"/>
      <c r="V68" s="2442"/>
      <c r="X68" s="2502"/>
      <c r="Y68" s="2502"/>
      <c r="Z68" s="2502"/>
    </row>
    <row r="69" spans="1:26">
      <c r="A69" s="2443" t="s">
        <v>1892</v>
      </c>
      <c r="B69" s="2444">
        <f t="shared" si="40"/>
        <v>163.84913591779542</v>
      </c>
      <c r="C69" s="2444">
        <f t="shared" si="40"/>
        <v>145.0283378746594</v>
      </c>
      <c r="D69" s="2444">
        <f t="shared" si="20"/>
        <v>145.0283378746594</v>
      </c>
      <c r="E69" s="2444">
        <f t="shared" si="41"/>
        <v>204.95180722891567</v>
      </c>
      <c r="F69" s="2444">
        <f t="shared" si="41"/>
        <v>125.95920303605313</v>
      </c>
      <c r="G69" s="3673">
        <v>2007</v>
      </c>
      <c r="H69" s="2445">
        <v>1</v>
      </c>
      <c r="I69" s="2445">
        <v>3.58</v>
      </c>
      <c r="J69" s="2445">
        <v>3.08</v>
      </c>
      <c r="K69" s="2445">
        <v>4.34</v>
      </c>
      <c r="L69" s="2451">
        <v>3.21</v>
      </c>
      <c r="N69" s="2503">
        <f t="shared" si="38"/>
        <v>3.0497710174814063E-2</v>
      </c>
      <c r="O69" s="2504">
        <f t="shared" si="38"/>
        <v>2.8569772160704998E-2</v>
      </c>
      <c r="P69" s="2504">
        <f t="shared" si="39"/>
        <v>5.1034908866234296E-2</v>
      </c>
      <c r="Q69" s="2504">
        <f t="shared" si="39"/>
        <v>3.245248390207478E-2</v>
      </c>
      <c r="R69" s="2447"/>
      <c r="S69" s="2448">
        <f>B69/B70-1</f>
        <v>3.0497710174814063E-2</v>
      </c>
      <c r="T69" s="2449">
        <f>C69/C70-1</f>
        <v>2.8569772160704998E-2</v>
      </c>
      <c r="U69" s="2449">
        <f>E69/E70-1</f>
        <v>5.1034908866234296E-2</v>
      </c>
      <c r="V69" s="2449">
        <f>F69/F70-1</f>
        <v>3.245248390207478E-2</v>
      </c>
      <c r="X69" s="2502"/>
      <c r="Y69" s="2502"/>
      <c r="Z69" s="2502"/>
    </row>
    <row r="70" spans="1:26" ht="13.5" thickBot="1">
      <c r="A70" s="2443" t="s">
        <v>1893</v>
      </c>
      <c r="B70" s="2469">
        <v>159</v>
      </c>
      <c r="C70" s="2469">
        <v>141</v>
      </c>
      <c r="D70" s="2469">
        <f t="shared" si="20"/>
        <v>141</v>
      </c>
      <c r="E70" s="2469">
        <v>195</v>
      </c>
      <c r="F70" s="2470">
        <v>122</v>
      </c>
      <c r="G70" s="3671">
        <v>2006</v>
      </c>
      <c r="H70" s="2464">
        <v>4</v>
      </c>
      <c r="I70" s="2464">
        <v>3.79</v>
      </c>
      <c r="J70" s="2464">
        <v>2.21</v>
      </c>
      <c r="K70" s="2464">
        <v>5.65</v>
      </c>
      <c r="L70" s="2465">
        <v>5.41</v>
      </c>
      <c r="N70" s="2500">
        <f t="shared" ref="N70:O73" si="42">I70/SUM(I$70:I$73)*(B$70/B$74-1)</f>
        <v>7.245466462748526E-2</v>
      </c>
      <c r="O70" s="2501">
        <f t="shared" si="42"/>
        <v>2.3237230038062766E-2</v>
      </c>
      <c r="P70" s="2501">
        <f t="shared" ref="P70:Q73" si="43">K70/SUM(K$70:K$73)*(E$70/E$74-1)</f>
        <v>0.16146893866323722</v>
      </c>
      <c r="Q70" s="2501">
        <f t="shared" si="43"/>
        <v>5.0755230321793784E-2</v>
      </c>
      <c r="R70" s="2447"/>
      <c r="S70" s="2456"/>
      <c r="T70" s="2457"/>
      <c r="U70" s="2457"/>
      <c r="V70" s="2457"/>
      <c r="X70" s="2502"/>
      <c r="Y70" s="2502"/>
      <c r="Z70" s="2502"/>
    </row>
    <row r="71" spans="1:26">
      <c r="A71" s="2443" t="s">
        <v>1894</v>
      </c>
      <c r="B71" s="2444">
        <f t="shared" ref="B71:C73" si="44">B72+(B$70-B$74)*I71/SUM(I$70:I$73)</f>
        <v>149.00125628140702</v>
      </c>
      <c r="C71" s="2444">
        <f t="shared" si="44"/>
        <v>137.95592286501378</v>
      </c>
      <c r="D71" s="2444">
        <f t="shared" si="20"/>
        <v>137.95592286501378</v>
      </c>
      <c r="E71" s="2444">
        <f t="shared" ref="E71:F73" si="45">E72+(E$70-E$74)*K71/SUM(K$70:K$73)</f>
        <v>169.97231450719823</v>
      </c>
      <c r="F71" s="2444">
        <f t="shared" si="45"/>
        <v>116.21390374331551</v>
      </c>
      <c r="G71" s="3672">
        <v>2006</v>
      </c>
      <c r="H71" s="2467">
        <v>3</v>
      </c>
      <c r="I71" s="2467">
        <v>0.92</v>
      </c>
      <c r="J71" s="2467">
        <v>1.08</v>
      </c>
      <c r="K71" s="2467">
        <v>0.73</v>
      </c>
      <c r="L71" s="2468">
        <v>1.08</v>
      </c>
      <c r="N71" s="2500">
        <f t="shared" si="42"/>
        <v>1.7587939698492462E-2</v>
      </c>
      <c r="O71" s="2501">
        <f t="shared" si="42"/>
        <v>1.1355750425840628E-2</v>
      </c>
      <c r="P71" s="2501">
        <f t="shared" si="43"/>
        <v>2.0862358446754544E-2</v>
      </c>
      <c r="Q71" s="2501">
        <f t="shared" si="43"/>
        <v>1.0132282578103011E-2</v>
      </c>
      <c r="R71" s="2447"/>
      <c r="S71" s="2446"/>
      <c r="T71" s="2442"/>
      <c r="U71" s="2442"/>
      <c r="V71" s="2442"/>
      <c r="X71" s="2502"/>
      <c r="Y71" s="2502"/>
      <c r="Z71" s="2502"/>
    </row>
    <row r="72" spans="1:26">
      <c r="A72" s="2443" t="s">
        <v>1895</v>
      </c>
      <c r="B72" s="2444">
        <f t="shared" si="44"/>
        <v>146.57412060301507</v>
      </c>
      <c r="C72" s="2444">
        <f t="shared" si="44"/>
        <v>136.46831955922866</v>
      </c>
      <c r="D72" s="2444">
        <f t="shared" si="20"/>
        <v>136.46831955922866</v>
      </c>
      <c r="E72" s="2444">
        <f t="shared" si="45"/>
        <v>166.73864894795128</v>
      </c>
      <c r="F72" s="2444">
        <f t="shared" si="45"/>
        <v>115.05882352941177</v>
      </c>
      <c r="G72" s="3672">
        <v>2006</v>
      </c>
      <c r="H72" s="2458">
        <v>2</v>
      </c>
      <c r="I72" s="2458">
        <v>0.96</v>
      </c>
      <c r="J72" s="2458">
        <v>0.25</v>
      </c>
      <c r="K72" s="2458">
        <v>1.9</v>
      </c>
      <c r="L72" s="2459">
        <v>0.95</v>
      </c>
      <c r="N72" s="2500">
        <f t="shared" si="42"/>
        <v>1.8352632728861701E-2</v>
      </c>
      <c r="O72" s="2501">
        <f t="shared" si="42"/>
        <v>2.6286459319075526E-3</v>
      </c>
      <c r="P72" s="2501">
        <f t="shared" si="43"/>
        <v>5.4299289107991269E-2</v>
      </c>
      <c r="Q72" s="2501">
        <f t="shared" si="43"/>
        <v>8.9126559714794995E-3</v>
      </c>
      <c r="R72" s="2447"/>
      <c r="S72" s="2446"/>
      <c r="T72" s="2442"/>
      <c r="U72" s="2442"/>
      <c r="V72" s="2442"/>
      <c r="X72" s="2502"/>
      <c r="Y72" s="2502"/>
      <c r="Z72" s="2502"/>
    </row>
    <row r="73" spans="1:26">
      <c r="A73" s="2443" t="s">
        <v>1896</v>
      </c>
      <c r="B73" s="2444">
        <f t="shared" si="44"/>
        <v>144.04145728643215</v>
      </c>
      <c r="C73" s="2444">
        <f t="shared" si="44"/>
        <v>136.12396694214877</v>
      </c>
      <c r="D73" s="2444">
        <f t="shared" si="20"/>
        <v>136.12396694214877</v>
      </c>
      <c r="E73" s="2444">
        <f t="shared" si="45"/>
        <v>158.32225913621264</v>
      </c>
      <c r="F73" s="2444">
        <f t="shared" si="45"/>
        <v>114.04278074866311</v>
      </c>
      <c r="G73" s="3673">
        <v>2006</v>
      </c>
      <c r="H73" s="2445">
        <v>1</v>
      </c>
      <c r="I73" s="2445">
        <v>2.29</v>
      </c>
      <c r="J73" s="2445">
        <v>3.72</v>
      </c>
      <c r="K73" s="2445">
        <v>0.75</v>
      </c>
      <c r="L73" s="2451">
        <v>0.04</v>
      </c>
      <c r="N73" s="2503">
        <f t="shared" si="42"/>
        <v>4.3778675988638847E-2</v>
      </c>
      <c r="O73" s="2504">
        <f t="shared" si="42"/>
        <v>3.9114251466784385E-2</v>
      </c>
      <c r="P73" s="2504">
        <f t="shared" si="43"/>
        <v>2.1433929911049188E-2</v>
      </c>
      <c r="Q73" s="2504">
        <f t="shared" si="43"/>
        <v>3.7526972511492629E-4</v>
      </c>
      <c r="R73" s="2447"/>
      <c r="S73" s="2448">
        <f>B73/B74-1</f>
        <v>4.3778675988638716E-2</v>
      </c>
      <c r="T73" s="2449">
        <f>C73/C74-1</f>
        <v>3.91142514667846E-2</v>
      </c>
      <c r="U73" s="2449">
        <f>E73/E74-1</f>
        <v>2.143392991104931E-2</v>
      </c>
      <c r="V73" s="2449">
        <f>F73/F74-1</f>
        <v>3.7526972511492396E-4</v>
      </c>
      <c r="X73" s="2502"/>
      <c r="Y73" s="2502"/>
      <c r="Z73" s="2502"/>
    </row>
    <row r="74" spans="1:26" ht="13.5" thickBot="1">
      <c r="A74" s="2443" t="s">
        <v>1897</v>
      </c>
      <c r="B74" s="2469">
        <v>138</v>
      </c>
      <c r="C74" s="2469">
        <v>131</v>
      </c>
      <c r="D74" s="2469">
        <f t="shared" si="20"/>
        <v>131</v>
      </c>
      <c r="E74" s="2469">
        <v>155</v>
      </c>
      <c r="F74" s="2470">
        <v>114</v>
      </c>
      <c r="G74" s="3671">
        <v>2005</v>
      </c>
      <c r="H74" s="2464">
        <v>4</v>
      </c>
      <c r="I74" s="2464">
        <v>3.29</v>
      </c>
      <c r="J74" s="2464">
        <v>1.44</v>
      </c>
      <c r="K74" s="2464">
        <v>0.66</v>
      </c>
      <c r="L74" s="2465">
        <v>7.78</v>
      </c>
      <c r="N74" s="2500">
        <f t="shared" ref="N74:O77" si="46">I74/SUM(I$74:I$77)*(B$74/B$78-1)</f>
        <v>9.9404603216919935E-2</v>
      </c>
      <c r="O74" s="2501">
        <f t="shared" si="46"/>
        <v>4.7636550760861554E-2</v>
      </c>
      <c r="P74" s="2501">
        <f t="shared" ref="P74:Q77" si="47">K74/SUM(K$74:K$77)*(E$74/E$78-1)</f>
        <v>8.3756345177664976E-2</v>
      </c>
      <c r="Q74" s="2501">
        <f t="shared" si="47"/>
        <v>5.2148766661559584E-2</v>
      </c>
      <c r="R74" s="2447"/>
      <c r="S74" s="2456"/>
      <c r="T74" s="2457"/>
      <c r="U74" s="2457"/>
      <c r="V74" s="2457"/>
      <c r="X74" s="2502"/>
      <c r="Y74" s="2502"/>
      <c r="Z74" s="2502"/>
    </row>
    <row r="75" spans="1:26">
      <c r="A75" s="2443" t="s">
        <v>1898</v>
      </c>
      <c r="B75" s="2444">
        <f t="shared" ref="B75:C77" si="48">B76+(B$74-B$78)*I75/SUM(I$74:I$77)</f>
        <v>125.9720430107527</v>
      </c>
      <c r="C75" s="2444">
        <f t="shared" si="48"/>
        <v>125.1883408071749</v>
      </c>
      <c r="D75" s="2444">
        <f t="shared" si="20"/>
        <v>125.1883408071749</v>
      </c>
      <c r="E75" s="2444">
        <f t="shared" ref="E75:F77" si="49">E76+(E$74-E$78)*K75/SUM(K$74:K$77)</f>
        <v>144.61421319796952</v>
      </c>
      <c r="F75" s="2444">
        <f t="shared" si="49"/>
        <v>108.42008196721311</v>
      </c>
      <c r="G75" s="3672">
        <v>2005</v>
      </c>
      <c r="H75" s="2467">
        <v>3</v>
      </c>
      <c r="I75" s="2467">
        <v>0.46</v>
      </c>
      <c r="J75" s="2467">
        <v>0.32</v>
      </c>
      <c r="K75" s="2467">
        <v>0.42</v>
      </c>
      <c r="L75" s="2468">
        <v>0.64</v>
      </c>
      <c r="N75" s="2500">
        <f t="shared" si="46"/>
        <v>1.3898515951301874E-2</v>
      </c>
      <c r="O75" s="2501">
        <f t="shared" si="46"/>
        <v>1.0585900169080346E-2</v>
      </c>
      <c r="P75" s="2501">
        <f t="shared" si="47"/>
        <v>5.3299492385786795E-2</v>
      </c>
      <c r="Q75" s="2501">
        <f t="shared" si="47"/>
        <v>4.2898728359123568E-3</v>
      </c>
      <c r="R75" s="2447"/>
      <c r="S75" s="2446"/>
      <c r="T75" s="2442"/>
      <c r="U75" s="2442"/>
      <c r="V75" s="2442"/>
      <c r="X75" s="2502"/>
      <c r="Y75" s="2502"/>
      <c r="Z75" s="2502"/>
    </row>
    <row r="76" spans="1:26">
      <c r="A76" s="2443" t="s">
        <v>1899</v>
      </c>
      <c r="B76" s="2444">
        <f t="shared" si="48"/>
        <v>124.29032258064517</v>
      </c>
      <c r="C76" s="2444">
        <f t="shared" si="48"/>
        <v>123.8968609865471</v>
      </c>
      <c r="D76" s="2444">
        <f t="shared" si="20"/>
        <v>123.8968609865471</v>
      </c>
      <c r="E76" s="2444">
        <f t="shared" si="49"/>
        <v>138.00507614213197</v>
      </c>
      <c r="F76" s="2444">
        <f t="shared" si="49"/>
        <v>107.96106557377048</v>
      </c>
      <c r="G76" s="3672">
        <v>2005</v>
      </c>
      <c r="H76" s="2458">
        <v>2</v>
      </c>
      <c r="I76" s="2458">
        <v>0.47</v>
      </c>
      <c r="J76" s="2458">
        <v>0.1</v>
      </c>
      <c r="K76" s="2458">
        <v>0.52</v>
      </c>
      <c r="L76" s="2459">
        <v>0.79</v>
      </c>
      <c r="N76" s="2500">
        <f t="shared" si="46"/>
        <v>1.420065760241713E-2</v>
      </c>
      <c r="O76" s="2501">
        <f t="shared" si="46"/>
        <v>3.3080938028376083E-3</v>
      </c>
      <c r="P76" s="2501">
        <f t="shared" si="47"/>
        <v>6.598984771573603E-2</v>
      </c>
      <c r="Q76" s="2501">
        <f t="shared" si="47"/>
        <v>5.2953117818293153E-3</v>
      </c>
      <c r="R76" s="2447"/>
      <c r="S76" s="2446"/>
      <c r="T76" s="2442"/>
      <c r="U76" s="2442"/>
      <c r="V76" s="2442"/>
      <c r="X76" s="2502"/>
      <c r="Y76" s="2502"/>
      <c r="Z76" s="2502"/>
    </row>
    <row r="77" spans="1:26">
      <c r="A77" s="2443" t="s">
        <v>1900</v>
      </c>
      <c r="B77" s="2444">
        <f t="shared" si="48"/>
        <v>122.57204301075269</v>
      </c>
      <c r="C77" s="2444">
        <f t="shared" si="48"/>
        <v>123.4932735426009</v>
      </c>
      <c r="D77" s="2444">
        <f t="shared" si="20"/>
        <v>123.4932735426009</v>
      </c>
      <c r="E77" s="2444">
        <f t="shared" si="49"/>
        <v>129.82233502538071</v>
      </c>
      <c r="F77" s="2444">
        <f t="shared" si="49"/>
        <v>107.39446721311475</v>
      </c>
      <c r="G77" s="3673">
        <v>2005</v>
      </c>
      <c r="H77" s="2445">
        <v>1</v>
      </c>
      <c r="I77" s="2445">
        <v>0.43</v>
      </c>
      <c r="J77" s="2445">
        <v>0.37</v>
      </c>
      <c r="K77" s="2445">
        <v>0.37</v>
      </c>
      <c r="L77" s="2451">
        <v>0.55000000000000004</v>
      </c>
      <c r="N77" s="2503">
        <f t="shared" si="46"/>
        <v>1.2992090997956099E-2</v>
      </c>
      <c r="O77" s="2504">
        <f t="shared" si="46"/>
        <v>1.2239947070499151E-2</v>
      </c>
      <c r="P77" s="2504">
        <f t="shared" si="47"/>
        <v>4.6954314720812178E-2</v>
      </c>
      <c r="Q77" s="2504">
        <f t="shared" si="47"/>
        <v>3.6866094683621815E-3</v>
      </c>
      <c r="R77" s="2447"/>
      <c r="S77" s="2448">
        <f>B77/B78-1</f>
        <v>1.2992090997956174E-2</v>
      </c>
      <c r="T77" s="2449">
        <f>C77/C78-1</f>
        <v>1.2239947070499246E-2</v>
      </c>
      <c r="U77" s="2449">
        <f>E77/E78-1</f>
        <v>4.695431472081224E-2</v>
      </c>
      <c r="V77" s="2449">
        <f>F77/F78-1</f>
        <v>3.6866094683620787E-3</v>
      </c>
      <c r="X77" s="2502"/>
      <c r="Y77" s="2502"/>
      <c r="Z77" s="2502"/>
    </row>
    <row r="78" spans="1:26" ht="13.5" thickBot="1">
      <c r="A78" s="2443" t="s">
        <v>1901</v>
      </c>
      <c r="B78" s="2488">
        <v>121</v>
      </c>
      <c r="C78" s="2488">
        <v>122</v>
      </c>
      <c r="D78" s="2488">
        <f t="shared" si="20"/>
        <v>122</v>
      </c>
      <c r="E78" s="2488">
        <v>124</v>
      </c>
      <c r="F78" s="2489">
        <v>107</v>
      </c>
      <c r="G78" s="3671">
        <v>2004</v>
      </c>
      <c r="H78" s="2464">
        <v>4</v>
      </c>
      <c r="I78" s="2464">
        <v>0.33</v>
      </c>
      <c r="J78" s="2464">
        <v>0.5</v>
      </c>
      <c r="K78" s="2464">
        <v>0.5</v>
      </c>
      <c r="L78" s="2465">
        <v>0</v>
      </c>
      <c r="N78" s="2500">
        <f t="shared" ref="N78:O81" si="50">I78/SUM(I$78:I$81)*(B$78/B$82-1)</f>
        <v>1.3391770148526898E-2</v>
      </c>
      <c r="O78" s="2501">
        <f t="shared" si="50"/>
        <v>1.063264221158958E-2</v>
      </c>
      <c r="P78" s="2501">
        <f t="shared" ref="P78:Q81" si="51">K78/SUM(K$78:K$81)*(E$78/E$82-1)</f>
        <v>2.2244466688911134E-2</v>
      </c>
      <c r="Q78" s="2501">
        <f t="shared" si="51"/>
        <v>0</v>
      </c>
      <c r="R78" s="2447"/>
      <c r="S78" s="2456"/>
      <c r="T78" s="2457"/>
      <c r="U78" s="2457"/>
      <c r="V78" s="2457"/>
      <c r="X78" s="2502"/>
      <c r="Y78" s="2502"/>
      <c r="Z78" s="2502"/>
    </row>
    <row r="79" spans="1:26">
      <c r="A79" s="2443" t="s">
        <v>1902</v>
      </c>
      <c r="B79" s="2444">
        <f t="shared" ref="B79:C81" si="52">B80+(B$78-B$82)*I79/SUM(I$78:I$81)</f>
        <v>119.51351351351352</v>
      </c>
      <c r="C79" s="2444">
        <f t="shared" si="52"/>
        <v>120.7878787878788</v>
      </c>
      <c r="D79" s="2444">
        <f t="shared" si="20"/>
        <v>120.7878787878788</v>
      </c>
      <c r="E79" s="2444">
        <f t="shared" ref="E79:F81" si="53">E80+(E$78-E$82)*K79/SUM(K$78:K$81)</f>
        <v>121.5975975975976</v>
      </c>
      <c r="F79" s="2444">
        <f t="shared" si="53"/>
        <v>107</v>
      </c>
      <c r="G79" s="3672">
        <v>2004</v>
      </c>
      <c r="H79" s="2467">
        <v>3</v>
      </c>
      <c r="I79" s="2467">
        <v>0.56000000000000005</v>
      </c>
      <c r="J79" s="2467">
        <v>0.8</v>
      </c>
      <c r="K79" s="2467">
        <v>0.83</v>
      </c>
      <c r="L79" s="2468">
        <v>0.06</v>
      </c>
      <c r="N79" s="2500">
        <f t="shared" si="50"/>
        <v>2.2725428130833527E-2</v>
      </c>
      <c r="O79" s="2501">
        <f t="shared" si="50"/>
        <v>1.7012227538543329E-2</v>
      </c>
      <c r="P79" s="2501">
        <f t="shared" si="51"/>
        <v>3.6925814703592477E-2</v>
      </c>
      <c r="Q79" s="2501">
        <f t="shared" si="51"/>
        <v>2.8846153846153744E-2</v>
      </c>
      <c r="R79" s="2447"/>
      <c r="S79" s="2446"/>
      <c r="T79" s="2442"/>
      <c r="U79" s="2442"/>
      <c r="V79" s="2442"/>
      <c r="X79" s="2502"/>
      <c r="Y79" s="2502"/>
      <c r="Z79" s="2502"/>
    </row>
    <row r="80" spans="1:26">
      <c r="A80" s="2443" t="s">
        <v>1903</v>
      </c>
      <c r="B80" s="2444">
        <f t="shared" si="52"/>
        <v>116.99099099099099</v>
      </c>
      <c r="C80" s="2444">
        <f t="shared" si="52"/>
        <v>118.84848484848486</v>
      </c>
      <c r="D80" s="2444">
        <f t="shared" si="20"/>
        <v>118.84848484848486</v>
      </c>
      <c r="E80" s="2444">
        <f t="shared" si="53"/>
        <v>117.60960960960961</v>
      </c>
      <c r="F80" s="2444">
        <f t="shared" si="53"/>
        <v>104</v>
      </c>
      <c r="G80" s="3672">
        <v>2004</v>
      </c>
      <c r="H80" s="2458">
        <v>2</v>
      </c>
      <c r="I80" s="2458">
        <v>1</v>
      </c>
      <c r="J80" s="2458">
        <v>1.5</v>
      </c>
      <c r="K80" s="2458">
        <v>1.5</v>
      </c>
      <c r="L80" s="2459">
        <v>0</v>
      </c>
      <c r="N80" s="2500">
        <f t="shared" si="50"/>
        <v>4.0581121662202721E-2</v>
      </c>
      <c r="O80" s="2501">
        <f t="shared" si="50"/>
        <v>3.1897926634768738E-2</v>
      </c>
      <c r="P80" s="2501">
        <f t="shared" si="51"/>
        <v>6.6733400066733395E-2</v>
      </c>
      <c r="Q80" s="2501">
        <f t="shared" si="51"/>
        <v>0</v>
      </c>
      <c r="R80" s="2447"/>
      <c r="S80" s="2446"/>
      <c r="T80" s="2442"/>
      <c r="U80" s="2442"/>
      <c r="V80" s="2442"/>
      <c r="X80" s="2502"/>
      <c r="Y80" s="2502"/>
      <c r="Z80" s="2502"/>
    </row>
    <row r="81" spans="1:26" s="2494" customFormat="1" ht="13.5" thickBot="1">
      <c r="A81" s="2443" t="s">
        <v>1904</v>
      </c>
      <c r="B81" s="2491">
        <f t="shared" si="52"/>
        <v>112.48648648648648</v>
      </c>
      <c r="C81" s="2491">
        <f t="shared" si="52"/>
        <v>115.21212121212122</v>
      </c>
      <c r="D81" s="2491">
        <f t="shared" si="20"/>
        <v>115.21212121212122</v>
      </c>
      <c r="E81" s="2491">
        <f t="shared" si="53"/>
        <v>110.4024024024024</v>
      </c>
      <c r="F81" s="2491">
        <f t="shared" si="53"/>
        <v>104</v>
      </c>
      <c r="G81" s="3673">
        <v>2004</v>
      </c>
      <c r="H81" s="2492">
        <v>1</v>
      </c>
      <c r="I81" s="2492">
        <v>0.33</v>
      </c>
      <c r="J81" s="2492">
        <v>0.5</v>
      </c>
      <c r="K81" s="2492">
        <v>0.5</v>
      </c>
      <c r="L81" s="2493">
        <v>0</v>
      </c>
      <c r="N81" s="2505">
        <f t="shared" si="50"/>
        <v>1.3391770148526898E-2</v>
      </c>
      <c r="O81" s="2506">
        <f t="shared" si="50"/>
        <v>1.063264221158958E-2</v>
      </c>
      <c r="P81" s="2506">
        <f t="shared" si="51"/>
        <v>2.2244466688911134E-2</v>
      </c>
      <c r="Q81" s="2506">
        <f t="shared" si="51"/>
        <v>0</v>
      </c>
      <c r="R81" s="2497"/>
      <c r="S81" s="2495">
        <f>B81/B82-1</f>
        <v>1.3391770148526883E-2</v>
      </c>
      <c r="T81" s="2496">
        <f>C81/C82-1</f>
        <v>1.063264221158966E-2</v>
      </c>
      <c r="U81" s="2496">
        <f>E81/E82-1</f>
        <v>2.2244466688911224E-2</v>
      </c>
      <c r="V81" s="2496">
        <f>F81/F82-1</f>
        <v>0</v>
      </c>
      <c r="X81" s="2507"/>
      <c r="Y81" s="2507"/>
      <c r="Z81" s="2507"/>
    </row>
    <row r="82" spans="1:26" ht="13.5" thickBot="1">
      <c r="A82" s="2443" t="s">
        <v>1905</v>
      </c>
      <c r="B82" s="2508">
        <v>111</v>
      </c>
      <c r="C82" s="2508">
        <v>114</v>
      </c>
      <c r="D82" s="2508">
        <f t="shared" si="20"/>
        <v>114</v>
      </c>
      <c r="E82" s="2508">
        <v>108</v>
      </c>
      <c r="F82" s="2509">
        <v>104</v>
      </c>
      <c r="G82" s="3671">
        <v>2003</v>
      </c>
      <c r="H82" s="2498">
        <v>4</v>
      </c>
      <c r="I82" s="2510"/>
      <c r="J82" s="2510"/>
      <c r="K82" s="2510"/>
      <c r="L82" s="2510"/>
      <c r="N82" s="2511"/>
      <c r="O82" s="2510"/>
      <c r="P82" s="2510"/>
      <c r="Q82" s="2510"/>
      <c r="S82" s="2511"/>
      <c r="T82" s="2510"/>
      <c r="U82" s="2510"/>
      <c r="V82" s="2510"/>
      <c r="X82" s="2502"/>
      <c r="Y82" s="2502"/>
      <c r="Z82" s="2502"/>
    </row>
    <row r="83" spans="1:26">
      <c r="A83" s="2443" t="s">
        <v>1906</v>
      </c>
      <c r="B83" s="2512">
        <f t="shared" ref="B83:C85" si="54">B84+(B$82-B$86)/4</f>
        <v>109.75</v>
      </c>
      <c r="C83" s="2512">
        <f t="shared" si="54"/>
        <v>112.25</v>
      </c>
      <c r="D83" s="2512">
        <f t="shared" si="20"/>
        <v>112.25</v>
      </c>
      <c r="E83" s="2512">
        <f t="shared" ref="E83:F85" si="55">E84+(E$82-E$86)/4</f>
        <v>107.25</v>
      </c>
      <c r="F83" s="2512">
        <f t="shared" si="55"/>
        <v>103.5</v>
      </c>
      <c r="G83" s="3672">
        <v>2003</v>
      </c>
      <c r="H83" s="2467">
        <v>3</v>
      </c>
      <c r="I83" s="2510"/>
      <c r="J83" s="2510"/>
      <c r="K83" s="2510"/>
      <c r="L83" s="2510"/>
      <c r="X83" s="2502"/>
      <c r="Y83" s="2502"/>
      <c r="Z83" s="2502"/>
    </row>
    <row r="84" spans="1:26">
      <c r="A84" s="2443" t="s">
        <v>1907</v>
      </c>
      <c r="B84" s="2512">
        <f t="shared" si="54"/>
        <v>108.5</v>
      </c>
      <c r="C84" s="2512">
        <f t="shared" si="54"/>
        <v>110.5</v>
      </c>
      <c r="D84" s="2512">
        <f t="shared" si="20"/>
        <v>110.5</v>
      </c>
      <c r="E84" s="2512">
        <f t="shared" si="55"/>
        <v>106.5</v>
      </c>
      <c r="F84" s="2512">
        <f t="shared" si="55"/>
        <v>103</v>
      </c>
      <c r="G84" s="3672">
        <v>2003</v>
      </c>
      <c r="H84" s="2458">
        <v>2</v>
      </c>
      <c r="I84" s="2510"/>
      <c r="J84" s="2510"/>
      <c r="K84" s="2510"/>
      <c r="L84" s="2510"/>
      <c r="X84" s="2502"/>
      <c r="Y84" s="2502"/>
      <c r="Z84" s="2502"/>
    </row>
    <row r="85" spans="1:26" ht="13.5" thickBot="1">
      <c r="A85" s="2443" t="s">
        <v>1908</v>
      </c>
      <c r="B85" s="2512">
        <f t="shared" si="54"/>
        <v>107.25</v>
      </c>
      <c r="C85" s="2512">
        <f t="shared" si="54"/>
        <v>108.75</v>
      </c>
      <c r="D85" s="2512">
        <f t="shared" si="20"/>
        <v>108.75</v>
      </c>
      <c r="E85" s="2512">
        <f t="shared" si="55"/>
        <v>105.75</v>
      </c>
      <c r="F85" s="2512">
        <f t="shared" si="55"/>
        <v>102.5</v>
      </c>
      <c r="G85" s="3673">
        <v>2003</v>
      </c>
      <c r="H85" s="2513">
        <v>1</v>
      </c>
      <c r="I85" s="2510"/>
      <c r="J85" s="2510"/>
      <c r="K85" s="2510"/>
      <c r="L85" s="2510"/>
      <c r="S85" s="2446"/>
      <c r="T85" s="2442"/>
      <c r="U85" s="2442"/>
      <c r="X85" s="2502"/>
      <c r="Y85" s="2502"/>
      <c r="Z85" s="2502"/>
    </row>
    <row r="86" spans="1:26" ht="13.5" thickBot="1">
      <c r="A86" s="2443" t="s">
        <v>1909</v>
      </c>
      <c r="B86" s="2514">
        <v>106</v>
      </c>
      <c r="C86" s="2514">
        <v>107</v>
      </c>
      <c r="D86" s="2514">
        <f t="shared" si="20"/>
        <v>107</v>
      </c>
      <c r="E86" s="2514">
        <v>105</v>
      </c>
      <c r="F86" s="2515">
        <v>102</v>
      </c>
      <c r="G86" s="3671">
        <v>2002</v>
      </c>
      <c r="H86" s="2464">
        <v>4</v>
      </c>
      <c r="I86" s="2510"/>
      <c r="J86" s="2510"/>
      <c r="K86" s="2510"/>
      <c r="L86" s="2510"/>
      <c r="N86" s="2511"/>
      <c r="O86" s="2510"/>
      <c r="P86" s="2510"/>
      <c r="Q86" s="2510"/>
      <c r="S86" s="2511"/>
      <c r="T86" s="2510"/>
      <c r="U86" s="2510"/>
      <c r="V86" s="2510"/>
      <c r="X86" s="2502"/>
      <c r="Y86" s="2502"/>
      <c r="Z86" s="2502"/>
    </row>
    <row r="87" spans="1:26">
      <c r="A87" s="2443" t="s">
        <v>1910</v>
      </c>
      <c r="B87" s="2512">
        <f t="shared" ref="B87:C89" si="56">B88+(B$86-B$90)/4</f>
        <v>105</v>
      </c>
      <c r="C87" s="2512">
        <f t="shared" si="56"/>
        <v>106</v>
      </c>
      <c r="D87" s="2512">
        <f t="shared" si="20"/>
        <v>106</v>
      </c>
      <c r="E87" s="2512">
        <f t="shared" ref="E87:F89" si="57">E88+(E$86-E$90)/4</f>
        <v>104.5</v>
      </c>
      <c r="F87" s="2512">
        <f t="shared" si="57"/>
        <v>101.5</v>
      </c>
      <c r="G87" s="3672">
        <v>2002</v>
      </c>
      <c r="H87" s="2467">
        <v>3</v>
      </c>
      <c r="I87" s="2510"/>
      <c r="J87" s="2510"/>
      <c r="K87" s="2510"/>
      <c r="L87" s="2510"/>
      <c r="X87" s="2502"/>
      <c r="Y87" s="2502"/>
      <c r="Z87" s="2502"/>
    </row>
    <row r="88" spans="1:26">
      <c r="A88" s="2443" t="s">
        <v>1911</v>
      </c>
      <c r="B88" s="2512">
        <f t="shared" si="56"/>
        <v>104</v>
      </c>
      <c r="C88" s="2512">
        <f t="shared" si="56"/>
        <v>105</v>
      </c>
      <c r="D88" s="2512">
        <f t="shared" si="20"/>
        <v>105</v>
      </c>
      <c r="E88" s="2512">
        <f t="shared" si="57"/>
        <v>104</v>
      </c>
      <c r="F88" s="2512">
        <f t="shared" si="57"/>
        <v>101</v>
      </c>
      <c r="G88" s="3672">
        <v>2002</v>
      </c>
      <c r="H88" s="2458">
        <v>2</v>
      </c>
      <c r="I88" s="2510"/>
      <c r="J88" s="2510"/>
      <c r="K88" s="2510"/>
      <c r="L88" s="2510"/>
      <c r="X88" s="2502"/>
      <c r="Y88" s="2502"/>
      <c r="Z88" s="2502"/>
    </row>
    <row r="89" spans="1:26" s="2477" customFormat="1" ht="13.5" thickBot="1">
      <c r="A89" s="2473" t="s">
        <v>1912</v>
      </c>
      <c r="B89" s="2480">
        <f t="shared" si="56"/>
        <v>103</v>
      </c>
      <c r="C89" s="2480">
        <f t="shared" si="56"/>
        <v>104</v>
      </c>
      <c r="D89" s="2480">
        <f t="shared" si="20"/>
        <v>104</v>
      </c>
      <c r="E89" s="2480">
        <f t="shared" si="57"/>
        <v>103.5</v>
      </c>
      <c r="F89" s="2480">
        <f t="shared" si="57"/>
        <v>100.5</v>
      </c>
      <c r="G89" s="3673">
        <v>2002</v>
      </c>
      <c r="H89" s="2516">
        <v>1</v>
      </c>
      <c r="I89" s="2517"/>
      <c r="J89" s="2517"/>
      <c r="K89" s="2517"/>
      <c r="L89" s="2517"/>
      <c r="N89" s="2518"/>
      <c r="S89" s="2518"/>
      <c r="X89" s="2519"/>
      <c r="Y89" s="2519"/>
      <c r="Z89" s="2519"/>
    </row>
    <row r="90" spans="1:26" ht="13.5" thickBot="1">
      <c r="B90" s="2520">
        <v>102</v>
      </c>
      <c r="C90" s="2521">
        <v>103</v>
      </c>
      <c r="D90" s="2521">
        <f t="shared" si="20"/>
        <v>103</v>
      </c>
      <c r="E90" s="2521">
        <v>103</v>
      </c>
      <c r="F90" s="2522">
        <v>100</v>
      </c>
      <c r="I90" s="2510"/>
      <c r="J90" s="2510"/>
      <c r="K90" s="2510"/>
      <c r="L90" s="2510"/>
      <c r="N90" s="2511"/>
      <c r="O90" s="2510"/>
      <c r="P90" s="2510"/>
      <c r="Q90" s="2510"/>
      <c r="S90" s="2511"/>
      <c r="T90" s="2510"/>
      <c r="U90" s="2510"/>
      <c r="V90" s="2510"/>
      <c r="X90" s="2457"/>
      <c r="Y90" s="2457"/>
      <c r="Z90" s="2457"/>
    </row>
    <row r="92" spans="1:26" s="2524" customFormat="1">
      <c r="A92" s="2523" t="s">
        <v>1913</v>
      </c>
      <c r="G92" s="2525"/>
      <c r="N92" s="2525"/>
      <c r="S92" s="2525"/>
    </row>
    <row r="93" spans="1:26" s="2524" customFormat="1">
      <c r="A93" s="2524" t="s">
        <v>1914</v>
      </c>
      <c r="G93" s="2525"/>
      <c r="N93" s="2525"/>
      <c r="S93" s="2525"/>
    </row>
    <row r="94" spans="1:26" s="2524" customFormat="1">
      <c r="A94" s="2524" t="s">
        <v>1915</v>
      </c>
      <c r="G94" s="2525"/>
      <c r="I94" s="2526"/>
      <c r="J94" s="2526"/>
      <c r="K94" s="2526"/>
      <c r="L94" s="2526"/>
      <c r="N94" s="2527"/>
      <c r="O94" s="2526"/>
      <c r="P94" s="2526"/>
      <c r="Q94" s="2526"/>
      <c r="S94" s="2527"/>
      <c r="T94" s="2526"/>
      <c r="U94" s="2526"/>
      <c r="V94" s="2526"/>
    </row>
    <row r="95" spans="1:26" s="2524" customFormat="1">
      <c r="A95" s="2524" t="s">
        <v>1916</v>
      </c>
      <c r="G95" s="2525"/>
      <c r="N95" s="2525"/>
      <c r="S95" s="2525"/>
    </row>
    <row r="102" spans="7:22" ht="13.5" thickBot="1"/>
    <row r="103" spans="7:22">
      <c r="G103" s="2441"/>
      <c r="S103" s="2528" t="s">
        <v>1917</v>
      </c>
      <c r="T103" s="2467" t="s">
        <v>1918</v>
      </c>
      <c r="U103" s="2467" t="s">
        <v>1919</v>
      </c>
      <c r="V103" s="2467" t="s">
        <v>1920</v>
      </c>
    </row>
    <row r="104" spans="7:22">
      <c r="G104" s="2441"/>
      <c r="N104" s="2456"/>
      <c r="O104" s="2457"/>
      <c r="P104" s="2457"/>
      <c r="Q104" s="2457"/>
      <c r="S104" s="2529">
        <v>2006</v>
      </c>
      <c r="T104" s="2458">
        <v>15.1</v>
      </c>
      <c r="U104" s="2458">
        <v>7.43</v>
      </c>
      <c r="V104" s="2458">
        <v>26.26</v>
      </c>
    </row>
    <row r="105" spans="7:22">
      <c r="G105" s="2441"/>
      <c r="N105" s="2456"/>
      <c r="O105" s="2457"/>
      <c r="P105" s="2457"/>
      <c r="Q105" s="2457"/>
      <c r="S105" s="2530">
        <v>2005</v>
      </c>
      <c r="T105" s="2445">
        <v>13.9</v>
      </c>
      <c r="U105" s="2445">
        <v>7.49</v>
      </c>
      <c r="V105" s="2445">
        <v>24.92</v>
      </c>
    </row>
    <row r="106" spans="7:22">
      <c r="G106" s="2441"/>
      <c r="N106" s="2456"/>
      <c r="O106" s="2457"/>
      <c r="P106" s="2457"/>
      <c r="Q106" s="2457"/>
      <c r="S106" s="2529">
        <v>2004</v>
      </c>
      <c r="T106" s="2458">
        <v>9.48</v>
      </c>
      <c r="U106" s="2458">
        <v>7.2</v>
      </c>
      <c r="V106" s="2458">
        <v>14.68</v>
      </c>
    </row>
    <row r="107" spans="7:22">
      <c r="G107" s="2441"/>
      <c r="N107" s="2456"/>
      <c r="O107" s="2457"/>
      <c r="P107" s="2457"/>
      <c r="Q107" s="2457"/>
      <c r="S107" s="2530">
        <v>2003</v>
      </c>
      <c r="T107" s="2445">
        <v>4.5</v>
      </c>
      <c r="U107" s="2445">
        <v>6.12</v>
      </c>
      <c r="V107" s="2445">
        <v>2.34</v>
      </c>
    </row>
    <row r="108" spans="7:22" ht="13.5" thickBot="1">
      <c r="G108" s="2441"/>
      <c r="N108" s="2456"/>
      <c r="O108" s="2457"/>
      <c r="P108" s="2457"/>
      <c r="Q108" s="2457"/>
      <c r="S108" s="2531">
        <v>2002</v>
      </c>
      <c r="T108" s="2464">
        <v>3.59</v>
      </c>
      <c r="U108" s="2464">
        <v>4.54</v>
      </c>
      <c r="V108" s="2464">
        <v>2.5499999999999998</v>
      </c>
    </row>
    <row r="109" spans="7:22">
      <c r="G109" s="2441"/>
      <c r="N109" s="2456"/>
      <c r="O109" s="2457"/>
      <c r="P109" s="2457"/>
      <c r="Q109" s="2457"/>
    </row>
    <row r="110" spans="7:22">
      <c r="G110" s="2441"/>
      <c r="N110" s="2456"/>
      <c r="O110" s="2457"/>
      <c r="P110" s="2457"/>
      <c r="Q110" s="2457"/>
    </row>
    <row r="111" spans="7:22">
      <c r="G111" s="2441"/>
      <c r="N111" s="2456"/>
      <c r="O111" s="2457"/>
      <c r="P111" s="2457"/>
      <c r="Q111" s="2457"/>
    </row>
    <row r="112" spans="7:22">
      <c r="G112" s="2441"/>
      <c r="N112" s="2456"/>
      <c r="O112" s="2457"/>
      <c r="P112" s="2457"/>
      <c r="Q112" s="2457"/>
    </row>
    <row r="113" spans="7:19">
      <c r="G113" s="2441"/>
      <c r="N113" s="2456"/>
      <c r="O113" s="2457"/>
      <c r="P113" s="2457"/>
      <c r="Q113" s="2457"/>
    </row>
    <row r="114" spans="7:19">
      <c r="G114" s="2441"/>
      <c r="N114" s="2456"/>
      <c r="O114" s="2457"/>
      <c r="P114" s="2457"/>
      <c r="Q114" s="2457"/>
    </row>
    <row r="115" spans="7:19">
      <c r="G115" s="2441"/>
      <c r="N115" s="2456"/>
      <c r="O115" s="2457"/>
      <c r="P115" s="2457"/>
      <c r="Q115" s="2457"/>
    </row>
    <row r="116" spans="7:19">
      <c r="G116" s="2441"/>
      <c r="N116" s="2456"/>
      <c r="O116" s="2457"/>
      <c r="P116" s="2457"/>
      <c r="Q116" s="2457"/>
    </row>
    <row r="117" spans="7:19">
      <c r="G117" s="2441"/>
      <c r="N117" s="2456"/>
      <c r="O117" s="2457"/>
      <c r="P117" s="2457"/>
      <c r="Q117" s="2457"/>
    </row>
    <row r="118" spans="7:19">
      <c r="G118" s="2441"/>
      <c r="N118" s="2456"/>
      <c r="O118" s="2457"/>
      <c r="P118" s="2457"/>
      <c r="Q118" s="2457"/>
    </row>
    <row r="119" spans="7:19">
      <c r="G119" s="2441"/>
      <c r="N119" s="2456"/>
      <c r="O119" s="2457"/>
      <c r="P119" s="2457"/>
      <c r="Q119" s="2457"/>
      <c r="S119" s="2441"/>
    </row>
    <row r="120" spans="7:19">
      <c r="G120" s="2441"/>
      <c r="N120" s="2456"/>
      <c r="O120" s="2457"/>
      <c r="P120" s="2457"/>
      <c r="Q120" s="2457"/>
      <c r="S120" s="2441"/>
    </row>
    <row r="121" spans="7:19">
      <c r="G121" s="2441"/>
      <c r="N121" s="2456"/>
      <c r="O121" s="2457"/>
      <c r="P121" s="2457"/>
      <c r="Q121" s="2457"/>
      <c r="S121" s="2441"/>
    </row>
    <row r="122" spans="7:19">
      <c r="G122" s="2441"/>
      <c r="N122" s="2456"/>
      <c r="O122" s="2457"/>
      <c r="P122" s="2457"/>
      <c r="Q122" s="2457"/>
      <c r="S122" s="2441"/>
    </row>
    <row r="123" spans="7:19">
      <c r="G123" s="2441"/>
      <c r="N123" s="2456"/>
      <c r="O123" s="2457"/>
      <c r="P123" s="2457"/>
      <c r="Q123" s="2457"/>
      <c r="S123" s="2441"/>
    </row>
    <row r="124" spans="7:19">
      <c r="G124" s="2441"/>
      <c r="N124" s="2456"/>
      <c r="O124" s="2457"/>
      <c r="P124" s="2457"/>
      <c r="Q124" s="2457"/>
      <c r="S124" s="2441"/>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37.5">
      <c r="A4" s="1488" t="str">
        <f>"受贵公司委托，我公司对"&amp;项目基本情况!K2&amp;项目基本情况!B9&amp;"进行了预评估。"</f>
        <v>受贵公司委托，我公司对江苏省连云港海州区锦屏山东南侧4号地出让国有建设用地使用权抵押价格进行了预评估。</v>
      </c>
    </row>
    <row r="5" spans="1:4" ht="18.75">
      <c r="A5" s="1491" t="s">
        <v>1429</v>
      </c>
    </row>
    <row r="6" spans="1:4" ht="75">
      <c r="A6" s="148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江苏省连云港海州区锦屏山东南侧4号地出让国有建设用地使用权。根据《国有土地使用证》[]，估价对象（分摊）出让国有建设用地使用权面积为86493.04平方米。根据《建设工程规划许可证》[]、《出让合同》[]，估价对象规划建筑面积为302725.5平方米。</v>
      </c>
    </row>
    <row r="7" spans="1:4" ht="56.25">
      <c r="A7" s="1492" t="s">
        <v>2029</v>
      </c>
    </row>
    <row r="8" spans="1:4" ht="18.75">
      <c r="A8" s="1491" t="s">
        <v>1430</v>
      </c>
    </row>
    <row r="9" spans="1:4" ht="75">
      <c r="A9" s="1488" t="str">
        <f>IF(项目基本情况!B8="抵押",IF(项目基本情况!B5=项目基本情况!B6,定义!C51,定义!B51),定义!D51)</f>
        <v>拟使用江苏省连云港海州区锦屏山东南侧4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3" t="s">
        <v>1544</v>
      </c>
    </row>
    <row r="11" spans="1:4" ht="18.75">
      <c r="A11" s="1477" t="str">
        <f>TEXT(项目基本情况!D3,"yyyy年m月d日;;")&amp;IF(项目基本情况!B3=项目基本情况!D3,"（评估专业人员勘察现场之日）","")</f>
        <v>2023年5月11日（评估专业人员勘察现场之日）</v>
      </c>
    </row>
    <row r="12" spans="1:4" ht="18.75">
      <c r="A12" s="1493" t="s">
        <v>1543</v>
      </c>
    </row>
    <row r="13" spans="1:4" ht="18.75">
      <c r="A13" s="1488" t="s">
        <v>2199</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根据《国有土地使用证》[]，估价对象（分摊）出让国有建设用地使用权面积为86493.04平方米。根据《建设工程规划许可证》[]、《出让合同》[]，估价对象规划建筑面积为302725.5平方米。</v>
      </c>
    </row>
    <row r="21" spans="1:1" ht="18.75">
      <c r="A21" s="1488" t="s">
        <v>1592</v>
      </c>
    </row>
    <row r="22" spans="1:1" ht="93.75">
      <c r="A22" s="148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12月2日。截至估价期日，出让国有建设用地使用权剩余土地使用年限为。</v>
      </c>
    </row>
    <row r="23" spans="1:1" ht="18.75">
      <c r="A23" s="1488" t="str">
        <f>IF(项目基本情况!A17="出让","本次评估设定估价对象剩余土地使用年限为"&amp;项目基本情况!D20&amp;"。","")</f>
        <v>本次评估设定估价对象剩余土地使用年限为。</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2023年5月11日，在规划利用条件下、设定土地开发程度为红线外“七通”、宗地内场地，设定用途为，剩余土地使用年限为的出让国有建设用地使用权价格。</v>
      </c>
    </row>
    <row r="26" spans="1:1" ht="37.5">
      <c r="A26" s="14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8" t="str">
        <f>IF(项目基本情况!B9="市场价格","——",IF(项目基本情况!E9="——","",定义!C57))</f>
        <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D31"/>
  <sheetViews>
    <sheetView zoomScale="70" zoomScaleNormal="70" workbookViewId="0">
      <selection activeCell="H24" sqref="H24"/>
    </sheetView>
  </sheetViews>
  <sheetFormatPr defaultRowHeight="13.5"/>
  <cols>
    <col min="1" max="1" width="12.375" customWidth="1"/>
  </cols>
  <sheetData>
    <row r="1" spans="1:30">
      <c r="A1" s="3134">
        <f>基准地价!G23</f>
        <v>45057</v>
      </c>
      <c r="B1" s="3091" t="s">
        <v>2791</v>
      </c>
      <c r="C1" s="3092"/>
      <c r="D1" s="3092"/>
      <c r="E1" s="3092"/>
      <c r="F1" s="3092"/>
      <c r="G1" s="3092"/>
      <c r="H1" s="3092"/>
      <c r="I1" s="3092"/>
      <c r="J1" s="3093"/>
      <c r="K1" s="3092" t="s">
        <v>2792</v>
      </c>
      <c r="L1" s="3092"/>
      <c r="M1" s="3092"/>
      <c r="N1" s="3092"/>
      <c r="O1" s="3092"/>
      <c r="P1" s="3092"/>
      <c r="Q1" s="3093"/>
      <c r="R1" s="3679" t="s">
        <v>2801</v>
      </c>
      <c r="S1" s="3680"/>
      <c r="T1" s="3680"/>
      <c r="U1" s="3680"/>
      <c r="V1" s="3680"/>
      <c r="W1" s="3680"/>
      <c r="X1" s="3093"/>
      <c r="Y1" s="3679" t="s">
        <v>2812</v>
      </c>
      <c r="Z1" s="3680"/>
      <c r="AA1" s="3680"/>
      <c r="AB1" s="3680"/>
      <c r="AC1" s="3680"/>
      <c r="AD1" s="3680"/>
    </row>
    <row r="2" spans="1:30" ht="14.25" thickBot="1">
      <c r="A2" s="3086"/>
      <c r="B2" s="3094"/>
      <c r="C2" s="3095"/>
      <c r="D2" s="2424" t="s">
        <v>2794</v>
      </c>
      <c r="E2" s="2425" t="s">
        <v>2795</v>
      </c>
      <c r="F2" s="2425" t="s">
        <v>2796</v>
      </c>
      <c r="G2" s="2425" t="s">
        <v>2797</v>
      </c>
      <c r="H2" s="2425" t="s">
        <v>2798</v>
      </c>
      <c r="I2" s="2425" t="s">
        <v>2735</v>
      </c>
      <c r="J2" s="3096"/>
      <c r="K2" s="2424" t="s">
        <v>2794</v>
      </c>
      <c r="L2" s="2425" t="s">
        <v>2795</v>
      </c>
      <c r="M2" s="2425" t="s">
        <v>2796</v>
      </c>
      <c r="N2" s="2425" t="s">
        <v>2797</v>
      </c>
      <c r="O2" s="2425" t="s">
        <v>2798</v>
      </c>
      <c r="P2" s="2425" t="s">
        <v>2735</v>
      </c>
      <c r="Q2" s="3096"/>
      <c r="R2" s="2424" t="s">
        <v>2802</v>
      </c>
      <c r="S2" s="2425" t="s">
        <v>2803</v>
      </c>
      <c r="T2" s="2425" t="s">
        <v>2804</v>
      </c>
      <c r="U2" s="2425" t="s">
        <v>2805</v>
      </c>
      <c r="V2" s="2425" t="s">
        <v>2806</v>
      </c>
      <c r="W2" s="2425" t="s">
        <v>2807</v>
      </c>
      <c r="X2" s="3096"/>
      <c r="Y2" s="2424" t="s">
        <v>2794</v>
      </c>
      <c r="Z2" s="2425" t="s">
        <v>1470</v>
      </c>
      <c r="AA2" s="2425" t="s">
        <v>2813</v>
      </c>
      <c r="AB2" s="2425" t="s">
        <v>1469</v>
      </c>
      <c r="AC2" s="2425" t="s">
        <v>2798</v>
      </c>
      <c r="AD2" s="2425" t="s">
        <v>2452</v>
      </c>
    </row>
    <row r="3" spans="1:30">
      <c r="A3" s="3087" t="s">
        <v>2778</v>
      </c>
      <c r="B3" s="3097"/>
      <c r="C3" s="3098"/>
      <c r="D3" s="3098">
        <f>ROUND(AVERAGEIF(D4:D13,"&lt;&gt;0"),2)</f>
        <v>0.84</v>
      </c>
      <c r="E3" s="3098">
        <f>ROUND(AVERAGEIF(E4:E13,"&lt;&gt;0"),2)</f>
        <v>0.35</v>
      </c>
      <c r="F3" s="3098">
        <f>ROUND(AVERAGEIF(F4:F13,"&lt;&gt;0"),2)</f>
        <v>0.15</v>
      </c>
      <c r="G3" s="3098">
        <f>ROUND(AVERAGEIF(G4:G13,"&lt;&gt;0"),2)</f>
        <v>0.92</v>
      </c>
      <c r="H3" s="3098">
        <f>ROUND(AVERAGEIF(H4:H13,"&lt;&gt;0"),2)</f>
        <v>0.68</v>
      </c>
      <c r="I3" s="3098">
        <f>F3</f>
        <v>0.15</v>
      </c>
      <c r="J3" s="3099"/>
      <c r="K3" s="3100">
        <f>ROUND(AVERAGEIF(K4:K13,"&lt;&gt;0"),4)</f>
        <v>8.3999999999999995E-3</v>
      </c>
      <c r="L3" s="3101">
        <f>ROUND(AVERAGEIF(L4:L13,"&lt;&gt;0"),4)</f>
        <v>3.5000000000000001E-3</v>
      </c>
      <c r="M3" s="3101">
        <f>ROUND(AVERAGEIF(M4:M13,"&lt;&gt;0"),4)</f>
        <v>1.5E-3</v>
      </c>
      <c r="N3" s="3101">
        <f>ROUND(AVERAGEIF(N4:N13,"&lt;&gt;0"),4)</f>
        <v>9.1999999999999998E-3</v>
      </c>
      <c r="O3" s="3101">
        <f>ROUND(AVERAGEIF(O4:O13,"&lt;&gt;0"),4)</f>
        <v>6.7999999999999996E-3</v>
      </c>
      <c r="P3" s="3101">
        <f>M3</f>
        <v>1.5E-3</v>
      </c>
      <c r="Q3" s="3099"/>
      <c r="R3" s="3114">
        <f>ROUND(SUMPRODUCT(PRODUCT(1+K4:K13)),4)</f>
        <v>1.0602</v>
      </c>
      <c r="S3" s="3115">
        <f>ROUND(SUMPRODUCT(PRODUCT(1+L4:L13)),4)</f>
        <v>1.0246</v>
      </c>
      <c r="T3" s="3115">
        <f>ROUND(SUMPRODUCT(PRODUCT(1+M4:M13)),4)</f>
        <v>1.0107999999999999</v>
      </c>
      <c r="U3" s="3115">
        <f>ROUND(SUMPRODUCT(PRODUCT(1+N4:N13)),4)</f>
        <v>1.0662</v>
      </c>
      <c r="V3" s="3115">
        <f>ROUND(SUMPRODUCT(PRODUCT(1+O4:O13)),4)</f>
        <v>1.0485</v>
      </c>
      <c r="W3" s="3114">
        <f>T3</f>
        <v>1.0107999999999999</v>
      </c>
      <c r="X3" s="3099"/>
      <c r="Y3" s="3121">
        <f>ROUND(AVERAGEIF(Y5:Y13,"&lt;&gt;0"),4)</f>
        <v>8.8000000000000005E-3</v>
      </c>
      <c r="Z3" s="3122">
        <f>ROUND(AVERAGEIF(Z5:Z13,"&lt;&gt;0"),4)</f>
        <v>3.5999999999999999E-3</v>
      </c>
      <c r="AA3" s="3123">
        <f>ROUND(AVERAGEIF(AA5:AA13,"&lt;&gt;0"),4)</f>
        <v>8.0000000000000004E-4</v>
      </c>
      <c r="AB3" s="3121">
        <f>ROUND(AVERAGEIF(AB5:AB13,"&lt;&gt;0"),4)</f>
        <v>9.5999999999999992E-3</v>
      </c>
      <c r="AC3" s="3124">
        <f>ROUND(AVERAGEIF(AC5:AC13,"&lt;&gt;0"),4)</f>
        <v>6.1000000000000004E-3</v>
      </c>
      <c r="AD3" s="3121">
        <f>AA3</f>
        <v>8.0000000000000004E-4</v>
      </c>
    </row>
    <row r="4" spans="1:30">
      <c r="A4" s="2440"/>
      <c r="B4" s="3135"/>
      <c r="C4" s="3136"/>
      <c r="D4" s="3136"/>
      <c r="E4" s="3136"/>
      <c r="F4" s="3136"/>
      <c r="G4" s="3136"/>
      <c r="H4" s="3136"/>
      <c r="I4" s="3136"/>
      <c r="J4" s="3093"/>
      <c r="K4" s="3103"/>
      <c r="L4" s="3104"/>
      <c r="M4" s="3104"/>
      <c r="N4" s="3104"/>
      <c r="O4" s="3104"/>
      <c r="P4" s="3104"/>
      <c r="Q4" s="3093"/>
      <c r="R4" s="3116"/>
      <c r="S4" s="3117"/>
      <c r="T4" s="3118"/>
      <c r="U4" s="3116"/>
      <c r="V4" s="3119"/>
      <c r="W4" s="3116"/>
      <c r="X4" s="3093"/>
      <c r="Y4" s="3107"/>
      <c r="Z4" s="3125"/>
      <c r="AA4" s="3126"/>
      <c r="AB4" s="3107"/>
      <c r="AC4" s="3127"/>
      <c r="AD4" s="3107"/>
    </row>
    <row r="5" spans="1:30">
      <c r="A5" s="3088" t="s">
        <v>2779</v>
      </c>
      <c r="B5" s="3137">
        <v>2023</v>
      </c>
      <c r="C5" s="3138">
        <v>1</v>
      </c>
      <c r="D5" s="3138">
        <v>0</v>
      </c>
      <c r="E5" s="3138">
        <v>0</v>
      </c>
      <c r="F5" s="3138">
        <v>0</v>
      </c>
      <c r="G5" s="3138">
        <v>0</v>
      </c>
      <c r="H5" s="3138">
        <v>0</v>
      </c>
      <c r="I5" s="3139">
        <f t="shared" ref="I5:I13" si="0">F5</f>
        <v>0</v>
      </c>
      <c r="J5" s="3105"/>
      <c r="K5" s="3106">
        <f t="shared" ref="K5:O13" si="1">D5/100</f>
        <v>0</v>
      </c>
      <c r="L5" s="3107">
        <f t="shared" si="1"/>
        <v>0</v>
      </c>
      <c r="M5" s="3107">
        <f t="shared" si="1"/>
        <v>0</v>
      </c>
      <c r="N5" s="3107">
        <f t="shared" si="1"/>
        <v>0</v>
      </c>
      <c r="O5" s="3107">
        <f t="shared" si="1"/>
        <v>0</v>
      </c>
      <c r="P5" s="3107">
        <f>M5</f>
        <v>0</v>
      </c>
      <c r="Q5" s="3105"/>
      <c r="R5" s="3116">
        <f>ROUND(IF(项目基本情况!B8="出让",SUMPRODUCT(PRODUCT(1+K5:K13)),SUMPRODUCT(PRODUCT(1+K5:K12))),4)</f>
        <v>1.05</v>
      </c>
      <c r="S5" s="3116">
        <f>ROUND(IF(项目基本情况!B8="出让",SUMPRODUCT(PRODUCT(1+L5:L13)),SUMPRODUCT(PRODUCT(1+L5:L12))),4)</f>
        <v>1.0229999999999999</v>
      </c>
      <c r="T5" s="3116">
        <f>ROUND(IF(项目基本情况!B8="出让",SUMPRODUCT(PRODUCT(1+M5:M13)),SUMPRODUCT(PRODUCT(1+M5:M12))),4)</f>
        <v>1.0134000000000001</v>
      </c>
      <c r="U5" s="3116">
        <f>ROUND(IF(项目基本情况!B8="出让",SUMPRODUCT(PRODUCT(1+N5:N13)),SUMPRODUCT(PRODUCT(1+N5:N12))),4)</f>
        <v>1.0545</v>
      </c>
      <c r="V5" s="3116">
        <f>ROUND(IF(项目基本情况!B8="出让",SUMPRODUCT(PRODUCT(1+O5:O13)),SUMPRODUCT(PRODUCT(1+O5:O12))),4)</f>
        <v>1.0447</v>
      </c>
      <c r="W5" s="3116">
        <f>T5</f>
        <v>1.0134000000000001</v>
      </c>
      <c r="X5" s="3105"/>
      <c r="Y5" s="3107">
        <f>IF(D5=0,0,ROUND(AVERAGE(D5:D13)/100,4))</f>
        <v>0</v>
      </c>
      <c r="Z5" s="3107">
        <f>IF(E5=0,0,ROUND(AVERAGE(E5:E13)/100,4))</f>
        <v>0</v>
      </c>
      <c r="AA5" s="3107">
        <f>IF(F5=0,0,ROUND(AVERAGE(F5:F13)/100,4))</f>
        <v>0</v>
      </c>
      <c r="AB5" s="3107">
        <f>IF(G5=0,0,ROUND(AVERAGE(G5:G13)/100,4))</f>
        <v>0</v>
      </c>
      <c r="AC5" s="3107">
        <f>IF(H5=0,0,ROUND(AVERAGE(H5:H13)/100,4))</f>
        <v>0</v>
      </c>
      <c r="AD5" s="3107">
        <f t="shared" ref="AD5:AD12" si="2">AA5</f>
        <v>0</v>
      </c>
    </row>
    <row r="6" spans="1:30">
      <c r="A6" s="3088" t="s">
        <v>2780</v>
      </c>
      <c r="B6" s="3137">
        <v>2022</v>
      </c>
      <c r="C6" s="3138">
        <v>4</v>
      </c>
      <c r="D6" s="3138">
        <v>0</v>
      </c>
      <c r="E6" s="3138">
        <v>0</v>
      </c>
      <c r="F6" s="3138">
        <v>0</v>
      </c>
      <c r="G6" s="3138">
        <v>0</v>
      </c>
      <c r="H6" s="3138">
        <v>0</v>
      </c>
      <c r="I6" s="3139">
        <f t="shared" si="0"/>
        <v>0</v>
      </c>
      <c r="J6" s="3105"/>
      <c r="K6" s="3106">
        <f t="shared" si="1"/>
        <v>0</v>
      </c>
      <c r="L6" s="3107">
        <f t="shared" si="1"/>
        <v>0</v>
      </c>
      <c r="M6" s="3107">
        <f t="shared" si="1"/>
        <v>0</v>
      </c>
      <c r="N6" s="3107">
        <f t="shared" si="1"/>
        <v>0</v>
      </c>
      <c r="O6" s="3107">
        <f t="shared" si="1"/>
        <v>0</v>
      </c>
      <c r="P6" s="3107">
        <f t="shared" ref="P6:P13" si="3">M6</f>
        <v>0</v>
      </c>
      <c r="Q6" s="3105"/>
      <c r="R6" s="3116">
        <f>ROUND(IF(项目基本情况!B8="出让",SUMPRODUCT(PRODUCT(1+K6:K13)),SUMPRODUCT(PRODUCT(1+K6:K12))),4)</f>
        <v>1.05</v>
      </c>
      <c r="S6" s="3116">
        <f>ROUND(IF(项目基本情况!B8="出让",SUMPRODUCT(PRODUCT(1+L6:L13)),SUMPRODUCT(PRODUCT(1+L6:L12))),4)</f>
        <v>1.0229999999999999</v>
      </c>
      <c r="T6" s="3116">
        <f>ROUND(IF(项目基本情况!B8="出让",SUMPRODUCT(PRODUCT(1+M6:M13)),SUMPRODUCT(PRODUCT(1+M6:M12))),4)</f>
        <v>1.0134000000000001</v>
      </c>
      <c r="U6" s="3116">
        <f>ROUND(IF(项目基本情况!B8="出让",SUMPRODUCT(PRODUCT(1+N6:N13)),SUMPRODUCT(PRODUCT(1+N6:N12))),4)</f>
        <v>1.0545</v>
      </c>
      <c r="V6" s="3116">
        <f>ROUND(IF(项目基本情况!B8="出让",SUMPRODUCT(PRODUCT(1+O6:O13)),SUMPRODUCT(PRODUCT(1+O6:O12))),4)</f>
        <v>1.0447</v>
      </c>
      <c r="W6" s="3116">
        <f t="shared" ref="W6:W13" si="4">T6</f>
        <v>1.0134000000000001</v>
      </c>
      <c r="X6" s="3105"/>
      <c r="Y6" s="3107">
        <f>IF(D6=0,0,ROUND(AVERAGE(D6:D14)/100,4))</f>
        <v>0</v>
      </c>
      <c r="Z6" s="3107">
        <f>IF(E6=0,0,ROUND(AVERAGE(E6:E13)/100,4))</f>
        <v>0</v>
      </c>
      <c r="AA6" s="3107">
        <f>IF(F6=0,0,ROUND(AVERAGE(F6:F13)/100,4))</f>
        <v>0</v>
      </c>
      <c r="AB6" s="3107">
        <f>IF(G6=0,0,ROUND(AVERAGE(G6:G13)/100,4))</f>
        <v>0</v>
      </c>
      <c r="AC6" s="3107">
        <f>IF(H6=0,0,ROUND(AVERAGE(H6:H13)/100,4))</f>
        <v>0</v>
      </c>
      <c r="AD6" s="3107">
        <f t="shared" si="2"/>
        <v>0</v>
      </c>
    </row>
    <row r="7" spans="1:30">
      <c r="A7" s="3089" t="s">
        <v>3249</v>
      </c>
      <c r="B7" s="3140">
        <v>2022</v>
      </c>
      <c r="C7" s="3141">
        <v>3</v>
      </c>
      <c r="D7" s="3141">
        <v>0.66</v>
      </c>
      <c r="E7" s="3141">
        <v>0.32</v>
      </c>
      <c r="F7" s="3141">
        <v>0.23</v>
      </c>
      <c r="G7" s="3141">
        <v>0.72</v>
      </c>
      <c r="H7" s="3142">
        <v>0.63</v>
      </c>
      <c r="I7" s="3143">
        <f t="shared" si="0"/>
        <v>0.23</v>
      </c>
      <c r="J7" s="3108"/>
      <c r="K7" s="3109">
        <f t="shared" si="1"/>
        <v>6.6E-3</v>
      </c>
      <c r="L7" s="3110">
        <f t="shared" si="1"/>
        <v>3.2000000000000002E-3</v>
      </c>
      <c r="M7" s="3110">
        <f t="shared" si="1"/>
        <v>2.3E-3</v>
      </c>
      <c r="N7" s="3110">
        <f t="shared" si="1"/>
        <v>7.1999999999999998E-3</v>
      </c>
      <c r="O7" s="3110">
        <f t="shared" si="1"/>
        <v>6.3E-3</v>
      </c>
      <c r="P7" s="3110">
        <f t="shared" si="3"/>
        <v>2.3E-3</v>
      </c>
      <c r="Q7" s="3108"/>
      <c r="R7" s="3108">
        <f>ROUND(IF(项目基本情况!B8="出让",SUMPRODUCT(PRODUCT(1+K7:K13)),SUMPRODUCT(PRODUCT(1+K7:K12))),4)</f>
        <v>1.05</v>
      </c>
      <c r="S7" s="3108">
        <f>ROUND(IF(项目基本情况!B8="出让",SUMPRODUCT(PRODUCT(1+L7:L13)),SUMPRODUCT(PRODUCT(1+L7:L12))),4)</f>
        <v>1.0229999999999999</v>
      </c>
      <c r="T7" s="3108">
        <f>ROUND(IF(项目基本情况!B8="出让",SUMPRODUCT(PRODUCT(1+M7:M13)),SUMPRODUCT(PRODUCT(1+M7:M12))),4)</f>
        <v>1.0134000000000001</v>
      </c>
      <c r="U7" s="3108">
        <f>ROUND(IF(项目基本情况!B8="出让",SUMPRODUCT(PRODUCT(1+N7:N13)),SUMPRODUCT(PRODUCT(1+N7:N12))),4)</f>
        <v>1.0545</v>
      </c>
      <c r="V7" s="3108">
        <f>ROUND(IF(项目基本情况!B8="出让",SUMPRODUCT(PRODUCT(1+O7:O13)),SUMPRODUCT(PRODUCT(1+O7:O12))),4)</f>
        <v>1.0447</v>
      </c>
      <c r="W7" s="3108">
        <f t="shared" si="4"/>
        <v>1.0134000000000001</v>
      </c>
      <c r="X7" s="3108"/>
      <c r="Y7" s="3110">
        <f>IF(D7=0,0,ROUND(AVERAGE(D7:D13)/100,4))</f>
        <v>8.3999999999999995E-3</v>
      </c>
      <c r="Z7" s="3110">
        <f>IF(E7=0,0,ROUND(AVERAGE(E7:E13)/100,4))</f>
        <v>3.5000000000000001E-3</v>
      </c>
      <c r="AA7" s="3110">
        <f>IF(F7=0,0,ROUND(AVERAGE(F7:F13)/100,4))</f>
        <v>1.5E-3</v>
      </c>
      <c r="AB7" s="3110">
        <f>IF(G7=0,0,ROUND(AVERAGE(G7:G13)/100,4))</f>
        <v>9.1999999999999998E-3</v>
      </c>
      <c r="AC7" s="3110">
        <f>IF(H7=0,0,ROUND(AVERAGE(H7:H13)/100,4))</f>
        <v>6.7999999999999996E-3</v>
      </c>
      <c r="AD7" s="3110">
        <f t="shared" si="2"/>
        <v>1.5E-3</v>
      </c>
    </row>
    <row r="8" spans="1:30">
      <c r="A8" s="3088" t="s">
        <v>3250</v>
      </c>
      <c r="B8" s="3137">
        <v>2022</v>
      </c>
      <c r="C8" s="3138">
        <v>2</v>
      </c>
      <c r="D8" s="3138">
        <v>0.93</v>
      </c>
      <c r="E8" s="3138">
        <v>0.15</v>
      </c>
      <c r="F8" s="3138">
        <v>0.01</v>
      </c>
      <c r="G8" s="3138">
        <v>1.05</v>
      </c>
      <c r="H8" s="3144">
        <v>1.08</v>
      </c>
      <c r="I8" s="3139">
        <f t="shared" si="0"/>
        <v>0.01</v>
      </c>
      <c r="J8" s="3105"/>
      <c r="K8" s="3106">
        <f t="shared" si="1"/>
        <v>9.300000000000001E-3</v>
      </c>
      <c r="L8" s="3107">
        <f t="shared" si="1"/>
        <v>1.5E-3</v>
      </c>
      <c r="M8" s="3107">
        <f t="shared" si="1"/>
        <v>1E-4</v>
      </c>
      <c r="N8" s="3107">
        <f t="shared" si="1"/>
        <v>1.0500000000000001E-2</v>
      </c>
      <c r="O8" s="3107">
        <f t="shared" si="1"/>
        <v>1.0800000000000001E-2</v>
      </c>
      <c r="P8" s="3107">
        <f t="shared" si="3"/>
        <v>1E-4</v>
      </c>
      <c r="Q8" s="3105"/>
      <c r="R8" s="3116">
        <f>ROUND(IF(项目基本情况!B8="出让",SUMPRODUCT(PRODUCT(1+K8:K13)),SUMPRODUCT(PRODUCT(1+K8:K12))),4)</f>
        <v>1.0430999999999999</v>
      </c>
      <c r="S8" s="3116">
        <f>ROUND(IF(项目基本情况!B8="出让",SUMPRODUCT(PRODUCT(1+L8:L13)),SUMPRODUCT(PRODUCT(1+L8:L12))),4)</f>
        <v>1.0197000000000001</v>
      </c>
      <c r="T8" s="3116">
        <f>ROUND(IF(项目基本情况!B8="出让",SUMPRODUCT(PRODUCT(1+M8:M13)),SUMPRODUCT(PRODUCT(1+M8:M12))),4)</f>
        <v>1.0109999999999999</v>
      </c>
      <c r="U8" s="3116">
        <f>ROUND(IF(项目基本情况!B8="出让",SUMPRODUCT(PRODUCT(1+N8:N13)),SUMPRODUCT(PRODUCT(1+N8:N12))),4)</f>
        <v>1.0468999999999999</v>
      </c>
      <c r="V8" s="3116">
        <f>ROUND(IF(项目基本情况!B8="出让",SUMPRODUCT(PRODUCT(1+O8:O13)),SUMPRODUCT(PRODUCT(1+O8:O12))),4)</f>
        <v>1.0382</v>
      </c>
      <c r="W8" s="3116">
        <f t="shared" si="4"/>
        <v>1.0109999999999999</v>
      </c>
      <c r="X8" s="3105"/>
      <c r="Y8" s="3107">
        <f>IF(D8=0,0,ROUND(AVERAGE(D8:D13)/100,4))</f>
        <v>8.6999999999999994E-3</v>
      </c>
      <c r="Z8" s="3107">
        <f>IF(E8=0,0,ROUND(AVERAGE(E8:E13)/100,4))</f>
        <v>3.5000000000000001E-3</v>
      </c>
      <c r="AA8" s="3107">
        <f>IF(F8=0,0,ROUND(AVERAGE(F8:F13)/100,4))</f>
        <v>1.4E-3</v>
      </c>
      <c r="AB8" s="3107">
        <f>IF(G8=0,0,ROUND(AVERAGE(G8:G13)/100,4))</f>
        <v>9.4999999999999998E-3</v>
      </c>
      <c r="AC8" s="3107">
        <f>IF(H8=0,0,ROUND(AVERAGE(H8:H13)/100,4))</f>
        <v>6.8999999999999999E-3</v>
      </c>
      <c r="AD8" s="3107">
        <f t="shared" si="2"/>
        <v>1.4E-3</v>
      </c>
    </row>
    <row r="9" spans="1:30">
      <c r="A9" s="3088" t="s">
        <v>2781</v>
      </c>
      <c r="B9" s="3137">
        <v>2022</v>
      </c>
      <c r="C9" s="3138">
        <v>1</v>
      </c>
      <c r="D9" s="3138">
        <v>0.89</v>
      </c>
      <c r="E9" s="3138">
        <v>0.44</v>
      </c>
      <c r="F9" s="3138">
        <v>0.37</v>
      </c>
      <c r="G9" s="3138">
        <v>0.96</v>
      </c>
      <c r="H9" s="3144">
        <v>0.64</v>
      </c>
      <c r="I9" s="3139">
        <f t="shared" si="0"/>
        <v>0.37</v>
      </c>
      <c r="J9" s="3105"/>
      <c r="K9" s="3106">
        <f t="shared" si="1"/>
        <v>8.8999999999999999E-3</v>
      </c>
      <c r="L9" s="3107">
        <f t="shared" si="1"/>
        <v>4.4000000000000003E-3</v>
      </c>
      <c r="M9" s="3107">
        <f t="shared" si="1"/>
        <v>3.7000000000000002E-3</v>
      </c>
      <c r="N9" s="3107">
        <f t="shared" si="1"/>
        <v>9.5999999999999992E-3</v>
      </c>
      <c r="O9" s="3107">
        <f t="shared" si="1"/>
        <v>6.4000000000000003E-3</v>
      </c>
      <c r="P9" s="3107">
        <f t="shared" si="3"/>
        <v>3.7000000000000002E-3</v>
      </c>
      <c r="Q9" s="3105"/>
      <c r="R9" s="3116">
        <f>ROUND(IF(项目基本情况!B8="出让",SUMPRODUCT(PRODUCT(1+K9:K13)),SUMPRODUCT(PRODUCT(1+K9:K12))),4)</f>
        <v>1.0335000000000001</v>
      </c>
      <c r="S9" s="3116">
        <f>ROUND(IF(项目基本情况!B8="出让",SUMPRODUCT(PRODUCT(1+L9:L13)),SUMPRODUCT(PRODUCT(1+L9:L12))),4)</f>
        <v>1.0182</v>
      </c>
      <c r="T9" s="3116">
        <f>ROUND(IF(项目基本情况!B8="出让",SUMPRODUCT(PRODUCT(1+M9:M13)),SUMPRODUCT(PRODUCT(1+M9:M12))),4)</f>
        <v>1.0108999999999999</v>
      </c>
      <c r="U9" s="3116">
        <f>ROUND(IF(项目基本情况!B8="出让",SUMPRODUCT(PRODUCT(1+N9:N13)),SUMPRODUCT(PRODUCT(1+N9:N12))),4)</f>
        <v>1.0361</v>
      </c>
      <c r="V9" s="3116">
        <f>ROUND(IF(项目基本情况!B8="出让",SUMPRODUCT(PRODUCT(1+O9:O13)),SUMPRODUCT(PRODUCT(1+O9:O12))),4)</f>
        <v>1.0270999999999999</v>
      </c>
      <c r="W9" s="3116">
        <f t="shared" si="4"/>
        <v>1.0108999999999999</v>
      </c>
      <c r="X9" s="3105"/>
      <c r="Y9" s="3107">
        <f>IF(D9=0,0,ROUND(AVERAGE(D9:D13)/100,4))</f>
        <v>8.6E-3</v>
      </c>
      <c r="Z9" s="3107">
        <f>IF(E9=0,0,ROUND(AVERAGE(E9:E13)/100,4))</f>
        <v>3.8999999999999998E-3</v>
      </c>
      <c r="AA9" s="3107">
        <f>IF(F9=0,0,ROUND(AVERAGE(F9:F13)/100,4))</f>
        <v>1.6999999999999999E-3</v>
      </c>
      <c r="AB9" s="3107">
        <f>IF(G9=0,0,ROUND(AVERAGE(G9:G13)/100,4))</f>
        <v>9.2999999999999992E-3</v>
      </c>
      <c r="AC9" s="3107">
        <f>IF(H9=0,0,ROUND(AVERAGE(H9:H13)/100,4))</f>
        <v>6.1000000000000004E-3</v>
      </c>
      <c r="AD9" s="3107">
        <f t="shared" si="2"/>
        <v>1.6999999999999999E-3</v>
      </c>
    </row>
    <row r="10" spans="1:30">
      <c r="A10" s="3088" t="s">
        <v>2782</v>
      </c>
      <c r="B10" s="3137">
        <v>2021</v>
      </c>
      <c r="C10" s="3138">
        <v>4</v>
      </c>
      <c r="D10" s="3138">
        <v>1.03</v>
      </c>
      <c r="E10" s="3138">
        <v>0.24</v>
      </c>
      <c r="F10" s="3138">
        <v>7.0000000000000007E-2</v>
      </c>
      <c r="G10" s="3138">
        <v>1.17</v>
      </c>
      <c r="H10" s="3144">
        <v>0.55000000000000004</v>
      </c>
      <c r="I10" s="3139">
        <f t="shared" si="0"/>
        <v>7.0000000000000007E-2</v>
      </c>
      <c r="J10" s="3105"/>
      <c r="K10" s="3106">
        <f t="shared" si="1"/>
        <v>1.03E-2</v>
      </c>
      <c r="L10" s="3107">
        <f t="shared" si="1"/>
        <v>2.3999999999999998E-3</v>
      </c>
      <c r="M10" s="3107">
        <f t="shared" si="1"/>
        <v>7.000000000000001E-4</v>
      </c>
      <c r="N10" s="3107">
        <f t="shared" si="1"/>
        <v>1.1699999999999999E-2</v>
      </c>
      <c r="O10" s="3107">
        <f t="shared" si="1"/>
        <v>5.5000000000000005E-3</v>
      </c>
      <c r="P10" s="3107">
        <f t="shared" si="3"/>
        <v>7.000000000000001E-4</v>
      </c>
      <c r="Q10" s="3105"/>
      <c r="R10" s="3116">
        <f>ROUND(IF(项目基本情况!B8="出让",SUMPRODUCT(PRODUCT(1+K10:K13)),SUMPRODUCT(PRODUCT(1+K10:K12))),4)</f>
        <v>1.0244</v>
      </c>
      <c r="S10" s="3116">
        <f>ROUND(IF(项目基本情况!B8="出让",SUMPRODUCT(PRODUCT(1+L10:L13)),SUMPRODUCT(PRODUCT(1+L10:L12))),4)</f>
        <v>1.0138</v>
      </c>
      <c r="T10" s="3116">
        <f>ROUND(IF(项目基本情况!B8="出让",SUMPRODUCT(PRODUCT(1+M10:M13)),SUMPRODUCT(PRODUCT(1+M10:M12))),4)</f>
        <v>1.0072000000000001</v>
      </c>
      <c r="U10" s="3116">
        <f>ROUND(IF(项目基本情况!B8="出让",SUMPRODUCT(PRODUCT(1+N10:N13)),SUMPRODUCT(PRODUCT(1+N10:N12))),4)</f>
        <v>1.0262</v>
      </c>
      <c r="V10" s="3116">
        <f>ROUND(IF(项目基本情况!B8="出让",SUMPRODUCT(PRODUCT(1+O10:O13)),SUMPRODUCT(PRODUCT(1+O10:O12))),4)</f>
        <v>1.0205</v>
      </c>
      <c r="W10" s="3116">
        <f t="shared" si="4"/>
        <v>1.0072000000000001</v>
      </c>
      <c r="X10" s="3105"/>
      <c r="Y10" s="3107">
        <f>IF(D10=0,0,ROUND(AVERAGE(D10:D13)/100,4))</f>
        <v>8.5000000000000006E-3</v>
      </c>
      <c r="Z10" s="3107">
        <f>IF(E10=0,0,ROUND(AVERAGE(E10:E13)/100,4))</f>
        <v>3.8E-3</v>
      </c>
      <c r="AA10" s="3107">
        <f>IF(F10=0,0,ROUND(AVERAGE(F10:F13)/100,4))</f>
        <v>1.1999999999999999E-3</v>
      </c>
      <c r="AB10" s="3107">
        <f>IF(G10=0,0,ROUND(AVERAGE(G10:G13)/100,4))</f>
        <v>9.2999999999999992E-3</v>
      </c>
      <c r="AC10" s="3107">
        <f>IF(H10=0,0,ROUND(AVERAGE(H10:H13)/100,4))</f>
        <v>6.0000000000000001E-3</v>
      </c>
      <c r="AD10" s="3107">
        <f t="shared" si="2"/>
        <v>1.1999999999999999E-3</v>
      </c>
    </row>
    <row r="11" spans="1:30">
      <c r="A11" s="3088" t="s">
        <v>2783</v>
      </c>
      <c r="B11" s="3137">
        <v>2021</v>
      </c>
      <c r="C11" s="3138">
        <v>3</v>
      </c>
      <c r="D11" s="3138">
        <v>0.47</v>
      </c>
      <c r="E11" s="3138">
        <v>0.41</v>
      </c>
      <c r="F11" s="3138">
        <v>0.24</v>
      </c>
      <c r="G11" s="3138">
        <v>0.48</v>
      </c>
      <c r="H11" s="3144">
        <v>0.48</v>
      </c>
      <c r="I11" s="3139">
        <f t="shared" si="0"/>
        <v>0.24</v>
      </c>
      <c r="J11" s="3105"/>
      <c r="K11" s="3106">
        <f t="shared" si="1"/>
        <v>4.6999999999999993E-3</v>
      </c>
      <c r="L11" s="3107">
        <f t="shared" si="1"/>
        <v>4.0999999999999995E-3</v>
      </c>
      <c r="M11" s="3107">
        <f t="shared" si="1"/>
        <v>2.3999999999999998E-3</v>
      </c>
      <c r="N11" s="3107">
        <f t="shared" si="1"/>
        <v>4.7999999999999996E-3</v>
      </c>
      <c r="O11" s="3107">
        <f t="shared" si="1"/>
        <v>4.7999999999999996E-3</v>
      </c>
      <c r="P11" s="3107">
        <f t="shared" si="3"/>
        <v>2.3999999999999998E-3</v>
      </c>
      <c r="Q11" s="3105"/>
      <c r="R11" s="3116">
        <f>ROUND(IF(项目基本情况!B8="出让",SUMPRODUCT(PRODUCT(1+K11:K13)),SUMPRODUCT(PRODUCT(1+K11:K12))),4)</f>
        <v>1.0139</v>
      </c>
      <c r="S11" s="3116">
        <f>ROUND(IF(项目基本情况!B8="出让",SUMPRODUCT(PRODUCT(1+L11:L13)),SUMPRODUCT(PRODUCT(1+L11:L12))),4)</f>
        <v>1.0113000000000001</v>
      </c>
      <c r="T11" s="3116">
        <f>ROUND(IF(项目基本情况!B8="出让",SUMPRODUCT(PRODUCT(1+M11:M13)),SUMPRODUCT(PRODUCT(1+M11:M12))),4)</f>
        <v>1.0065</v>
      </c>
      <c r="U11" s="3116">
        <f>ROUND(IF(项目基本情况!B8="出让",SUMPRODUCT(PRODUCT(1+N11:N13)),SUMPRODUCT(PRODUCT(1+N11:N12))),4)</f>
        <v>1.0143</v>
      </c>
      <c r="V11" s="3116">
        <f>ROUND(IF(项目基本情况!B8="出让",SUMPRODUCT(PRODUCT(1+O11:O13)),SUMPRODUCT(PRODUCT(1+O11:O12))),4)</f>
        <v>1.0148999999999999</v>
      </c>
      <c r="W11" s="3116">
        <f t="shared" si="4"/>
        <v>1.0065</v>
      </c>
      <c r="X11" s="3105"/>
      <c r="Y11" s="3107">
        <f>IF(D11=0,0,ROUND(AVERAGE(D11:D13)/100,4))</f>
        <v>7.9000000000000008E-3</v>
      </c>
      <c r="Z11" s="3107">
        <f>IF(E11=0,0,ROUND(AVERAGE(E11:E13)/100,4))</f>
        <v>4.3E-3</v>
      </c>
      <c r="AA11" s="3107">
        <f>IF(F11=0,0,ROUND(AVERAGE(F11:F13)/100,4))</f>
        <v>1.2999999999999999E-3</v>
      </c>
      <c r="AB11" s="3107">
        <f>IF(G11=0,0,ROUND(AVERAGE(G11:G13)/100,4))</f>
        <v>8.5000000000000006E-3</v>
      </c>
      <c r="AC11" s="3107">
        <f>IF(H11=0,0,ROUND(AVERAGE(H11:H13)/100,4))</f>
        <v>6.1999999999999998E-3</v>
      </c>
      <c r="AD11" s="3107">
        <f t="shared" si="2"/>
        <v>1.2999999999999999E-3</v>
      </c>
    </row>
    <row r="12" spans="1:30">
      <c r="A12" s="3088" t="s">
        <v>2784</v>
      </c>
      <c r="B12" s="3137">
        <v>2021</v>
      </c>
      <c r="C12" s="3138">
        <v>2</v>
      </c>
      <c r="D12" s="3138">
        <v>0.92</v>
      </c>
      <c r="E12" s="3138">
        <v>0.72</v>
      </c>
      <c r="F12" s="3138">
        <v>0.41</v>
      </c>
      <c r="G12" s="3138">
        <v>0.95</v>
      </c>
      <c r="H12" s="3144">
        <v>1.01</v>
      </c>
      <c r="I12" s="3139">
        <f t="shared" si="0"/>
        <v>0.41</v>
      </c>
      <c r="J12" s="3105"/>
      <c r="K12" s="3106">
        <f t="shared" si="1"/>
        <v>9.1999999999999998E-3</v>
      </c>
      <c r="L12" s="3107">
        <f t="shared" si="1"/>
        <v>7.1999999999999998E-3</v>
      </c>
      <c r="M12" s="3107">
        <f t="shared" si="1"/>
        <v>4.0999999999999995E-3</v>
      </c>
      <c r="N12" s="3107">
        <f t="shared" si="1"/>
        <v>9.4999999999999998E-3</v>
      </c>
      <c r="O12" s="3107">
        <f t="shared" si="1"/>
        <v>1.01E-2</v>
      </c>
      <c r="P12" s="3107">
        <f t="shared" si="3"/>
        <v>4.0999999999999995E-3</v>
      </c>
      <c r="Q12" s="3105"/>
      <c r="R12" s="3116">
        <f>ROUND(IF(项目基本情况!B8="出让",SUMPRODUCT(PRODUCT(1+K12:K13)),SUMPRODUCT(PRODUCT(1+K12:K12))),4)</f>
        <v>1.0092000000000001</v>
      </c>
      <c r="S12" s="3116">
        <f>ROUND(IF(项目基本情况!B8="出让",SUMPRODUCT(PRODUCT(1+L12:L13)),SUMPRODUCT(PRODUCT(1+L12:L12))),4)</f>
        <v>1.0072000000000001</v>
      </c>
      <c r="T12" s="3116">
        <f>ROUND(IF(项目基本情况!B8="出让",SUMPRODUCT(PRODUCT(1+M12:M13)),SUMPRODUCT(PRODUCT(1+M12:M12))),4)</f>
        <v>1.0041</v>
      </c>
      <c r="U12" s="3116">
        <f>ROUND(IF(项目基本情况!B8="出让",SUMPRODUCT(PRODUCT(1+N12:N13)),SUMPRODUCT(PRODUCT(1+N12:N12))),4)</f>
        <v>1.0095000000000001</v>
      </c>
      <c r="V12" s="3116">
        <f>ROUND(IF(项目基本情况!B8="出让",SUMPRODUCT(PRODUCT(1+O12:O13)),SUMPRODUCT(PRODUCT(1+O12:O12))),4)</f>
        <v>1.0101</v>
      </c>
      <c r="W12" s="3116">
        <f t="shared" si="4"/>
        <v>1.0041</v>
      </c>
      <c r="X12" s="3105"/>
      <c r="Y12" s="3107">
        <f>IF(D12=0,0,ROUND(AVERAGE(D12:D13)/100,4))</f>
        <v>9.4999999999999998E-3</v>
      </c>
      <c r="Z12" s="3107">
        <f>IF(E12=0,0,ROUND(AVERAGE(E12:E13)/100,4))</f>
        <v>4.4000000000000003E-3</v>
      </c>
      <c r="AA12" s="3107">
        <f>IF(F12=0,0,ROUND(AVERAGE(F12:F13)/100,4))</f>
        <v>8.0000000000000004E-4</v>
      </c>
      <c r="AB12" s="3107">
        <f>IF(G12=0,0,ROUND(AVERAGE(G12:G13)/100,4))</f>
        <v>1.03E-2</v>
      </c>
      <c r="AC12" s="3107">
        <f>IF(H12=0,0,ROUND(AVERAGE(H12:H13)/100,4))</f>
        <v>6.8999999999999999E-3</v>
      </c>
      <c r="AD12" s="3107">
        <f t="shared" si="2"/>
        <v>8.0000000000000004E-4</v>
      </c>
    </row>
    <row r="13" spans="1:30" ht="14.25" thickBot="1">
      <c r="A13" s="3090" t="s">
        <v>2785</v>
      </c>
      <c r="B13" s="3145">
        <v>2021</v>
      </c>
      <c r="C13" s="3146">
        <v>1</v>
      </c>
      <c r="D13" s="3146">
        <v>0.97</v>
      </c>
      <c r="E13" s="3146">
        <v>0.16</v>
      </c>
      <c r="F13" s="3146">
        <v>-0.25</v>
      </c>
      <c r="G13" s="3146">
        <v>1.1100000000000001</v>
      </c>
      <c r="H13" s="3147">
        <v>0.36</v>
      </c>
      <c r="I13" s="3148">
        <f t="shared" si="0"/>
        <v>-0.25</v>
      </c>
      <c r="J13" s="3111"/>
      <c r="K13" s="3112">
        <f t="shared" si="1"/>
        <v>9.7000000000000003E-3</v>
      </c>
      <c r="L13" s="3113">
        <f t="shared" si="1"/>
        <v>1.6000000000000001E-3</v>
      </c>
      <c r="M13" s="3113">
        <f>F13/100</f>
        <v>-2.5000000000000001E-3</v>
      </c>
      <c r="N13" s="3113">
        <f t="shared" si="1"/>
        <v>1.11E-2</v>
      </c>
      <c r="O13" s="3113">
        <f t="shared" si="1"/>
        <v>3.5999999999999999E-3</v>
      </c>
      <c r="P13" s="3113">
        <f t="shared" si="3"/>
        <v>-2.5000000000000001E-3</v>
      </c>
      <c r="Q13" s="3111"/>
      <c r="R13" s="3120">
        <v>1</v>
      </c>
      <c r="S13" s="3120">
        <v>1</v>
      </c>
      <c r="T13" s="3120">
        <v>1</v>
      </c>
      <c r="U13" s="3120">
        <v>1</v>
      </c>
      <c r="V13" s="3120">
        <v>1</v>
      </c>
      <c r="W13" s="3120">
        <f t="shared" si="4"/>
        <v>1</v>
      </c>
      <c r="X13" s="3111"/>
      <c r="Y13" s="3113">
        <f>IF(D13=0,0,ROUND(AVERAGE(D13:D13)/100,4))</f>
        <v>9.7000000000000003E-3</v>
      </c>
      <c r="Z13" s="3113">
        <f>IF(E13=0,0,ROUND(AVERAGE(E13:E13)/100,4))</f>
        <v>1.6000000000000001E-3</v>
      </c>
      <c r="AA13" s="3113">
        <f>IF(F13=0,0,ROUND(AVERAGE(F13:F13)/100,4))</f>
        <v>-2.5000000000000001E-3</v>
      </c>
      <c r="AB13" s="3113">
        <f>IF(G13=0,0,ROUND(AVERAGE(G13:G13)/100,4))</f>
        <v>1.11E-2</v>
      </c>
      <c r="AC13" s="3113">
        <f>IF(H13=0,0,ROUND(AVERAGE(H13:H13)/100,4))</f>
        <v>3.5999999999999999E-3</v>
      </c>
      <c r="AD13" s="3113">
        <f>AA13</f>
        <v>-2.5000000000000001E-3</v>
      </c>
    </row>
    <row r="14" spans="1:30" ht="14.25" thickTop="1"/>
    <row r="16" spans="1:30">
      <c r="I16" s="2749" t="s">
        <v>2799</v>
      </c>
    </row>
    <row r="18" spans="1:30">
      <c r="A18" s="2440"/>
      <c r="B18" s="3091" t="s">
        <v>2800</v>
      </c>
      <c r="C18" s="3092"/>
      <c r="D18" s="3092"/>
      <c r="E18" s="3092"/>
      <c r="F18" s="3092"/>
      <c r="G18" s="3092"/>
      <c r="H18" s="3092"/>
      <c r="I18" s="3092"/>
      <c r="J18" s="3093"/>
      <c r="K18" s="3092" t="s">
        <v>2792</v>
      </c>
      <c r="L18" s="3092"/>
      <c r="M18" s="3092"/>
      <c r="N18" s="3092"/>
      <c r="O18" s="3092"/>
      <c r="P18" s="3092"/>
      <c r="Q18" s="3093"/>
      <c r="R18" s="3679" t="s">
        <v>2808</v>
      </c>
      <c r="S18" s="3680"/>
      <c r="T18" s="3680"/>
      <c r="U18" s="3680"/>
      <c r="V18" s="3680"/>
      <c r="W18" s="3680"/>
      <c r="X18" s="3093"/>
      <c r="Y18" s="3679" t="s">
        <v>1925</v>
      </c>
      <c r="Z18" s="3680"/>
      <c r="AA18" s="3680"/>
      <c r="AB18" s="3680"/>
      <c r="AC18" s="3680"/>
      <c r="AD18" s="3680"/>
    </row>
    <row r="19" spans="1:30" ht="14.25" thickBot="1">
      <c r="A19" s="3086"/>
      <c r="B19" s="3094"/>
      <c r="C19" s="3095"/>
      <c r="D19" s="2424" t="s">
        <v>2794</v>
      </c>
      <c r="E19" s="2425" t="s">
        <v>2795</v>
      </c>
      <c r="F19" s="2425" t="s">
        <v>2796</v>
      </c>
      <c r="G19" s="2425" t="s">
        <v>1469</v>
      </c>
      <c r="H19" s="2425"/>
      <c r="I19" s="2425" t="s">
        <v>2735</v>
      </c>
      <c r="J19" s="3096"/>
      <c r="K19" s="2424" t="s">
        <v>2794</v>
      </c>
      <c r="L19" s="2425" t="s">
        <v>2795</v>
      </c>
      <c r="M19" s="2425" t="s">
        <v>2796</v>
      </c>
      <c r="N19" s="2425" t="s">
        <v>2797</v>
      </c>
      <c r="O19" s="2425"/>
      <c r="P19" s="2425" t="s">
        <v>2735</v>
      </c>
      <c r="Q19" s="3096"/>
      <c r="R19" s="2424" t="s">
        <v>2809</v>
      </c>
      <c r="S19" s="2425" t="s">
        <v>2810</v>
      </c>
      <c r="T19" s="2425" t="s">
        <v>2796</v>
      </c>
      <c r="U19" s="2425" t="s">
        <v>1469</v>
      </c>
      <c r="V19" s="2425"/>
      <c r="W19" s="2425" t="s">
        <v>2811</v>
      </c>
      <c r="X19" s="3096"/>
      <c r="Y19" s="2424" t="s">
        <v>2793</v>
      </c>
      <c r="Z19" s="2425" t="s">
        <v>2795</v>
      </c>
      <c r="AA19" s="2425" t="s">
        <v>2796</v>
      </c>
      <c r="AB19" s="2425" t="s">
        <v>1469</v>
      </c>
      <c r="AC19" s="2425"/>
      <c r="AD19" s="2425" t="s">
        <v>2814</v>
      </c>
    </row>
    <row r="20" spans="1:30">
      <c r="A20" s="3087" t="s">
        <v>2786</v>
      </c>
      <c r="B20" s="3097"/>
      <c r="C20" s="3098"/>
      <c r="D20" s="3098"/>
      <c r="E20" s="3098">
        <f>ROUND(AVERAGEIF(E21:E30,"&lt;&gt;0"),2)</f>
        <v>0.39</v>
      </c>
      <c r="F20" s="3098">
        <f>ROUND(AVERAGEIF(F21:F30,"&lt;&gt;0"),2)</f>
        <v>0.27</v>
      </c>
      <c r="G20" s="3098">
        <f>ROUND(AVERAGEIF(G21:G30,"&lt;&gt;0"),2)</f>
        <v>0.79</v>
      </c>
      <c r="H20" s="3098"/>
      <c r="I20" s="3098">
        <f>F20</f>
        <v>0.27</v>
      </c>
      <c r="J20" s="3099"/>
      <c r="K20" s="3100"/>
      <c r="L20" s="3101">
        <f>ROUND(AVERAGEIF(L21:L30,"&lt;&gt;0"),4)</f>
        <v>3.8999999999999998E-3</v>
      </c>
      <c r="M20" s="3101">
        <f>ROUND(AVERAGEIF(M21:M30,"&lt;&gt;0"),4)</f>
        <v>2.7000000000000001E-3</v>
      </c>
      <c r="N20" s="3101">
        <f>ROUND(AVERAGEIF(N21:N30,"&lt;&gt;0"),4)</f>
        <v>7.9000000000000008E-3</v>
      </c>
      <c r="O20" s="3101"/>
      <c r="P20" s="3101">
        <f>M20</f>
        <v>2.7000000000000001E-3</v>
      </c>
      <c r="Q20" s="3099"/>
      <c r="R20" s="3114"/>
      <c r="S20" s="3115">
        <f>ROUND(SUMPRODUCT(PRODUCT(1+L21:L30)),4)</f>
        <v>1.0277000000000001</v>
      </c>
      <c r="T20" s="3115">
        <f>ROUND(SUMPRODUCT(PRODUCT(1+M21:M30)),4)</f>
        <v>1.0192000000000001</v>
      </c>
      <c r="U20" s="3115">
        <f>ROUND(SUMPRODUCT(PRODUCT(1+N21:N30)),4)</f>
        <v>1.0569</v>
      </c>
      <c r="V20" s="3115"/>
      <c r="W20" s="3114">
        <f>T20</f>
        <v>1.0192000000000001</v>
      </c>
      <c r="X20" s="3099"/>
      <c r="Y20" s="3121"/>
      <c r="Z20" s="3122">
        <f>ROUND(AVERAGEIF(Z21:Z30,"&lt;&gt;0"),4)</f>
        <v>4.4000000000000003E-3</v>
      </c>
      <c r="AA20" s="3123">
        <f>ROUND(AVERAGEIF(AA21:AA30,"&lt;&gt;0"),4)</f>
        <v>3.7000000000000002E-3</v>
      </c>
      <c r="AB20" s="3121">
        <f>ROUND(AVERAGEIF(AB21:AB30,"&lt;&gt;0"),4)</f>
        <v>9.1000000000000004E-3</v>
      </c>
      <c r="AC20" s="3124"/>
      <c r="AD20" s="3121">
        <f>AA20</f>
        <v>3.7000000000000002E-3</v>
      </c>
    </row>
    <row r="21" spans="1:30">
      <c r="A21" s="2440"/>
      <c r="B21" s="3102"/>
      <c r="C21" s="2440"/>
      <c r="D21" s="2440"/>
      <c r="E21" s="2440"/>
      <c r="F21" s="2440"/>
      <c r="G21" s="2440"/>
      <c r="H21" s="2440"/>
      <c r="I21" s="2440"/>
      <c r="J21" s="3093"/>
      <c r="K21" s="3103"/>
      <c r="L21" s="3104"/>
      <c r="M21" s="3104"/>
      <c r="N21" s="3104"/>
      <c r="O21" s="3104"/>
      <c r="P21" s="3104"/>
      <c r="Q21" s="3093"/>
      <c r="R21" s="3116"/>
      <c r="S21" s="3117"/>
      <c r="T21" s="3118"/>
      <c r="U21" s="3116"/>
      <c r="V21" s="3119"/>
      <c r="W21" s="3116"/>
      <c r="X21" s="3093"/>
      <c r="Y21" s="3107"/>
      <c r="Z21" s="3125"/>
      <c r="AA21" s="3126"/>
      <c r="AB21" s="3107"/>
      <c r="AC21" s="3127"/>
      <c r="AD21" s="3107"/>
    </row>
    <row r="22" spans="1:30">
      <c r="A22" s="3088" t="s">
        <v>2787</v>
      </c>
      <c r="B22" s="3137">
        <v>2023</v>
      </c>
      <c r="C22" s="3138">
        <v>1</v>
      </c>
      <c r="D22" s="3138"/>
      <c r="E22" s="3138">
        <v>0</v>
      </c>
      <c r="F22" s="3138">
        <v>0</v>
      </c>
      <c r="G22" s="3138">
        <v>0</v>
      </c>
      <c r="H22" s="3138"/>
      <c r="I22" s="3139">
        <f t="shared" ref="I22:I30" si="5">F22</f>
        <v>0</v>
      </c>
      <c r="J22" s="3105"/>
      <c r="K22" s="3106"/>
      <c r="L22" s="3107">
        <f t="shared" ref="L22:N30" si="6">E22/100</f>
        <v>0</v>
      </c>
      <c r="M22" s="3107">
        <f t="shared" si="6"/>
        <v>0</v>
      </c>
      <c r="N22" s="3107">
        <f t="shared" si="6"/>
        <v>0</v>
      </c>
      <c r="O22" s="3107"/>
      <c r="P22" s="3107">
        <f>M22</f>
        <v>0</v>
      </c>
      <c r="Q22" s="3105"/>
      <c r="R22" s="3116"/>
      <c r="S22" s="3116">
        <f>ROUND(IF(项目基本情况!$B$8="出让",SUMPRODUCT(PRODUCT(1+L22:L$30)),SUMPRODUCT(PRODUCT(1+L22:L$29))),4)</f>
        <v>1.0241</v>
      </c>
      <c r="T22" s="3116">
        <f>ROUND(IF(项目基本情况!$B$8="出让",SUMPRODUCT(PRODUCT(1+M22:M$30)),SUMPRODUCT(PRODUCT(1+M22:M$29))),4)</f>
        <v>1.0144</v>
      </c>
      <c r="U22" s="3116">
        <f>ROUND(IF(项目基本情况!$B$8="出让",SUMPRODUCT(PRODUCT(1+N22:N$30)),SUMPRODUCT(PRODUCT(1+N22:N$29))),4)</f>
        <v>1.0467</v>
      </c>
      <c r="V22" s="3116"/>
      <c r="W22" s="3116">
        <f>T22</f>
        <v>1.0144</v>
      </c>
      <c r="X22" s="3105"/>
      <c r="Y22" s="3107"/>
      <c r="Z22" s="3125">
        <f>IF(E22=0,0,ROUND(AVERAGE(E22:E30)/100,4))</f>
        <v>0</v>
      </c>
      <c r="AA22" s="3125">
        <f>IF(F22=0,0,ROUND(AVERAGE(F22:F30)/100,4))</f>
        <v>0</v>
      </c>
      <c r="AB22" s="3125">
        <f>IF(G22=0,0,ROUND(AVERAGE(G22:G30)/100,4))</f>
        <v>0</v>
      </c>
      <c r="AC22" s="3127"/>
      <c r="AD22" s="3107">
        <f>IF(I22=0,0,ROUND(AVERAGE(I22:I30)/100,4))</f>
        <v>0</v>
      </c>
    </row>
    <row r="23" spans="1:30">
      <c r="A23" s="3088" t="s">
        <v>2788</v>
      </c>
      <c r="B23" s="3137">
        <v>2022</v>
      </c>
      <c r="C23" s="3138">
        <v>4</v>
      </c>
      <c r="D23" s="3138"/>
      <c r="E23" s="3138">
        <v>0</v>
      </c>
      <c r="F23" s="3138">
        <v>0</v>
      </c>
      <c r="G23" s="3138">
        <v>0</v>
      </c>
      <c r="H23" s="3138"/>
      <c r="I23" s="3139">
        <f t="shared" si="5"/>
        <v>0</v>
      </c>
      <c r="J23" s="3105"/>
      <c r="K23" s="3106"/>
      <c r="L23" s="3107">
        <f t="shared" si="6"/>
        <v>0</v>
      </c>
      <c r="M23" s="3107">
        <f t="shared" si="6"/>
        <v>0</v>
      </c>
      <c r="N23" s="3107">
        <f t="shared" si="6"/>
        <v>0</v>
      </c>
      <c r="O23" s="3107"/>
      <c r="P23" s="3107">
        <f t="shared" ref="P23:P30" si="7">M23</f>
        <v>0</v>
      </c>
      <c r="Q23" s="3105"/>
      <c r="R23" s="3116"/>
      <c r="S23" s="3116">
        <f>ROUND(IF(项目基本情况!$B$8="出让",SUMPRODUCT(PRODUCT(1+L23:L$30)),SUMPRODUCT(PRODUCT(1+L23:L$29))),4)</f>
        <v>1.0241</v>
      </c>
      <c r="T23" s="3116">
        <f>ROUND(IF(项目基本情况!$B$8="出让",SUMPRODUCT(PRODUCT(1+M23:M$30)),SUMPRODUCT(PRODUCT(1+M23:M$29))),4)</f>
        <v>1.0144</v>
      </c>
      <c r="U23" s="3116">
        <f>ROUND(IF(项目基本情况!$B$8="出让",SUMPRODUCT(PRODUCT(1+N23:N$30)),SUMPRODUCT(PRODUCT(1+N23:N$29))),4)</f>
        <v>1.0467</v>
      </c>
      <c r="V23" s="3116"/>
      <c r="W23" s="3116">
        <f t="shared" ref="W23:W30" si="8">T23</f>
        <v>1.0144</v>
      </c>
      <c r="X23" s="3105"/>
      <c r="Y23" s="3107"/>
      <c r="Z23" s="3125">
        <f t="shared" ref="Z23:AD30" si="9">IF(E23=0,0,ROUND(AVERAGE(E23:E31)/100,4))</f>
        <v>0</v>
      </c>
      <c r="AA23" s="3126">
        <f t="shared" si="9"/>
        <v>0</v>
      </c>
      <c r="AB23" s="3107">
        <f t="shared" si="9"/>
        <v>0</v>
      </c>
      <c r="AC23" s="3127"/>
      <c r="AD23" s="3107">
        <f t="shared" si="9"/>
        <v>0</v>
      </c>
    </row>
    <row r="24" spans="1:30">
      <c r="A24" s="3089" t="s">
        <v>3251</v>
      </c>
      <c r="B24" s="3140">
        <v>2022</v>
      </c>
      <c r="C24" s="3141">
        <v>3</v>
      </c>
      <c r="D24" s="3141"/>
      <c r="E24" s="3141">
        <v>0.3</v>
      </c>
      <c r="F24" s="3141">
        <v>0.28999999999999998</v>
      </c>
      <c r="G24" s="3141">
        <v>0.83</v>
      </c>
      <c r="H24" s="3142"/>
      <c r="I24" s="3143">
        <f t="shared" si="5"/>
        <v>0.28999999999999998</v>
      </c>
      <c r="J24" s="3108"/>
      <c r="K24" s="3109"/>
      <c r="L24" s="3110">
        <f t="shared" si="6"/>
        <v>3.0000000000000001E-3</v>
      </c>
      <c r="M24" s="3110">
        <f t="shared" si="6"/>
        <v>2.8999999999999998E-3</v>
      </c>
      <c r="N24" s="3110">
        <f t="shared" si="6"/>
        <v>8.3000000000000001E-3</v>
      </c>
      <c r="O24" s="3110"/>
      <c r="P24" s="3110">
        <f t="shared" si="7"/>
        <v>2.8999999999999998E-3</v>
      </c>
      <c r="Q24" s="3108"/>
      <c r="R24" s="3108"/>
      <c r="S24" s="3108">
        <f>ROUND(IF(项目基本情况!$B$8="出让",SUMPRODUCT(PRODUCT(1+L24:L$30)),SUMPRODUCT(PRODUCT(1+L24:L$29))),4)</f>
        <v>1.0241</v>
      </c>
      <c r="T24" s="3108">
        <f>ROUND(IF(项目基本情况!$B$8="出让",SUMPRODUCT(PRODUCT(1+M24:M$30)),SUMPRODUCT(PRODUCT(1+M24:M$29))),4)</f>
        <v>1.0144</v>
      </c>
      <c r="U24" s="3108">
        <f>ROUND(IF(项目基本情况!$B$8="出让",SUMPRODUCT(PRODUCT(1+N24:N$30)),SUMPRODUCT(PRODUCT(1+N24:N$29))),4)</f>
        <v>1.0467</v>
      </c>
      <c r="V24" s="3108"/>
      <c r="W24" s="3108">
        <f t="shared" si="8"/>
        <v>1.0144</v>
      </c>
      <c r="X24" s="3108"/>
      <c r="Y24" s="3110"/>
      <c r="Z24" s="3128">
        <f t="shared" si="9"/>
        <v>3.8999999999999998E-3</v>
      </c>
      <c r="AA24" s="3129">
        <f t="shared" si="9"/>
        <v>2.7000000000000001E-3</v>
      </c>
      <c r="AB24" s="3110">
        <f t="shared" si="9"/>
        <v>7.9000000000000008E-3</v>
      </c>
      <c r="AC24" s="3130"/>
      <c r="AD24" s="3110">
        <f t="shared" si="9"/>
        <v>2.7000000000000001E-3</v>
      </c>
    </row>
    <row r="25" spans="1:30">
      <c r="A25" s="3088" t="s">
        <v>3250</v>
      </c>
      <c r="B25" s="3137">
        <v>2022</v>
      </c>
      <c r="C25" s="3138">
        <v>2</v>
      </c>
      <c r="D25" s="3138"/>
      <c r="E25" s="3138">
        <v>-0.11</v>
      </c>
      <c r="F25" s="3138">
        <v>-0.13</v>
      </c>
      <c r="G25" s="3138">
        <v>0.53</v>
      </c>
      <c r="H25" s="3144"/>
      <c r="I25" s="3139">
        <f t="shared" si="5"/>
        <v>-0.13</v>
      </c>
      <c r="J25" s="3105"/>
      <c r="K25" s="3106"/>
      <c r="L25" s="3107">
        <f t="shared" si="6"/>
        <v>-1.1000000000000001E-3</v>
      </c>
      <c r="M25" s="3107">
        <f t="shared" si="6"/>
        <v>-1.2999999999999999E-3</v>
      </c>
      <c r="N25" s="3107">
        <f t="shared" si="6"/>
        <v>5.3E-3</v>
      </c>
      <c r="O25" s="3107"/>
      <c r="P25" s="3107">
        <f t="shared" si="7"/>
        <v>-1.2999999999999999E-3</v>
      </c>
      <c r="Q25" s="3105"/>
      <c r="R25" s="3116"/>
      <c r="S25" s="3116">
        <f>ROUND(IF(项目基本情况!$B$8="出让",SUMPRODUCT(PRODUCT(1+L25:L$30)),SUMPRODUCT(PRODUCT(1+L25:L$29))),4)</f>
        <v>1.0210999999999999</v>
      </c>
      <c r="T25" s="3116">
        <f>ROUND(IF(项目基本情况!$B$8="出让",SUMPRODUCT(PRODUCT(1+M25:M$30)),SUMPRODUCT(PRODUCT(1+M25:M$29))),4)</f>
        <v>1.0114000000000001</v>
      </c>
      <c r="U25" s="3116">
        <f>ROUND(IF(项目基本情况!$B$8="出让",SUMPRODUCT(PRODUCT(1+N25:N$30)),SUMPRODUCT(PRODUCT(1+N25:N$29))),4)</f>
        <v>1.0381</v>
      </c>
      <c r="V25" s="3116"/>
      <c r="W25" s="3116">
        <f t="shared" si="8"/>
        <v>1.0114000000000001</v>
      </c>
      <c r="X25" s="3105"/>
      <c r="Y25" s="3107"/>
      <c r="Z25" s="3125">
        <f t="shared" si="9"/>
        <v>4.1000000000000003E-3</v>
      </c>
      <c r="AA25" s="3126">
        <f t="shared" si="9"/>
        <v>2.7000000000000001E-3</v>
      </c>
      <c r="AB25" s="3107">
        <f t="shared" si="9"/>
        <v>7.9000000000000008E-3</v>
      </c>
      <c r="AC25" s="3127"/>
      <c r="AD25" s="3107">
        <f t="shared" si="9"/>
        <v>2.7000000000000001E-3</v>
      </c>
    </row>
    <row r="26" spans="1:30">
      <c r="A26" s="3088" t="s">
        <v>2781</v>
      </c>
      <c r="B26" s="3137">
        <v>2022</v>
      </c>
      <c r="C26" s="3138">
        <v>1</v>
      </c>
      <c r="D26" s="3138"/>
      <c r="E26" s="3138">
        <v>0.6</v>
      </c>
      <c r="F26" s="3138">
        <v>0.45</v>
      </c>
      <c r="G26" s="3138">
        <v>0.53</v>
      </c>
      <c r="H26" s="3144"/>
      <c r="I26" s="3139">
        <f t="shared" si="5"/>
        <v>0.45</v>
      </c>
      <c r="J26" s="3105"/>
      <c r="K26" s="3106"/>
      <c r="L26" s="3107">
        <f t="shared" si="6"/>
        <v>6.0000000000000001E-3</v>
      </c>
      <c r="M26" s="3107">
        <f t="shared" si="6"/>
        <v>4.5000000000000005E-3</v>
      </c>
      <c r="N26" s="3107">
        <f t="shared" si="6"/>
        <v>5.3E-3</v>
      </c>
      <c r="O26" s="3107"/>
      <c r="P26" s="3107">
        <f t="shared" si="7"/>
        <v>4.5000000000000005E-3</v>
      </c>
      <c r="Q26" s="3105"/>
      <c r="R26" s="3116"/>
      <c r="S26" s="3116">
        <f>ROUND(IF(项目基本情况!$B$8="出让",SUMPRODUCT(PRODUCT(1+L26:L$30)),SUMPRODUCT(PRODUCT(1+L26:L$29))),4)</f>
        <v>1.0222</v>
      </c>
      <c r="T26" s="3116">
        <f>ROUND(IF(项目基本情况!$B$8="出让",SUMPRODUCT(PRODUCT(1+M26:M$30)),SUMPRODUCT(PRODUCT(1+M26:M$29))),4)</f>
        <v>1.0127999999999999</v>
      </c>
      <c r="U26" s="3116">
        <f>ROUND(IF(项目基本情况!$B$8="出让",SUMPRODUCT(PRODUCT(1+N26:N$30)),SUMPRODUCT(PRODUCT(1+N26:N$29))),4)</f>
        <v>1.0326</v>
      </c>
      <c r="V26" s="3116"/>
      <c r="W26" s="3116">
        <f t="shared" si="8"/>
        <v>1.0127999999999999</v>
      </c>
      <c r="X26" s="3105"/>
      <c r="Y26" s="3107"/>
      <c r="Z26" s="3125">
        <f t="shared" si="9"/>
        <v>5.1000000000000004E-3</v>
      </c>
      <c r="AA26" s="3126">
        <f t="shared" si="9"/>
        <v>3.5000000000000001E-3</v>
      </c>
      <c r="AB26" s="3107">
        <f t="shared" si="9"/>
        <v>8.3999999999999995E-3</v>
      </c>
      <c r="AC26" s="3127"/>
      <c r="AD26" s="3107">
        <f t="shared" si="9"/>
        <v>3.5000000000000001E-3</v>
      </c>
    </row>
    <row r="27" spans="1:30">
      <c r="A27" s="3088" t="s">
        <v>2782</v>
      </c>
      <c r="B27" s="3137">
        <v>2021</v>
      </c>
      <c r="C27" s="3138">
        <v>4</v>
      </c>
      <c r="D27" s="3138"/>
      <c r="E27" s="3138">
        <v>0.57999999999999996</v>
      </c>
      <c r="F27" s="3138">
        <v>0.08</v>
      </c>
      <c r="G27" s="3138">
        <v>0.68</v>
      </c>
      <c r="H27" s="3144"/>
      <c r="I27" s="3139">
        <f t="shared" si="5"/>
        <v>0.08</v>
      </c>
      <c r="J27" s="3105"/>
      <c r="K27" s="3106"/>
      <c r="L27" s="3107">
        <f t="shared" si="6"/>
        <v>5.7999999999999996E-3</v>
      </c>
      <c r="M27" s="3107">
        <f t="shared" si="6"/>
        <v>8.0000000000000004E-4</v>
      </c>
      <c r="N27" s="3107">
        <f t="shared" si="6"/>
        <v>6.8000000000000005E-3</v>
      </c>
      <c r="O27" s="3107"/>
      <c r="P27" s="3107">
        <f t="shared" si="7"/>
        <v>8.0000000000000004E-4</v>
      </c>
      <c r="Q27" s="3105"/>
      <c r="R27" s="3116"/>
      <c r="S27" s="3116">
        <f>ROUND(IF(项目基本情况!$B$8="出让",SUMPRODUCT(PRODUCT(1+L27:L$30)),SUMPRODUCT(PRODUCT(1+L27:L$29))),4)</f>
        <v>1.0161</v>
      </c>
      <c r="T27" s="3116">
        <f>ROUND(IF(项目基本情况!$B$8="出让",SUMPRODUCT(PRODUCT(1+M27:M$30)),SUMPRODUCT(PRODUCT(1+M27:M$29))),4)</f>
        <v>1.0082</v>
      </c>
      <c r="U27" s="3116">
        <f>ROUND(IF(项目基本情况!$B$8="出让",SUMPRODUCT(PRODUCT(1+N27:N$30)),SUMPRODUCT(PRODUCT(1+N27:N$29))),4)</f>
        <v>1.0270999999999999</v>
      </c>
      <c r="V27" s="3116"/>
      <c r="W27" s="3116">
        <f t="shared" si="8"/>
        <v>1.0082</v>
      </c>
      <c r="X27" s="3105"/>
      <c r="Y27" s="3107"/>
      <c r="Z27" s="3125">
        <f t="shared" si="9"/>
        <v>4.8999999999999998E-3</v>
      </c>
      <c r="AA27" s="3126">
        <f t="shared" si="9"/>
        <v>3.3E-3</v>
      </c>
      <c r="AB27" s="3107">
        <f t="shared" si="9"/>
        <v>9.1999999999999998E-3</v>
      </c>
      <c r="AC27" s="3127"/>
      <c r="AD27" s="3107">
        <f t="shared" si="9"/>
        <v>3.3E-3</v>
      </c>
    </row>
    <row r="28" spans="1:30">
      <c r="A28" s="3088" t="s">
        <v>2783</v>
      </c>
      <c r="B28" s="3137">
        <v>2021</v>
      </c>
      <c r="C28" s="3138">
        <v>3</v>
      </c>
      <c r="D28" s="3138"/>
      <c r="E28" s="3138">
        <v>0.47</v>
      </c>
      <c r="F28" s="3138">
        <v>0.28000000000000003</v>
      </c>
      <c r="G28" s="3138">
        <v>0.91</v>
      </c>
      <c r="H28" s="3144"/>
      <c r="I28" s="3139">
        <f t="shared" si="5"/>
        <v>0.28000000000000003</v>
      </c>
      <c r="J28" s="3105"/>
      <c r="K28" s="3106"/>
      <c r="L28" s="3107">
        <f t="shared" si="6"/>
        <v>4.6999999999999993E-3</v>
      </c>
      <c r="M28" s="3107">
        <f t="shared" si="6"/>
        <v>2.8000000000000004E-3</v>
      </c>
      <c r="N28" s="3107">
        <f t="shared" si="6"/>
        <v>9.1000000000000004E-3</v>
      </c>
      <c r="O28" s="3107"/>
      <c r="P28" s="3107">
        <f t="shared" si="7"/>
        <v>2.8000000000000004E-3</v>
      </c>
      <c r="Q28" s="3105"/>
      <c r="R28" s="3116"/>
      <c r="S28" s="3116">
        <f>ROUND(IF(项目基本情况!$B$8="出让",SUMPRODUCT(PRODUCT(1+L28:L$30)),SUMPRODUCT(PRODUCT(1+L28:L$29))),4)</f>
        <v>1.0102</v>
      </c>
      <c r="T28" s="3116">
        <f>ROUND(IF(项目基本情况!$B$8="出让",SUMPRODUCT(PRODUCT(1+M28:M$30)),SUMPRODUCT(PRODUCT(1+M28:M$29))),4)</f>
        <v>1.0074000000000001</v>
      </c>
      <c r="U28" s="3116">
        <f>ROUND(IF(项目基本情况!$B$8="出让",SUMPRODUCT(PRODUCT(1+N28:N$30)),SUMPRODUCT(PRODUCT(1+N28:N$29))),4)</f>
        <v>1.0202</v>
      </c>
      <c r="V28" s="3116"/>
      <c r="W28" s="3116">
        <f t="shared" si="8"/>
        <v>1.0074000000000001</v>
      </c>
      <c r="X28" s="3105"/>
      <c r="Y28" s="3107"/>
      <c r="Z28" s="3125">
        <f t="shared" si="9"/>
        <v>4.5999999999999999E-3</v>
      </c>
      <c r="AA28" s="3126">
        <f t="shared" si="9"/>
        <v>4.1000000000000003E-3</v>
      </c>
      <c r="AB28" s="3107">
        <f t="shared" si="9"/>
        <v>0.01</v>
      </c>
      <c r="AC28" s="3127"/>
      <c r="AD28" s="3107">
        <f t="shared" si="9"/>
        <v>4.1000000000000003E-3</v>
      </c>
    </row>
    <row r="29" spans="1:30">
      <c r="A29" s="3088" t="s">
        <v>2789</v>
      </c>
      <c r="B29" s="3137">
        <v>2021</v>
      </c>
      <c r="C29" s="3138">
        <v>2</v>
      </c>
      <c r="D29" s="3138"/>
      <c r="E29" s="3138">
        <v>0.55000000000000004</v>
      </c>
      <c r="F29" s="3138">
        <v>0.46</v>
      </c>
      <c r="G29" s="3138">
        <v>1.1000000000000001</v>
      </c>
      <c r="H29" s="3144"/>
      <c r="I29" s="3139">
        <f t="shared" si="5"/>
        <v>0.46</v>
      </c>
      <c r="J29" s="3105"/>
      <c r="K29" s="3106"/>
      <c r="L29" s="3107">
        <f t="shared" si="6"/>
        <v>5.5000000000000005E-3</v>
      </c>
      <c r="M29" s="3107">
        <f t="shared" si="6"/>
        <v>4.5999999999999999E-3</v>
      </c>
      <c r="N29" s="3107">
        <f t="shared" si="6"/>
        <v>1.1000000000000001E-2</v>
      </c>
      <c r="O29" s="3107"/>
      <c r="P29" s="3107">
        <f t="shared" si="7"/>
        <v>4.5999999999999999E-3</v>
      </c>
      <c r="Q29" s="3105"/>
      <c r="R29" s="3116"/>
      <c r="S29" s="3116">
        <f>ROUND(IF(项目基本情况!$B$8="出让",SUMPRODUCT(PRODUCT(1+L29:L$30)),SUMPRODUCT(PRODUCT(1+L29:L$29))),4)</f>
        <v>1.0055000000000001</v>
      </c>
      <c r="T29" s="3116">
        <f>ROUND(IF(项目基本情况!$B$8="出让",SUMPRODUCT(PRODUCT(1+M29:M$30)),SUMPRODUCT(PRODUCT(1+M29:M$29))),4)</f>
        <v>1.0045999999999999</v>
      </c>
      <c r="U29" s="3116">
        <f>ROUND(IF(项目基本情况!$B$8="出让",SUMPRODUCT(PRODUCT(1+N29:N$30)),SUMPRODUCT(PRODUCT(1+N29:N$29))),4)</f>
        <v>1.0109999999999999</v>
      </c>
      <c r="V29" s="3116"/>
      <c r="W29" s="3116">
        <f t="shared" si="8"/>
        <v>1.0045999999999999</v>
      </c>
      <c r="X29" s="3105"/>
      <c r="Y29" s="3107"/>
      <c r="Z29" s="3125">
        <f t="shared" si="9"/>
        <v>4.4999999999999997E-3</v>
      </c>
      <c r="AA29" s="3126">
        <f t="shared" si="9"/>
        <v>4.7000000000000002E-3</v>
      </c>
      <c r="AB29" s="3107">
        <f t="shared" si="9"/>
        <v>1.04E-2</v>
      </c>
      <c r="AC29" s="3127"/>
      <c r="AD29" s="3107">
        <f t="shared" si="9"/>
        <v>4.7000000000000002E-3</v>
      </c>
    </row>
    <row r="30" spans="1:30" ht="14.25" thickBot="1">
      <c r="A30" s="3090" t="s">
        <v>2790</v>
      </c>
      <c r="B30" s="3145">
        <v>2021</v>
      </c>
      <c r="C30" s="3146">
        <v>1</v>
      </c>
      <c r="D30" s="3146"/>
      <c r="E30" s="3146">
        <v>0.35</v>
      </c>
      <c r="F30" s="3146">
        <v>0.48</v>
      </c>
      <c r="G30" s="3146">
        <v>0.98</v>
      </c>
      <c r="H30" s="3147"/>
      <c r="I30" s="3148">
        <f t="shared" si="5"/>
        <v>0.48</v>
      </c>
      <c r="J30" s="3111"/>
      <c r="K30" s="3112"/>
      <c r="L30" s="3113">
        <f t="shared" si="6"/>
        <v>3.4999999999999996E-3</v>
      </c>
      <c r="M30" s="3113">
        <f>F30/100</f>
        <v>4.7999999999999996E-3</v>
      </c>
      <c r="N30" s="3113">
        <f t="shared" si="6"/>
        <v>9.7999999999999997E-3</v>
      </c>
      <c r="O30" s="3113"/>
      <c r="P30" s="3113">
        <f t="shared" si="7"/>
        <v>4.7999999999999996E-3</v>
      </c>
      <c r="Q30" s="3111"/>
      <c r="R30" s="3120"/>
      <c r="S30" s="3120">
        <v>1</v>
      </c>
      <c r="T30" s="3120">
        <v>1</v>
      </c>
      <c r="U30" s="3120">
        <v>1</v>
      </c>
      <c r="V30" s="3120"/>
      <c r="W30" s="3120">
        <f t="shared" si="8"/>
        <v>1</v>
      </c>
      <c r="X30" s="3111"/>
      <c r="Y30" s="3113"/>
      <c r="Z30" s="3131">
        <f t="shared" si="9"/>
        <v>3.5000000000000001E-3</v>
      </c>
      <c r="AA30" s="3132">
        <f t="shared" si="9"/>
        <v>4.7999999999999996E-3</v>
      </c>
      <c r="AB30" s="3113">
        <f t="shared" si="9"/>
        <v>9.7999999999999997E-3</v>
      </c>
      <c r="AC30" s="3133"/>
      <c r="AD30" s="3113">
        <f t="shared" si="9"/>
        <v>4.7999999999999996E-3</v>
      </c>
    </row>
    <row r="31" spans="1:30" ht="14.25" thickTop="1"/>
  </sheetData>
  <sheetProtection password="CEE9" sheet="1" objects="1" scenarios="1"/>
  <mergeCells count="4">
    <mergeCell ref="R1:W1"/>
    <mergeCell ref="R18:W18"/>
    <mergeCell ref="Y1:AD1"/>
    <mergeCell ref="Y18:AD18"/>
  </mergeCells>
  <phoneticPr fontId="22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N29"/>
  <sheetViews>
    <sheetView view="pageBreakPreview" zoomScale="90" zoomScaleNormal="100" zoomScaleSheetLayoutView="90" workbookViewId="0">
      <selection activeCell="H24" sqref="H24"/>
    </sheetView>
  </sheetViews>
  <sheetFormatPr defaultColWidth="8.875" defaultRowHeight="13.5"/>
  <cols>
    <col min="1" max="1" width="22.75" style="2749" customWidth="1"/>
    <col min="2" max="2" width="12.5" style="2749" customWidth="1"/>
    <col min="3" max="3" width="12.125" style="2749" customWidth="1"/>
    <col min="4" max="4" width="16.625" style="2749" customWidth="1"/>
    <col min="5" max="5" width="12.5" style="2749" customWidth="1"/>
    <col min="6" max="6" width="12.75" style="2749" customWidth="1"/>
    <col min="7" max="16384" width="8.875" style="2749"/>
  </cols>
  <sheetData>
    <row r="1" spans="1:14" ht="20.25">
      <c r="A1" s="2752" t="s">
        <v>2206</v>
      </c>
      <c r="B1" s="2747"/>
      <c r="C1" s="2747"/>
      <c r="D1" s="2747"/>
      <c r="E1" s="2747"/>
      <c r="F1" s="2747"/>
      <c r="G1" s="2748"/>
      <c r="H1" s="2748"/>
      <c r="I1" s="2748"/>
      <c r="J1" s="2748"/>
      <c r="K1" s="2748"/>
      <c r="L1" s="2748"/>
      <c r="M1" s="2748"/>
      <c r="N1" s="2748"/>
    </row>
    <row r="2" spans="1:14" ht="14.25">
      <c r="A2" s="2753" t="s">
        <v>2201</v>
      </c>
      <c r="B2" s="2758">
        <f ca="1">SUMIF(B7:B14,"&lt;&gt;#ref!",B7:B14)</f>
        <v>0</v>
      </c>
      <c r="C2" s="2753" t="s">
        <v>2202</v>
      </c>
      <c r="D2" s="2750"/>
      <c r="E2" s="2750"/>
      <c r="F2" s="2750"/>
      <c r="G2" s="2748"/>
      <c r="H2" s="2748"/>
      <c r="I2" s="2748"/>
      <c r="J2" s="2748"/>
      <c r="K2" s="2748"/>
      <c r="L2" s="2748"/>
      <c r="M2" s="2748"/>
      <c r="N2" s="2748"/>
    </row>
    <row r="3" spans="1:14" ht="14.25">
      <c r="A3" s="2753" t="s">
        <v>2230</v>
      </c>
      <c r="B3" s="2758" t="e">
        <f ca="1">ROUND(B2*10000/E3,0)</f>
        <v>#DIV/0!</v>
      </c>
      <c r="C3" s="2753" t="s">
        <v>1596</v>
      </c>
      <c r="D3" s="2753" t="s">
        <v>2203</v>
      </c>
      <c r="E3" s="2751">
        <f ca="1">SUMIF(E7:E14,"&lt;&gt;#ref!",E7:E14)</f>
        <v>0</v>
      </c>
      <c r="F3" s="2750"/>
      <c r="G3" s="2748"/>
      <c r="H3" s="2748"/>
      <c r="I3" s="2748"/>
      <c r="J3" s="2748"/>
      <c r="K3" s="2748"/>
      <c r="L3" s="2748"/>
      <c r="M3" s="2748"/>
      <c r="N3" s="2748"/>
    </row>
    <row r="4" spans="1:14" ht="14.25">
      <c r="A4" s="2753" t="s">
        <v>2209</v>
      </c>
      <c r="B4" s="2758" t="e">
        <f ca="1">ROUND(B2*10000/E4,0)</f>
        <v>#DIV/0!</v>
      </c>
      <c r="C4" s="2753" t="s">
        <v>1596</v>
      </c>
      <c r="D4" s="2753" t="s">
        <v>2210</v>
      </c>
      <c r="E4" s="2751">
        <f ca="1">SUMIF(F7:F14,"&lt;&gt;#ref!",F7:F14)</f>
        <v>0</v>
      </c>
      <c r="F4" s="2750"/>
      <c r="G4" s="2748"/>
      <c r="H4" s="2748"/>
      <c r="I4" s="2748"/>
      <c r="J4" s="2748"/>
      <c r="K4" s="2748"/>
      <c r="L4" s="2748"/>
      <c r="M4" s="2748"/>
      <c r="N4" s="2748"/>
    </row>
    <row r="5" spans="1:14" ht="14.25">
      <c r="A5" s="2754"/>
      <c r="B5" s="2750"/>
      <c r="C5" s="2750"/>
      <c r="D5" s="2750"/>
      <c r="E5" s="2750"/>
      <c r="F5" s="2750"/>
      <c r="G5" s="2748"/>
      <c r="H5" s="2748"/>
      <c r="I5" s="2748"/>
      <c r="J5" s="2748"/>
      <c r="K5" s="2748"/>
      <c r="L5" s="2748"/>
      <c r="M5" s="2748"/>
      <c r="N5" s="2748"/>
    </row>
    <row r="6" spans="1:14" ht="28.5">
      <c r="A6" s="2755" t="s">
        <v>2207</v>
      </c>
      <c r="B6" s="2753" t="s">
        <v>2204</v>
      </c>
      <c r="C6" s="2355"/>
      <c r="D6" s="2750"/>
      <c r="E6" s="2753" t="s">
        <v>2205</v>
      </c>
      <c r="F6" s="2753" t="s">
        <v>2208</v>
      </c>
      <c r="G6" s="2748"/>
      <c r="H6" s="2748"/>
      <c r="I6" s="2748"/>
      <c r="J6" s="2748"/>
      <c r="K6" s="2748"/>
      <c r="L6" s="2748"/>
      <c r="M6" s="2748"/>
      <c r="N6" s="2748"/>
    </row>
    <row r="7" spans="1:14" ht="14.25">
      <c r="A7" s="2756"/>
      <c r="B7" s="2758" t="e">
        <f ca="1">SUMIF(INDIRECT("'"&amp;A7&amp;"'"&amp;"!A:A"),"总价",INDIRECT("'"&amp;A7&amp;"'"&amp;"!B:B"))</f>
        <v>#REF!</v>
      </c>
      <c r="C7" s="2753" t="s">
        <v>2202</v>
      </c>
      <c r="D7" s="2750"/>
      <c r="E7" s="2751" t="e">
        <f ca="1">SUMIF(INDIRECT("'"&amp;A7&amp;"'"&amp;"!C:C"),"建筑面积",INDIRECT("'"&amp;A7&amp;"'"&amp;"!D:D"))</f>
        <v>#REF!</v>
      </c>
      <c r="F7" s="2751" t="e">
        <f ca="1">SUMIF(INDIRECT("'"&amp;A7&amp;"'"&amp;"!E:E"),"土地面积",INDIRECT("'"&amp;A7&amp;"'"&amp;"!F:F"))</f>
        <v>#REF!</v>
      </c>
      <c r="G7" s="2748"/>
      <c r="H7" s="2748"/>
      <c r="I7" s="2748"/>
      <c r="J7" s="2748"/>
      <c r="K7" s="2748"/>
      <c r="L7" s="2748"/>
      <c r="M7" s="2748"/>
      <c r="N7" s="2748"/>
    </row>
    <row r="8" spans="1:14" ht="14.25">
      <c r="A8" s="2756"/>
      <c r="B8" s="2758" t="e">
        <f t="shared" ref="B8:B14" ca="1" si="0">SUMIF(INDIRECT("'"&amp;A8&amp;"'"&amp;"!A:A"),"总价",INDIRECT("'"&amp;A8&amp;"'"&amp;"!B:B"))</f>
        <v>#REF!</v>
      </c>
      <c r="C8" s="2753" t="s">
        <v>2202</v>
      </c>
      <c r="D8" s="2750"/>
      <c r="E8" s="2751" t="e">
        <f t="shared" ref="E8:E14" ca="1" si="1">SUMIF(INDIRECT("'"&amp;A8&amp;"'"&amp;"!C:C"),"建筑面积",INDIRECT("'"&amp;A8&amp;"'"&amp;"!D:D"))</f>
        <v>#REF!</v>
      </c>
      <c r="F8" s="2751" t="e">
        <f t="shared" ref="F8:F14" ca="1" si="2">SUMIF(INDIRECT("'"&amp;A8&amp;"'"&amp;"!E:E"),"土地面积",INDIRECT("'"&amp;A8&amp;"'"&amp;"!F:F"))</f>
        <v>#REF!</v>
      </c>
      <c r="G8" s="2748"/>
      <c r="H8" s="2748"/>
      <c r="I8" s="2748"/>
      <c r="J8" s="2748"/>
      <c r="K8" s="2748"/>
      <c r="L8" s="2748"/>
      <c r="M8" s="2748"/>
      <c r="N8" s="2748"/>
    </row>
    <row r="9" spans="1:14" ht="14.25">
      <c r="A9" s="2756"/>
      <c r="B9" s="2758" t="e">
        <f t="shared" ca="1" si="0"/>
        <v>#REF!</v>
      </c>
      <c r="C9" s="2753" t="s">
        <v>2202</v>
      </c>
      <c r="D9" s="2750"/>
      <c r="E9" s="2751" t="e">
        <f t="shared" ca="1" si="1"/>
        <v>#REF!</v>
      </c>
      <c r="F9" s="2751" t="e">
        <f t="shared" ca="1" si="2"/>
        <v>#REF!</v>
      </c>
      <c r="G9" s="2748"/>
      <c r="H9" s="2748"/>
      <c r="I9" s="2748"/>
      <c r="J9" s="2748"/>
      <c r="K9" s="2748"/>
      <c r="L9" s="2748"/>
      <c r="M9" s="2748"/>
      <c r="N9" s="2748"/>
    </row>
    <row r="10" spans="1:14" ht="14.25">
      <c r="A10" s="2756"/>
      <c r="B10" s="2758" t="e">
        <f t="shared" ca="1" si="0"/>
        <v>#REF!</v>
      </c>
      <c r="C10" s="2753" t="s">
        <v>2202</v>
      </c>
      <c r="D10" s="2750"/>
      <c r="E10" s="2751" t="e">
        <f t="shared" ca="1" si="1"/>
        <v>#REF!</v>
      </c>
      <c r="F10" s="2751" t="e">
        <f t="shared" ca="1" si="2"/>
        <v>#REF!</v>
      </c>
      <c r="G10" s="2748"/>
      <c r="H10" s="2748"/>
      <c r="I10" s="2748"/>
      <c r="J10" s="2748"/>
      <c r="K10" s="2748"/>
      <c r="L10" s="2748"/>
      <c r="M10" s="2748"/>
      <c r="N10" s="2748"/>
    </row>
    <row r="11" spans="1:14" ht="14.25">
      <c r="A11" s="2756"/>
      <c r="B11" s="2758" t="e">
        <f t="shared" ca="1" si="0"/>
        <v>#REF!</v>
      </c>
      <c r="C11" s="2753" t="s">
        <v>2202</v>
      </c>
      <c r="D11" s="2750"/>
      <c r="E11" s="2751" t="e">
        <f t="shared" ca="1" si="1"/>
        <v>#REF!</v>
      </c>
      <c r="F11" s="2751" t="e">
        <f t="shared" ca="1" si="2"/>
        <v>#REF!</v>
      </c>
      <c r="G11" s="2748"/>
      <c r="H11" s="2748"/>
      <c r="I11" s="2748"/>
      <c r="J11" s="2748"/>
      <c r="K11" s="2748"/>
      <c r="L11" s="2748"/>
      <c r="M11" s="2748"/>
      <c r="N11" s="2748"/>
    </row>
    <row r="12" spans="1:14" ht="14.25">
      <c r="A12" s="2756"/>
      <c r="B12" s="2758" t="e">
        <f t="shared" ca="1" si="0"/>
        <v>#REF!</v>
      </c>
      <c r="C12" s="2753" t="s">
        <v>2202</v>
      </c>
      <c r="D12" s="2750"/>
      <c r="E12" s="2751" t="e">
        <f t="shared" ca="1" si="1"/>
        <v>#REF!</v>
      </c>
      <c r="F12" s="2751" t="e">
        <f t="shared" ca="1" si="2"/>
        <v>#REF!</v>
      </c>
      <c r="G12" s="2748"/>
      <c r="H12" s="2748"/>
      <c r="I12" s="2748"/>
      <c r="J12" s="2748"/>
      <c r="K12" s="2748"/>
      <c r="L12" s="2748"/>
      <c r="M12" s="2748"/>
      <c r="N12" s="2748"/>
    </row>
    <row r="13" spans="1:14" ht="14.25">
      <c r="A13" s="2756"/>
      <c r="B13" s="2758" t="e">
        <f t="shared" ca="1" si="0"/>
        <v>#REF!</v>
      </c>
      <c r="C13" s="2753" t="s">
        <v>2202</v>
      </c>
      <c r="D13" s="2750"/>
      <c r="E13" s="2751" t="e">
        <f t="shared" ca="1" si="1"/>
        <v>#REF!</v>
      </c>
      <c r="F13" s="2751" t="e">
        <f t="shared" ca="1" si="2"/>
        <v>#REF!</v>
      </c>
      <c r="G13" s="2748"/>
      <c r="H13" s="2748"/>
      <c r="I13" s="2748"/>
      <c r="J13" s="2748"/>
      <c r="K13" s="2748"/>
      <c r="L13" s="2748"/>
      <c r="M13" s="2748"/>
      <c r="N13" s="2748"/>
    </row>
    <row r="14" spans="1:14" ht="14.25">
      <c r="A14" s="2757"/>
      <c r="B14" s="2758" t="e">
        <f t="shared" ca="1" si="0"/>
        <v>#REF!</v>
      </c>
      <c r="C14" s="2753" t="s">
        <v>2202</v>
      </c>
      <c r="D14" s="2750"/>
      <c r="E14" s="2751" t="e">
        <f t="shared" ca="1" si="1"/>
        <v>#REF!</v>
      </c>
      <c r="F14" s="2751" t="e">
        <f t="shared" ca="1" si="2"/>
        <v>#REF!</v>
      </c>
      <c r="G14" s="2748"/>
      <c r="H14" s="2748"/>
      <c r="I14" s="2748"/>
      <c r="J14" s="2748"/>
      <c r="K14" s="2748"/>
      <c r="L14" s="2748"/>
      <c r="M14" s="2748"/>
      <c r="N14" s="2748"/>
    </row>
    <row r="15" spans="1:14">
      <c r="A15" s="2748"/>
      <c r="B15" s="2748"/>
      <c r="C15" s="2748"/>
      <c r="D15" s="2748"/>
      <c r="E15" s="2748"/>
      <c r="F15" s="2748"/>
      <c r="G15" s="2748"/>
      <c r="H15" s="2748"/>
      <c r="I15" s="2748"/>
      <c r="J15" s="2748"/>
      <c r="K15" s="2748"/>
      <c r="L15" s="2748"/>
      <c r="M15" s="2748"/>
      <c r="N15" s="2748"/>
    </row>
    <row r="16" spans="1:14">
      <c r="A16" s="2748"/>
      <c r="B16" s="2748"/>
      <c r="C16" s="2748"/>
      <c r="D16" s="2748"/>
      <c r="E16" s="2748"/>
      <c r="F16" s="2748"/>
      <c r="G16" s="2748"/>
      <c r="H16" s="2748"/>
      <c r="I16" s="2748"/>
      <c r="J16" s="2748"/>
      <c r="K16" s="2748"/>
      <c r="L16" s="2748"/>
      <c r="M16" s="2748"/>
      <c r="N16" s="2748"/>
    </row>
    <row r="17" spans="1:14">
      <c r="A17" s="2748"/>
      <c r="B17" s="2748"/>
      <c r="C17" s="2748"/>
      <c r="D17" s="2748"/>
      <c r="E17" s="2748"/>
      <c r="F17" s="2748"/>
      <c r="G17" s="2748"/>
      <c r="H17" s="2748"/>
      <c r="I17" s="2748"/>
      <c r="J17" s="2748"/>
      <c r="K17" s="2748"/>
      <c r="L17" s="2748"/>
      <c r="M17" s="2748"/>
      <c r="N17" s="2748"/>
    </row>
    <row r="18" spans="1:14">
      <c r="A18" s="2748"/>
      <c r="B18" s="2748"/>
      <c r="C18" s="2748"/>
      <c r="D18" s="2748"/>
      <c r="E18" s="2748"/>
      <c r="F18" s="2748"/>
      <c r="G18" s="2748"/>
      <c r="H18" s="2748"/>
      <c r="I18" s="2748"/>
      <c r="J18" s="2748"/>
      <c r="K18" s="2748"/>
      <c r="L18" s="2748"/>
      <c r="M18" s="2748"/>
      <c r="N18" s="2748"/>
    </row>
    <row r="19" spans="1:14">
      <c r="A19" s="2748"/>
      <c r="B19" s="2748"/>
      <c r="C19" s="2748"/>
      <c r="D19" s="2748"/>
      <c r="E19" s="2748"/>
      <c r="F19" s="2748"/>
      <c r="G19" s="2748"/>
      <c r="H19" s="2748"/>
      <c r="I19" s="2748"/>
      <c r="J19" s="2748"/>
      <c r="K19" s="2748"/>
      <c r="L19" s="2748"/>
      <c r="M19" s="2748"/>
      <c r="N19" s="2748"/>
    </row>
    <row r="20" spans="1:14">
      <c r="A20" s="2748"/>
      <c r="B20" s="2748"/>
      <c r="C20" s="2748"/>
      <c r="D20" s="2748"/>
      <c r="E20" s="2748"/>
      <c r="F20" s="2748"/>
      <c r="G20" s="2748"/>
      <c r="H20" s="2748"/>
      <c r="I20" s="2748"/>
      <c r="J20" s="2748"/>
      <c r="K20" s="2748"/>
      <c r="L20" s="2748"/>
      <c r="M20" s="2748"/>
      <c r="N20" s="2748"/>
    </row>
    <row r="21" spans="1:14">
      <c r="A21" s="2748"/>
      <c r="B21" s="2748"/>
      <c r="C21" s="2748"/>
      <c r="D21" s="2748"/>
      <c r="E21" s="2748"/>
      <c r="F21" s="2748"/>
      <c r="G21" s="2748"/>
      <c r="H21" s="2748"/>
      <c r="I21" s="2748"/>
      <c r="J21" s="2748"/>
      <c r="K21" s="2748"/>
      <c r="L21" s="2748"/>
      <c r="M21" s="2748"/>
      <c r="N21" s="2748"/>
    </row>
    <row r="22" spans="1:14">
      <c r="A22" s="2748"/>
      <c r="B22" s="2748"/>
      <c r="C22" s="2748"/>
      <c r="D22" s="2748"/>
      <c r="E22" s="2748"/>
      <c r="F22" s="2748"/>
      <c r="G22" s="2748"/>
      <c r="H22" s="2748"/>
      <c r="I22" s="2748"/>
      <c r="J22" s="2748"/>
      <c r="K22" s="2748"/>
      <c r="L22" s="2748"/>
      <c r="M22" s="2748"/>
      <c r="N22" s="2748"/>
    </row>
    <row r="23" spans="1:14">
      <c r="A23" s="2748"/>
      <c r="B23" s="2748"/>
      <c r="C23" s="2748"/>
      <c r="D23" s="2748"/>
      <c r="E23" s="2748"/>
      <c r="F23" s="2748"/>
      <c r="G23" s="2748"/>
      <c r="H23" s="2748"/>
      <c r="I23" s="2748"/>
      <c r="J23" s="2748"/>
      <c r="K23" s="2748"/>
      <c r="L23" s="2748"/>
      <c r="M23" s="2748"/>
      <c r="N23" s="2748"/>
    </row>
    <row r="24" spans="1:14">
      <c r="A24" s="2748"/>
      <c r="B24" s="2748"/>
      <c r="C24" s="2748"/>
      <c r="D24" s="2748"/>
      <c r="E24" s="2748"/>
      <c r="F24" s="2748"/>
      <c r="G24" s="2748"/>
      <c r="H24" s="2748"/>
      <c r="I24" s="2748"/>
      <c r="J24" s="2748"/>
      <c r="K24" s="2748"/>
      <c r="L24" s="2748"/>
      <c r="M24" s="2748"/>
      <c r="N24" s="2748"/>
    </row>
    <row r="25" spans="1:14">
      <c r="A25" s="2748"/>
      <c r="B25" s="2748"/>
      <c r="C25" s="2748"/>
      <c r="D25" s="2748"/>
      <c r="E25" s="2748"/>
      <c r="F25" s="2748"/>
      <c r="G25" s="2748"/>
      <c r="H25" s="2748"/>
      <c r="I25" s="2748"/>
      <c r="J25" s="2748"/>
      <c r="K25" s="2748"/>
      <c r="L25" s="2748"/>
      <c r="M25" s="2748"/>
      <c r="N25" s="2748"/>
    </row>
    <row r="26" spans="1:14">
      <c r="A26" s="2748"/>
      <c r="B26" s="2748"/>
      <c r="C26" s="2748"/>
      <c r="D26" s="2748"/>
      <c r="E26" s="2748"/>
      <c r="F26" s="2748"/>
      <c r="G26" s="2748"/>
      <c r="H26" s="2748"/>
      <c r="I26" s="2748"/>
      <c r="J26" s="2748"/>
      <c r="K26" s="2748"/>
      <c r="L26" s="2748"/>
      <c r="M26" s="2748"/>
      <c r="N26" s="2748"/>
    </row>
    <row r="27" spans="1:14">
      <c r="A27" s="2748"/>
      <c r="B27" s="2748"/>
      <c r="C27" s="2748"/>
      <c r="D27" s="2748"/>
      <c r="E27" s="2748"/>
      <c r="F27" s="2748"/>
      <c r="G27" s="2748"/>
      <c r="H27" s="2748"/>
      <c r="I27" s="2748"/>
      <c r="J27" s="2748"/>
      <c r="K27" s="2748"/>
      <c r="L27" s="2748"/>
      <c r="M27" s="2748"/>
      <c r="N27" s="2748"/>
    </row>
    <row r="28" spans="1:14">
      <c r="A28" s="2748"/>
      <c r="B28" s="2748"/>
      <c r="C28" s="2748"/>
      <c r="D28" s="2748"/>
      <c r="E28" s="2748"/>
      <c r="F28" s="2748"/>
      <c r="G28" s="2748"/>
      <c r="H28" s="2748"/>
      <c r="I28" s="2748"/>
      <c r="J28" s="2748"/>
      <c r="K28" s="2748"/>
      <c r="L28" s="2748"/>
      <c r="M28" s="2748"/>
      <c r="N28" s="2748"/>
    </row>
    <row r="29" spans="1:14">
      <c r="A29" s="2748"/>
      <c r="B29" s="2748"/>
      <c r="C29" s="2748"/>
      <c r="D29" s="2748"/>
      <c r="E29" s="2748"/>
      <c r="F29" s="2748"/>
      <c r="G29" s="2748"/>
      <c r="H29" s="2748"/>
      <c r="I29" s="2748"/>
      <c r="J29" s="2748"/>
      <c r="K29" s="2748"/>
      <c r="L29" s="2748"/>
      <c r="M29" s="2748"/>
      <c r="N29" s="2748"/>
    </row>
  </sheetData>
  <sheetProtection password="CEE9" sheet="1" objects="1" scenarios="1" formatCells="0" formatColumns="0" formatRows="0"/>
  <phoneticPr fontId="224" type="noConversion"/>
  <dataValidations count="1">
    <dataValidation type="list" allowBlank="1" showInputMessage="1" showErrorMessage="1" sqref="A7:A14" xr:uid="{00000000-0002-0000-1E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6"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8.375" style="1672" customWidth="1"/>
    <col min="16" max="16" width="30.25" style="1672" customWidth="1"/>
    <col min="17" max="17" width="13.75" style="1672" customWidth="1"/>
    <col min="18" max="18" width="22.25" style="1672" customWidth="1"/>
    <col min="19" max="19" width="1.5" style="1672" customWidth="1"/>
    <col min="20" max="25" width="9" style="1672"/>
    <col min="26" max="16384" width="9" style="1673"/>
  </cols>
  <sheetData>
    <row r="1" spans="1:25" s="1667" customFormat="1" ht="21">
      <c r="A1" s="707" t="s">
        <v>576</v>
      </c>
      <c r="B1" s="675"/>
      <c r="C1" s="708"/>
      <c r="D1" s="1663"/>
      <c r="E1" s="1947" t="s">
        <v>1728</v>
      </c>
      <c r="F1" s="1948">
        <f ca="1">J54</f>
        <v>-3</v>
      </c>
      <c r="G1" s="709">
        <f>MATCH(C1,'数据-取费表'!A6:A16,0)+5</f>
        <v>7</v>
      </c>
      <c r="H1" s="1143"/>
      <c r="I1" s="1664"/>
      <c r="J1" s="1664"/>
      <c r="K1" s="1665"/>
      <c r="L1" s="1664"/>
      <c r="M1" s="1664"/>
      <c r="N1" s="1666"/>
      <c r="O1" s="1666"/>
      <c r="P1" s="1666"/>
      <c r="Q1" s="1666"/>
      <c r="R1" s="1666"/>
      <c r="S1" s="1666"/>
      <c r="T1" s="1666"/>
      <c r="U1" s="1666"/>
      <c r="V1" s="1666"/>
      <c r="W1" s="1666"/>
      <c r="X1" s="1666"/>
      <c r="Y1" s="1666"/>
    </row>
    <row r="2" spans="1:25" ht="18" customHeight="1">
      <c r="A2" s="1364" t="s">
        <v>577</v>
      </c>
      <c r="B2" s="710">
        <f ca="1">IF(ISERROR(C45+J31),0,C45+J31)</f>
        <v>0</v>
      </c>
      <c r="C2" s="1144"/>
      <c r="D2" s="1668"/>
      <c r="E2" s="1669"/>
      <c r="F2" s="1669"/>
      <c r="G2" s="1323"/>
      <c r="H2" s="1156"/>
      <c r="I2" s="1670"/>
      <c r="J2" s="1670"/>
      <c r="K2" s="1671"/>
      <c r="L2" s="1670"/>
      <c r="M2" s="1670"/>
    </row>
    <row r="3" spans="1:25" ht="18" customHeight="1">
      <c r="A3" s="1365" t="s">
        <v>1219</v>
      </c>
      <c r="B3" s="1177">
        <f ca="1">ROUND(B2*10000/'数据-汇总表'!E3,0)</f>
        <v>0</v>
      </c>
      <c r="C3" s="1144"/>
      <c r="D3" s="1668"/>
      <c r="E3" s="1669"/>
      <c r="F3" s="1669"/>
      <c r="G3" s="1323"/>
      <c r="H3" s="711" t="s">
        <v>642</v>
      </c>
      <c r="I3" s="1670"/>
      <c r="J3" s="1670"/>
      <c r="K3" s="1671"/>
      <c r="L3" s="1670"/>
      <c r="M3" s="1670"/>
    </row>
    <row r="4" spans="1:25" ht="18" customHeight="1">
      <c r="A4" s="1366" t="s">
        <v>643</v>
      </c>
      <c r="B4" s="1145">
        <f ca="1">ROUND(B2*10000/'数据-汇总表'!D3,0)</f>
        <v>0</v>
      </c>
      <c r="C4" s="398"/>
      <c r="D4" s="1668"/>
      <c r="E4" s="1669"/>
      <c r="F4" s="1669"/>
      <c r="G4" s="1323"/>
      <c r="H4" s="711"/>
      <c r="I4" s="1670"/>
      <c r="J4" s="1670"/>
      <c r="K4" s="1671"/>
      <c r="L4" s="1670"/>
      <c r="M4" s="1670"/>
    </row>
    <row r="5" spans="1:25" ht="18" customHeight="1" thickBot="1">
      <c r="A5" s="1367"/>
      <c r="B5" s="400">
        <f ca="1">ROUND(B2/('数据-汇总表'!D3/666.67),0)</f>
        <v>0</v>
      </c>
      <c r="C5" s="401" t="s">
        <v>644</v>
      </c>
      <c r="D5" s="1668"/>
      <c r="E5" s="1669"/>
      <c r="F5" s="1669"/>
      <c r="G5" s="1323"/>
      <c r="H5" s="711"/>
      <c r="I5" s="1670"/>
      <c r="J5" s="1670"/>
      <c r="K5" s="1671"/>
      <c r="L5" s="1670"/>
      <c r="M5" s="1670"/>
    </row>
    <row r="6" spans="1:25" ht="18" customHeight="1">
      <c r="A6" s="1519" t="s">
        <v>645</v>
      </c>
      <c r="B6" s="1513" t="s">
        <v>646</v>
      </c>
      <c r="C6" s="1513" t="s">
        <v>580</v>
      </c>
      <c r="D6" s="1513" t="s">
        <v>581</v>
      </c>
      <c r="E6" s="714" t="s">
        <v>582</v>
      </c>
      <c r="F6" s="715"/>
      <c r="G6" s="1144"/>
      <c r="H6" s="1519" t="s">
        <v>578</v>
      </c>
      <c r="I6" s="1513" t="s">
        <v>579</v>
      </c>
      <c r="J6" s="1513" t="s">
        <v>580</v>
      </c>
      <c r="K6" s="1513" t="s">
        <v>581</v>
      </c>
      <c r="L6" s="714" t="s">
        <v>582</v>
      </c>
      <c r="M6" s="715"/>
    </row>
    <row r="7" spans="1:25" ht="18" customHeight="1">
      <c r="A7" s="716">
        <v>1</v>
      </c>
      <c r="B7" s="717" t="s">
        <v>1802</v>
      </c>
      <c r="C7" s="49">
        <f ca="1">C8+C12+C14</f>
        <v>0</v>
      </c>
      <c r="D7" s="2001" t="s">
        <v>1805</v>
      </c>
      <c r="E7" s="1995"/>
      <c r="F7" s="1996"/>
      <c r="G7" s="1144"/>
      <c r="H7" s="716">
        <v>1</v>
      </c>
      <c r="I7" s="717" t="s">
        <v>1802</v>
      </c>
      <c r="J7" s="49">
        <f ca="1">J8+J12+J14</f>
        <v>0</v>
      </c>
      <c r="K7" s="2001" t="s">
        <v>1805</v>
      </c>
      <c r="L7" s="1995"/>
      <c r="M7" s="1996"/>
    </row>
    <row r="8" spans="1:25" ht="18" customHeight="1">
      <c r="A8" s="1521" t="s">
        <v>1353</v>
      </c>
      <c r="B8" s="3682" t="s">
        <v>1807</v>
      </c>
      <c r="C8" s="1516">
        <f ca="1">ROUND(F8*F10*F9*(1-F11)/10000,0)</f>
        <v>0</v>
      </c>
      <c r="D8" s="317" t="s">
        <v>1817</v>
      </c>
      <c r="E8" s="57" t="s">
        <v>585</v>
      </c>
      <c r="F8" s="720">
        <f ca="1">INDIRECT("'数据-取费表'!u"&amp;$G$1)</f>
        <v>0</v>
      </c>
      <c r="G8" s="1144"/>
      <c r="H8" s="2009" t="s">
        <v>1353</v>
      </c>
      <c r="I8" s="3682" t="s">
        <v>1807</v>
      </c>
      <c r="J8" s="718">
        <f ca="1">ROUND(M8*M10*M9*(1-M11)/10000,0)</f>
        <v>0</v>
      </c>
      <c r="K8" s="315" t="s">
        <v>1817</v>
      </c>
      <c r="L8" s="719" t="s">
        <v>1267</v>
      </c>
      <c r="M8" s="720">
        <f ca="1">INDIRECT("'数据-取费表'!z"&amp;$G$1)</f>
        <v>0</v>
      </c>
    </row>
    <row r="9" spans="1:25" ht="18" customHeight="1">
      <c r="A9" s="2005"/>
      <c r="B9" s="3683"/>
      <c r="C9" s="1517"/>
      <c r="D9" s="330"/>
      <c r="E9" s="57" t="s">
        <v>586</v>
      </c>
      <c r="F9" s="720">
        <f ca="1">IF(INDIRECT("'数据-取费表'!ah"&amp;$G$1)="",INDIRECT("'数据-取费表'!k"&amp;$G$1),INDIRECT("'数据-取费表'!ah"&amp;$G$1))</f>
        <v>0</v>
      </c>
      <c r="G9" s="1144"/>
      <c r="H9" s="1994"/>
      <c r="I9" s="3683"/>
      <c r="J9" s="723"/>
      <c r="K9" s="724"/>
      <c r="L9" s="719" t="s">
        <v>1268</v>
      </c>
      <c r="M9" s="720">
        <f ca="1">F9</f>
        <v>0</v>
      </c>
    </row>
    <row r="10" spans="1:25" ht="18" customHeight="1">
      <c r="A10" s="1998"/>
      <c r="B10" s="3684"/>
      <c r="C10" s="1517"/>
      <c r="D10" s="330"/>
      <c r="E10" s="57" t="s">
        <v>587</v>
      </c>
      <c r="F10" s="720">
        <f ca="1">INDIRECT("'数据-取费表'!ai"&amp;$G$1)</f>
        <v>0</v>
      </c>
      <c r="G10" s="1144"/>
      <c r="H10" s="1994"/>
      <c r="I10" s="3684"/>
      <c r="J10" s="723"/>
      <c r="K10" s="724"/>
      <c r="L10" s="719" t="s">
        <v>1269</v>
      </c>
      <c r="M10" s="720">
        <f ca="1">INDIRECT("'数据-取费表'!ai"&amp;$G$1)</f>
        <v>0</v>
      </c>
    </row>
    <row r="11" spans="1:25" ht="18" customHeight="1">
      <c r="A11" s="721"/>
      <c r="B11" s="3685"/>
      <c r="C11" s="1517"/>
      <c r="D11" s="330"/>
      <c r="E11" s="57" t="s">
        <v>588</v>
      </c>
      <c r="F11" s="729">
        <f ca="1">INDIRECT("'数据-取费表'!w"&amp;$G$1)</f>
        <v>0</v>
      </c>
      <c r="G11" s="1144"/>
      <c r="H11" s="2010"/>
      <c r="I11" s="3684"/>
      <c r="J11" s="723"/>
      <c r="K11" s="724"/>
      <c r="L11" s="730" t="s">
        <v>1270</v>
      </c>
      <c r="M11" s="731">
        <f ca="1">INDIRECT("'数据-取费表'!ab"&amp;$G$1)</f>
        <v>0</v>
      </c>
    </row>
    <row r="12" spans="1:25" ht="18" customHeight="1">
      <c r="A12" s="1521" t="s">
        <v>1354</v>
      </c>
      <c r="B12" s="1999" t="s">
        <v>1803</v>
      </c>
      <c r="C12" s="734">
        <f ca="1">ROUND(IF(F12="押一",C8/12*F13,IF(F12="押二",C8/12*2*F13,IF(F12="押三",C8/12*3*F13,C13*F13))),0)</f>
        <v>0</v>
      </c>
      <c r="D12" s="2006" t="s">
        <v>2227</v>
      </c>
      <c r="E12" s="2003" t="s">
        <v>1808</v>
      </c>
      <c r="F12" s="2076"/>
      <c r="G12" s="1144"/>
      <c r="H12" s="2037" t="s">
        <v>1354</v>
      </c>
      <c r="I12" s="2041" t="s">
        <v>1803</v>
      </c>
      <c r="J12" s="718">
        <f ca="1">ROUND(IF(M12="押一",J8/12*M13,IF(M12="押二",J8/12*2*M13,IF(M12="押三",J8/12*3*M13,J13*M13))),0)</f>
        <v>0</v>
      </c>
      <c r="K12" s="2006" t="s">
        <v>2227</v>
      </c>
      <c r="L12" s="2003" t="s">
        <v>1808</v>
      </c>
      <c r="M12" s="2076"/>
    </row>
    <row r="13" spans="1:25" ht="18" customHeight="1">
      <c r="A13" s="725"/>
      <c r="B13" s="2000" t="s">
        <v>1856</v>
      </c>
      <c r="C13" s="2004"/>
      <c r="D13" s="724"/>
      <c r="E13" s="2003" t="s">
        <v>1801</v>
      </c>
      <c r="F13" s="731">
        <f ca="1">'数据-取费表'!B39</f>
        <v>1.4999999999999999E-2</v>
      </c>
      <c r="G13" s="1144"/>
      <c r="H13" s="2038"/>
      <c r="I13" s="2000" t="s">
        <v>1856</v>
      </c>
      <c r="J13" s="2004"/>
      <c r="K13" s="287"/>
      <c r="L13" s="2003" t="s">
        <v>1801</v>
      </c>
      <c r="M13" s="1997">
        <f ca="1">'数据-取费表'!B39</f>
        <v>1.4999999999999999E-2</v>
      </c>
    </row>
    <row r="14" spans="1:25" ht="18" customHeight="1" thickBot="1">
      <c r="A14" s="2013" t="s">
        <v>1811</v>
      </c>
      <c r="B14" s="2014" t="s">
        <v>1804</v>
      </c>
      <c r="C14" s="2015"/>
      <c r="D14" s="2016"/>
      <c r="E14" s="2017"/>
      <c r="F14" s="2018"/>
      <c r="G14" s="1144"/>
      <c r="H14" s="2027" t="s">
        <v>1811</v>
      </c>
      <c r="I14" s="2039" t="s">
        <v>1804</v>
      </c>
      <c r="J14" s="2040"/>
      <c r="K14" s="2016"/>
      <c r="L14" s="2017"/>
      <c r="M14" s="2030"/>
    </row>
    <row r="15" spans="1:25" ht="18" customHeight="1" thickTop="1">
      <c r="A15" s="1520" t="s">
        <v>1399</v>
      </c>
      <c r="B15" s="1518" t="s">
        <v>589</v>
      </c>
      <c r="C15" s="727">
        <f ca="1">ROUND(C31*F15,0)</f>
        <v>0</v>
      </c>
      <c r="D15" s="1525" t="s">
        <v>590</v>
      </c>
      <c r="E15" s="730" t="s">
        <v>591</v>
      </c>
      <c r="F15" s="735">
        <f ca="1">INDIRECT("'数据-取费表'!y"&amp;$G$1)</f>
        <v>0</v>
      </c>
      <c r="G15" s="1144"/>
      <c r="H15" s="1520" t="s">
        <v>1355</v>
      </c>
      <c r="I15" s="1518" t="s">
        <v>592</v>
      </c>
      <c r="J15" s="1512">
        <f ca="1">ROUND(J16*J17,0)</f>
        <v>0</v>
      </c>
      <c r="K15" s="1514" t="s">
        <v>590</v>
      </c>
      <c r="L15" s="736"/>
      <c r="M15" s="737"/>
    </row>
    <row r="16" spans="1:25" ht="18" customHeight="1">
      <c r="A16" s="738" t="s">
        <v>1400</v>
      </c>
      <c r="B16" s="719" t="s">
        <v>593</v>
      </c>
      <c r="C16" s="739">
        <f ca="1">INDIRECT("'数据-取费表'!m"&amp;$G$1)+INDIRECT("'数据-取费表'!t"&amp;$G$1)</f>
        <v>0</v>
      </c>
      <c r="D16" s="905" t="s">
        <v>594</v>
      </c>
      <c r="E16" s="904"/>
      <c r="F16" s="740"/>
      <c r="G16" s="1144"/>
      <c r="H16" s="738" t="s">
        <v>1587</v>
      </c>
      <c r="I16" s="1825" t="s">
        <v>2102</v>
      </c>
      <c r="J16" s="49">
        <f ca="1">C31</f>
        <v>0</v>
      </c>
      <c r="K16" s="22"/>
      <c r="L16" s="736"/>
      <c r="M16" s="737"/>
    </row>
    <row r="17" spans="1:25" s="1676" customFormat="1" ht="18" customHeight="1">
      <c r="A17" s="738" t="s">
        <v>1378</v>
      </c>
      <c r="B17" s="719" t="s">
        <v>595</v>
      </c>
      <c r="C17" s="49">
        <f ca="1">ROUND(C16*F17,0)</f>
        <v>0</v>
      </c>
      <c r="D17" s="741" t="s">
        <v>596</v>
      </c>
      <c r="E17" s="741" t="s">
        <v>597</v>
      </c>
      <c r="F17" s="742">
        <f>'数据-取费表'!B33</f>
        <v>0.03</v>
      </c>
      <c r="G17" s="1325"/>
      <c r="H17" s="738" t="s">
        <v>1588</v>
      </c>
      <c r="I17" s="719" t="s">
        <v>591</v>
      </c>
      <c r="J17" s="743">
        <f ca="1">INDIRECT("'数据-取费表'!ad"&amp;$G$1)</f>
        <v>0</v>
      </c>
      <c r="K17" s="22"/>
      <c r="L17" s="736"/>
      <c r="M17" s="737"/>
      <c r="N17" s="1675"/>
      <c r="O17" s="1675"/>
      <c r="P17" s="1675"/>
      <c r="Q17" s="1675"/>
      <c r="R17" s="1675"/>
      <c r="S17" s="1675"/>
      <c r="T17" s="1675"/>
      <c r="U17" s="1675"/>
      <c r="V17" s="1675"/>
      <c r="W17" s="1675"/>
      <c r="X17" s="1675"/>
      <c r="Y17" s="1675"/>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4"/>
      <c r="H18" s="732" t="s">
        <v>1356</v>
      </c>
      <c r="I18" s="733" t="s">
        <v>599</v>
      </c>
      <c r="J18" s="734">
        <f ca="1">ROUND(J19+J24+J25+J26,0)</f>
        <v>0</v>
      </c>
      <c r="K18" s="22" t="s">
        <v>600</v>
      </c>
      <c r="L18" s="914"/>
      <c r="M18" s="52"/>
    </row>
    <row r="19" spans="1:25" s="1676" customFormat="1" ht="18" customHeight="1">
      <c r="A19" s="738" t="s">
        <v>1380</v>
      </c>
      <c r="B19" s="719" t="s">
        <v>601</v>
      </c>
      <c r="C19" s="49">
        <f ca="1">ROUND(F19*(INDIRECT("'数据-取费表'!k"&amp;$G$1)+INDIRECT("'数据-取费表'!S"&amp;$G$1))/10000,0)</f>
        <v>0</v>
      </c>
      <c r="D19" s="719" t="s">
        <v>602</v>
      </c>
      <c r="E19" s="719" t="s">
        <v>603</v>
      </c>
      <c r="F19" s="52">
        <f>'数据-取费表'!B35</f>
        <v>150</v>
      </c>
      <c r="G19" s="1325"/>
      <c r="H19" s="738" t="s">
        <v>1587</v>
      </c>
      <c r="I19" s="719" t="s">
        <v>604</v>
      </c>
      <c r="J19" s="2555">
        <f ca="1">ROUND(IF(AND(项目基本情况!B11="自然人",项目基本情况!B10="北京市"),J8*M19/(1+'数据-取费表'!C42),J20+J21+J22),0)</f>
        <v>0</v>
      </c>
      <c r="K19" s="905" t="s">
        <v>605</v>
      </c>
      <c r="L19" s="906" t="s">
        <v>606</v>
      </c>
      <c r="M19" s="2554">
        <f ca="1">IF(项目基本情况!B11="企业","——",IF('数据-取费表'!B10="住宅",IF(M8*M9*M10/12/(1+'数据-取费表'!F30)&gt;100000,4%,2.5%),IF(M8*M9*M10/12/(1+'数据-取费表'!F30)&gt;100000,12%,7%)))</f>
        <v>7.0000000000000007E-2</v>
      </c>
      <c r="N19" s="1675"/>
      <c r="O19" s="1675"/>
      <c r="P19" s="1675"/>
      <c r="Q19" s="1675"/>
      <c r="R19" s="1675"/>
      <c r="S19" s="1675"/>
      <c r="T19" s="1675"/>
      <c r="U19" s="1675"/>
      <c r="V19" s="1675"/>
      <c r="W19" s="1675"/>
      <c r="X19" s="1675"/>
      <c r="Y19" s="1675"/>
    </row>
    <row r="20" spans="1:25" s="1676" customFormat="1" ht="18" customHeight="1">
      <c r="A20" s="738" t="s">
        <v>1381</v>
      </c>
      <c r="B20" s="719" t="s">
        <v>607</v>
      </c>
      <c r="C20" s="49">
        <f ca="1">ROUND(C16*F20,0)</f>
        <v>0</v>
      </c>
      <c r="D20" s="719" t="s">
        <v>596</v>
      </c>
      <c r="E20" s="719" t="s">
        <v>597</v>
      </c>
      <c r="F20" s="744">
        <f>'数据-取费表'!B36</f>
        <v>1.4999999999999999E-2</v>
      </c>
      <c r="G20" s="1325"/>
      <c r="H20" s="738" t="s">
        <v>1360</v>
      </c>
      <c r="I20" s="719" t="s">
        <v>608</v>
      </c>
      <c r="J20" s="49">
        <f ca="1">ROUND(J8*M20/(1+'数据-取费表'!C42),1)</f>
        <v>0</v>
      </c>
      <c r="K20" s="906" t="s">
        <v>609</v>
      </c>
      <c r="L20" s="719" t="s">
        <v>597</v>
      </c>
      <c r="M20" s="744">
        <f>'数据-取费表'!B41</f>
        <v>5.6000000000000001E-2</v>
      </c>
      <c r="N20" s="1675"/>
      <c r="O20" s="1675"/>
      <c r="P20" s="1675"/>
      <c r="Q20" s="1675"/>
      <c r="R20" s="1675"/>
      <c r="S20" s="1675"/>
      <c r="T20" s="1675"/>
      <c r="U20" s="1675"/>
      <c r="V20" s="1675"/>
      <c r="W20" s="1675"/>
      <c r="X20" s="1675"/>
      <c r="Y20" s="1675"/>
    </row>
    <row r="21" spans="1:25" ht="18" customHeight="1">
      <c r="A21" s="738" t="s">
        <v>1401</v>
      </c>
      <c r="B21" s="719" t="s">
        <v>610</v>
      </c>
      <c r="C21" s="49">
        <f ca="1">SUM(C16:C20)</f>
        <v>0</v>
      </c>
      <c r="D21" s="241" t="s">
        <v>611</v>
      </c>
      <c r="E21" s="914"/>
      <c r="F21" s="52"/>
      <c r="G21" s="1144"/>
      <c r="H21" s="1521" t="s">
        <v>1378</v>
      </c>
      <c r="I21" s="719" t="s">
        <v>612</v>
      </c>
      <c r="J21" s="49">
        <f ca="1">IF(K21="按租金收入计税",ROUND(J8*M21/(1+'数据-取费表'!C42),1),ROUND(C31*F35*0.7,1))</f>
        <v>0</v>
      </c>
      <c r="K21" s="745" t="s">
        <v>3248</v>
      </c>
      <c r="L21" s="719" t="s">
        <v>597</v>
      </c>
      <c r="M21" s="744">
        <f>IF(K21="按租金收入计税",'数据-取费表'!B51,'数据-取费表'!B50)</f>
        <v>0.12</v>
      </c>
    </row>
    <row r="22" spans="1:25" s="1676" customFormat="1" ht="18" customHeight="1">
      <c r="A22" s="738" t="s">
        <v>1402</v>
      </c>
      <c r="B22" s="719" t="s">
        <v>613</v>
      </c>
      <c r="C22" s="49">
        <f ca="1">ROUND(C21*F22,0)</f>
        <v>0</v>
      </c>
      <c r="D22" s="746" t="s">
        <v>614</v>
      </c>
      <c r="E22" s="719" t="s">
        <v>597</v>
      </c>
      <c r="F22" s="744">
        <f>'数据-取费表'!B37</f>
        <v>1.4999999999999999E-2</v>
      </c>
      <c r="G22" s="1325"/>
      <c r="H22" s="1523" t="s">
        <v>1379</v>
      </c>
      <c r="I22" s="317" t="s">
        <v>615</v>
      </c>
      <c r="J22" s="50">
        <f ca="1">ROUND(M22*M23/10000,0)</f>
        <v>0</v>
      </c>
      <c r="K22" s="748" t="s">
        <v>616</v>
      </c>
      <c r="L22" s="719" t="s">
        <v>617</v>
      </c>
      <c r="M22" s="587">
        <f>'数据-取费表'!B52</f>
        <v>3</v>
      </c>
      <c r="N22" s="1675"/>
      <c r="O22" s="1675"/>
      <c r="P22" s="1675"/>
      <c r="Q22" s="1675"/>
      <c r="R22" s="1675"/>
      <c r="S22" s="1675"/>
      <c r="T22" s="1675"/>
      <c r="U22" s="1675"/>
      <c r="V22" s="1675"/>
      <c r="W22" s="1675"/>
      <c r="X22" s="1675"/>
      <c r="Y22" s="1675"/>
    </row>
    <row r="23" spans="1:25" s="1676" customFormat="1" ht="18" customHeight="1">
      <c r="A23" s="738" t="s">
        <v>1403</v>
      </c>
      <c r="B23" s="719" t="s">
        <v>618</v>
      </c>
      <c r="C23" s="49" t="s">
        <v>0</v>
      </c>
      <c r="D23" s="746" t="s">
        <v>619</v>
      </c>
      <c r="E23" s="719" t="s">
        <v>620</v>
      </c>
      <c r="F23" s="744">
        <f>'数据-取费表'!B38</f>
        <v>1.4999999999999999E-2</v>
      </c>
      <c r="G23" s="1325"/>
      <c r="H23" s="1524"/>
      <c r="I23" s="1515"/>
      <c r="J23" s="65"/>
      <c r="K23" s="750"/>
      <c r="L23" s="719" t="s">
        <v>621</v>
      </c>
      <c r="M23" s="720">
        <f ca="1">INDIRECT("'数据-取费表'!r"&amp;$G$1)</f>
        <v>0</v>
      </c>
      <c r="N23" s="1675"/>
      <c r="O23" s="1675"/>
      <c r="P23" s="1675"/>
      <c r="Q23" s="1675"/>
      <c r="R23" s="1675"/>
      <c r="S23" s="1675"/>
      <c r="T23" s="1675"/>
      <c r="U23" s="1675"/>
      <c r="V23" s="1675"/>
      <c r="W23" s="1675"/>
      <c r="X23" s="1675"/>
      <c r="Y23" s="1675"/>
    </row>
    <row r="24" spans="1:25" ht="18" customHeight="1">
      <c r="A24" s="738" t="s">
        <v>1404</v>
      </c>
      <c r="B24" s="719" t="s">
        <v>622</v>
      </c>
      <c r="C24" s="49"/>
      <c r="D24" s="2045" t="str">
        <f>IF(F25&lt;=1,"单利计息。","复利计息。")&amp;"建造成本、管理费用、销售费用产生的利息。"</f>
        <v>复利计息。建造成本、管理费用、销售费用产生的利息。</v>
      </c>
      <c r="E24" s="914"/>
      <c r="F24" s="52"/>
      <c r="G24" s="1144"/>
      <c r="H24" s="1522" t="s">
        <v>1588</v>
      </c>
      <c r="I24" s="719" t="s">
        <v>623</v>
      </c>
      <c r="J24" s="49">
        <f ca="1">ROUND(J16*M24,0)</f>
        <v>0</v>
      </c>
      <c r="K24" s="906" t="s">
        <v>624</v>
      </c>
      <c r="L24" s="719" t="s">
        <v>597</v>
      </c>
      <c r="M24" s="751">
        <f ca="1">INDIRECT("'数据-取费表'!Ak"&amp;$G$1)</f>
        <v>0</v>
      </c>
    </row>
    <row r="25" spans="1:25" s="1676" customFormat="1" ht="18" customHeight="1">
      <c r="A25" s="738" t="s">
        <v>1400</v>
      </c>
      <c r="B25" s="719" t="s">
        <v>1784</v>
      </c>
      <c r="C25" s="49">
        <f ca="1">ROUND(IF('数据-取费表'!B22&lt;=1,(C21+C22)*F26*F25/2,(C21+C22)*(POWER((1+F26),F25/2)-1)),0)</f>
        <v>0</v>
      </c>
      <c r="D25" s="2044" t="str">
        <f>IF(F25&lt;=1,"(建造成本+管理费用)×利率×(建设周期÷2)","(建造成本+管理费用)×((1+利率)^(建设周期÷2)-1)")</f>
        <v>(建造成本+管理费用)×((1+利率)^(建设周期÷2)-1)</v>
      </c>
      <c r="E25" s="719" t="s">
        <v>625</v>
      </c>
      <c r="F25" s="587">
        <f>'数据-取费表'!B20</f>
        <v>3</v>
      </c>
      <c r="G25" s="1325"/>
      <c r="H25" s="738" t="s">
        <v>1403</v>
      </c>
      <c r="I25" s="719" t="s">
        <v>626</v>
      </c>
      <c r="J25" s="49">
        <f ca="1">ROUND(J15*M25,0)</f>
        <v>0</v>
      </c>
      <c r="K25" s="906" t="s">
        <v>627</v>
      </c>
      <c r="L25" s="719" t="s">
        <v>597</v>
      </c>
      <c r="M25" s="752">
        <f ca="1">INDIRECT("'数据-取费表'!Al"&amp;$G$1)</f>
        <v>0</v>
      </c>
      <c r="N25" s="1675"/>
      <c r="O25" s="1675"/>
      <c r="P25" s="1675"/>
      <c r="Q25" s="1675"/>
      <c r="R25" s="1675"/>
      <c r="S25" s="1675"/>
      <c r="T25" s="1675"/>
      <c r="U25" s="1675"/>
      <c r="V25" s="1675"/>
      <c r="W25" s="1675"/>
      <c r="X25" s="1675"/>
      <c r="Y25" s="1675"/>
    </row>
    <row r="26" spans="1:25" s="1676" customFormat="1" ht="18" customHeight="1">
      <c r="A26" s="738" t="s">
        <v>1378</v>
      </c>
      <c r="B26" s="719" t="s">
        <v>628</v>
      </c>
      <c r="C26" s="49">
        <f ca="1">ROUND(IF('数据-取费表'!B22&lt;=1,F23*F26*F25/2,F23*(POWER((1+F26),F25/2)-1)),4)</f>
        <v>8.9999999999999998E-4</v>
      </c>
      <c r="D26" s="2044" t="str">
        <f>IF(F25&lt;=1,"销售费用×利率×(建设周期÷2)","销售费用×((1+利率)^(建设周期÷2)-1)")</f>
        <v>销售费用×((1+利率)^(建设周期÷2)-1)</v>
      </c>
      <c r="E26" s="719" t="s">
        <v>629</v>
      </c>
      <c r="F26" s="753">
        <f ca="1">'数据-取费表'!B40</f>
        <v>4.1499999999999995E-2</v>
      </c>
      <c r="G26" s="1325"/>
      <c r="H26" s="738" t="s">
        <v>1404</v>
      </c>
      <c r="I26" s="719" t="s">
        <v>613</v>
      </c>
      <c r="J26" s="49">
        <f ca="1">ROUND(J7*M26,0)</f>
        <v>0</v>
      </c>
      <c r="K26" s="906" t="s">
        <v>630</v>
      </c>
      <c r="L26" s="719" t="s">
        <v>597</v>
      </c>
      <c r="M26" s="729">
        <f ca="1">INDIRECT("'数据-取费表'!Am"&amp;$G$1)</f>
        <v>0</v>
      </c>
      <c r="N26" s="1675"/>
      <c r="O26" s="1675"/>
      <c r="P26" s="1675"/>
      <c r="Q26" s="1675"/>
      <c r="R26" s="1675"/>
      <c r="S26" s="1675"/>
      <c r="T26" s="1675"/>
      <c r="U26" s="1675"/>
      <c r="V26" s="1675"/>
      <c r="W26" s="1675"/>
      <c r="X26" s="1675"/>
      <c r="Y26" s="1675"/>
    </row>
    <row r="27" spans="1:25" ht="18" customHeight="1">
      <c r="A27" s="738" t="s">
        <v>1406</v>
      </c>
      <c r="B27" s="719" t="s">
        <v>631</v>
      </c>
      <c r="C27" s="49"/>
      <c r="D27" s="241" t="s">
        <v>632</v>
      </c>
      <c r="E27" s="914"/>
      <c r="F27" s="52"/>
      <c r="G27" s="1144"/>
      <c r="H27" s="732" t="s">
        <v>1357</v>
      </c>
      <c r="I27" s="2298" t="s">
        <v>2099</v>
      </c>
      <c r="J27" s="734">
        <f ca="1">J7-J18</f>
        <v>0</v>
      </c>
      <c r="K27" s="905" t="s">
        <v>647</v>
      </c>
      <c r="L27" s="903"/>
      <c r="M27" s="754"/>
    </row>
    <row r="28" spans="1:25" ht="18" customHeight="1">
      <c r="A28" s="738" t="s">
        <v>1400</v>
      </c>
      <c r="B28" s="719" t="s">
        <v>1785</v>
      </c>
      <c r="C28" s="49">
        <f ca="1">ROUND((C21+C22)*F28,0)</f>
        <v>0</v>
      </c>
      <c r="D28" s="746" t="s">
        <v>648</v>
      </c>
      <c r="E28" s="730" t="s">
        <v>649</v>
      </c>
      <c r="F28" s="729">
        <f ca="1">INDIRECT("'数据-取费表'!q"&amp;$G$1)</f>
        <v>0</v>
      </c>
      <c r="G28" s="1144"/>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4"/>
      <c r="H29" s="721"/>
      <c r="I29" s="722"/>
      <c r="J29" s="723"/>
      <c r="K29" s="755" t="s">
        <v>654</v>
      </c>
      <c r="L29" s="719" t="s">
        <v>655</v>
      </c>
      <c r="M29" s="756">
        <f ca="1">INDIRECT("'数据-取费表'!ag"&amp;$G$1)</f>
        <v>0</v>
      </c>
    </row>
    <row r="30" spans="1:25" s="1676" customFormat="1" ht="18" customHeight="1">
      <c r="A30" s="738" t="s">
        <v>1407</v>
      </c>
      <c r="B30" s="719" t="s">
        <v>634</v>
      </c>
      <c r="C30" s="49">
        <f>ROUND(F30/(1+'数据-取费表'!C42),4)</f>
        <v>5.33E-2</v>
      </c>
      <c r="D30" s="746" t="s">
        <v>656</v>
      </c>
      <c r="E30" s="719" t="s">
        <v>597</v>
      </c>
      <c r="F30" s="744">
        <f>'数据-取费表'!B41</f>
        <v>5.6000000000000001E-2</v>
      </c>
      <c r="G30" s="1325"/>
      <c r="H30" s="725"/>
      <c r="I30" s="726"/>
      <c r="J30" s="727"/>
      <c r="K30" s="750"/>
      <c r="L30" s="719" t="s">
        <v>657</v>
      </c>
      <c r="M30" s="729">
        <f ca="1">INDIRECT("'数据-取费表'!aa"&amp;$G$1)</f>
        <v>0</v>
      </c>
      <c r="N30" s="1675"/>
      <c r="O30" s="1675"/>
      <c r="P30" s="1675"/>
      <c r="Q30" s="1675"/>
      <c r="R30" s="1675"/>
      <c r="S30" s="1675"/>
      <c r="T30" s="1675"/>
      <c r="U30" s="1675"/>
      <c r="V30" s="1675"/>
      <c r="W30" s="1675"/>
      <c r="X30" s="1675"/>
      <c r="Y30" s="1675"/>
    </row>
    <row r="31" spans="1:25" s="1676" customFormat="1" ht="18" customHeight="1" thickBot="1">
      <c r="A31" s="2036" t="s">
        <v>1408</v>
      </c>
      <c r="B31" s="2017" t="s">
        <v>2100</v>
      </c>
      <c r="C31" s="2020">
        <f ca="1">ROUND((C21+C22+C25+C28)/(1-F23-C26-C29-C30),0)</f>
        <v>0</v>
      </c>
      <c r="D31" s="2021"/>
      <c r="E31" s="2022"/>
      <c r="F31" s="2023"/>
      <c r="G31" s="1325"/>
      <c r="H31" s="757" t="s">
        <v>1397</v>
      </c>
      <c r="I31" s="2299" t="s">
        <v>2101</v>
      </c>
      <c r="J31" s="759">
        <f ca="1">ROUND(J28/(1+F45)^F46,0)</f>
        <v>0</v>
      </c>
      <c r="K31" s="760" t="s">
        <v>635</v>
      </c>
      <c r="L31" s="761"/>
      <c r="M31" s="762">
        <f ca="1">INDIRECT("'数据-取费表'!k"&amp;$G$1)</f>
        <v>0</v>
      </c>
      <c r="N31" s="1675"/>
      <c r="O31" s="1675"/>
      <c r="P31" s="1675"/>
      <c r="Q31" s="1675"/>
      <c r="R31" s="1675"/>
      <c r="S31" s="1675"/>
      <c r="T31" s="1675"/>
      <c r="U31" s="1675"/>
      <c r="V31" s="1675"/>
      <c r="W31" s="1675"/>
      <c r="X31" s="1675"/>
      <c r="Y31" s="1675"/>
    </row>
    <row r="32" spans="1:25" ht="18" customHeight="1" thickTop="1">
      <c r="A32" s="1520" t="s">
        <v>4</v>
      </c>
      <c r="B32" s="1518" t="s">
        <v>636</v>
      </c>
      <c r="C32" s="727">
        <f ca="1">ROUND(C33+C38+C39+C40,0)</f>
        <v>0</v>
      </c>
      <c r="D32" s="1514" t="s">
        <v>600</v>
      </c>
      <c r="E32" s="908"/>
      <c r="F32" s="1996"/>
      <c r="G32" s="1668"/>
      <c r="H32" s="1677"/>
      <c r="I32" s="1678"/>
      <c r="J32" s="1679"/>
      <c r="K32" s="1636"/>
      <c r="L32" s="1680"/>
      <c r="M32" s="1681"/>
    </row>
    <row r="33" spans="1:18" ht="18" customHeight="1">
      <c r="A33" s="738" t="s">
        <v>1401</v>
      </c>
      <c r="B33" s="719" t="s">
        <v>604</v>
      </c>
      <c r="C33" s="2555">
        <f ca="1">ROUND(IF(AND(项目基本情况!B11="自然人",项目基本情况!B10="北京市"),C8*F33/(1+'数据-取费表'!C42),C34+C35+C36),2)</f>
        <v>0</v>
      </c>
      <c r="D33" s="905" t="s">
        <v>605</v>
      </c>
      <c r="E33" s="906" t="s">
        <v>637</v>
      </c>
      <c r="F33" s="2554">
        <f ca="1">IF(项目基本情况!B11="企业","——",IF(M48="住宅",IF(F8*F9*F10/12/(1+'数据-取费表'!F30)&gt;100000,4%,2.5%),IF(F8*F9*F10/12/(1+'数据-取费表'!F30)&gt;100000,12%,7%)))</f>
        <v>7.0000000000000007E-2</v>
      </c>
      <c r="G33" s="1668"/>
      <c r="H33" s="2759" t="s">
        <v>2278</v>
      </c>
      <c r="I33" s="1678"/>
      <c r="J33" s="1679"/>
      <c r="K33" s="1636"/>
      <c r="L33" s="1680"/>
      <c r="M33" s="1681"/>
    </row>
    <row r="34" spans="1:18" ht="18" customHeight="1">
      <c r="A34" s="738" t="s">
        <v>1400</v>
      </c>
      <c r="B34" s="719" t="s">
        <v>608</v>
      </c>
      <c r="C34" s="49">
        <f ca="1">ROUND(C8*F34/(1+'数据-取费表'!C42),2)</f>
        <v>0</v>
      </c>
      <c r="D34" s="906" t="s">
        <v>609</v>
      </c>
      <c r="E34" s="719" t="s">
        <v>597</v>
      </c>
      <c r="F34" s="744">
        <f>'数据-取费表'!B41</f>
        <v>5.6000000000000001E-2</v>
      </c>
      <c r="G34" s="1668"/>
      <c r="H34" s="1682"/>
      <c r="I34" s="1683"/>
      <c r="J34" s="1684"/>
      <c r="K34" s="1685"/>
      <c r="L34" s="1686"/>
      <c r="M34" s="1687"/>
    </row>
    <row r="35" spans="1:18" ht="18" customHeight="1">
      <c r="A35" s="738" t="s">
        <v>1378</v>
      </c>
      <c r="B35" s="719" t="s">
        <v>612</v>
      </c>
      <c r="C35" s="49">
        <f ca="1">IF(D35="按租金收入计税",ROUND(C8*F35/(1+'数据-取费表'!C42),2),IF(D35="按房产原值计税",ROUND(C31*F35*0.7,2),INDIRECT("'数据-取费表'!Aj"&amp;$G$1)))</f>
        <v>0</v>
      </c>
      <c r="D35" s="745" t="s">
        <v>3248</v>
      </c>
      <c r="E35" s="719" t="s">
        <v>597</v>
      </c>
      <c r="F35" s="744">
        <f>IF(D35="按租金收入计税",'数据-取费表'!B51,'数据-取费表'!B50)</f>
        <v>0.12</v>
      </c>
      <c r="G35" s="1668"/>
      <c r="H35" s="1688"/>
      <c r="I35" s="1688"/>
      <c r="J35" s="1688"/>
      <c r="K35" s="1689"/>
      <c r="L35" s="1688"/>
      <c r="M35" s="1688"/>
    </row>
    <row r="36" spans="1:18" ht="18" customHeight="1">
      <c r="A36" s="747" t="s">
        <v>1405</v>
      </c>
      <c r="B36" s="315" t="s">
        <v>615</v>
      </c>
      <c r="C36" s="50">
        <f ca="1">ROUND(F36*F37/10000,2)</f>
        <v>0</v>
      </c>
      <c r="D36" s="748" t="s">
        <v>616</v>
      </c>
      <c r="E36" s="719" t="s">
        <v>617</v>
      </c>
      <c r="F36" s="587">
        <f>'数据-取费表'!B52</f>
        <v>3</v>
      </c>
      <c r="G36" s="1668"/>
      <c r="H36" s="1677"/>
      <c r="I36" s="3681"/>
      <c r="J36" s="1690"/>
      <c r="K36" s="1691"/>
      <c r="L36" s="1690"/>
      <c r="M36" s="1690"/>
    </row>
    <row r="37" spans="1:18" ht="18" customHeight="1">
      <c r="A37" s="749"/>
      <c r="B37" s="728"/>
      <c r="C37" s="65"/>
      <c r="D37" s="750"/>
      <c r="E37" s="719" t="s">
        <v>621</v>
      </c>
      <c r="F37" s="720">
        <f ca="1">INDIRECT("'数据-取费表'!r"&amp;$G$1)</f>
        <v>0</v>
      </c>
      <c r="G37" s="1668"/>
      <c r="H37" s="1677"/>
      <c r="I37" s="3681"/>
      <c r="J37" s="1688"/>
      <c r="K37" s="1689"/>
      <c r="L37" s="1688"/>
      <c r="M37" s="1688"/>
    </row>
    <row r="38" spans="1:18" ht="18" customHeight="1">
      <c r="A38" s="738" t="s">
        <v>1402</v>
      </c>
      <c r="B38" s="719" t="s">
        <v>623</v>
      </c>
      <c r="C38" s="49">
        <f ca="1">ROUND(C31*F38,2)</f>
        <v>0</v>
      </c>
      <c r="D38" s="906" t="s">
        <v>638</v>
      </c>
      <c r="E38" s="719" t="s">
        <v>597</v>
      </c>
      <c r="F38" s="751">
        <f ca="1">INDIRECT("'数据-取费表'!Ak"&amp;$G$1)</f>
        <v>0</v>
      </c>
      <c r="G38" s="1668"/>
      <c r="H38" s="1688"/>
      <c r="I38" s="2557"/>
      <c r="J38" s="1636"/>
      <c r="K38" s="1692"/>
      <c r="L38" s="1688"/>
      <c r="M38" s="1688"/>
    </row>
    <row r="39" spans="1:18" ht="18" customHeight="1">
      <c r="A39" s="738" t="s">
        <v>1403</v>
      </c>
      <c r="B39" s="719" t="s">
        <v>626</v>
      </c>
      <c r="C39" s="49">
        <f ca="1">ROUND(C15*F39,2)</f>
        <v>0</v>
      </c>
      <c r="D39" s="906" t="s">
        <v>627</v>
      </c>
      <c r="E39" s="719" t="s">
        <v>597</v>
      </c>
      <c r="F39" s="752">
        <f ca="1">INDIRECT("'数据-取费表'!Al"&amp;$G$1)</f>
        <v>0</v>
      </c>
      <c r="G39" s="1668"/>
      <c r="H39" s="1688"/>
      <c r="I39" s="2557"/>
      <c r="J39" s="1636"/>
      <c r="K39" s="1692"/>
      <c r="L39" s="1688"/>
      <c r="M39" s="1688"/>
    </row>
    <row r="40" spans="1:18" ht="18" customHeight="1" thickBot="1">
      <c r="A40" s="2036" t="s">
        <v>1404</v>
      </c>
      <c r="B40" s="2022" t="s">
        <v>613</v>
      </c>
      <c r="C40" s="2020">
        <f ca="1">ROUND(C7*F40,2)</f>
        <v>0</v>
      </c>
      <c r="D40" s="2021" t="s">
        <v>630</v>
      </c>
      <c r="E40" s="2022" t="s">
        <v>597</v>
      </c>
      <c r="F40" s="2018">
        <f ca="1">INDIRECT("'数据-取费表'!Am"&amp;$G$1)</f>
        <v>0</v>
      </c>
      <c r="G40" s="1668"/>
      <c r="H40" s="1688"/>
      <c r="I40" s="2557"/>
      <c r="J40" s="1636"/>
      <c r="K40" s="1693"/>
      <c r="L40" s="1688"/>
      <c r="M40" s="1688"/>
    </row>
    <row r="41" spans="1:18" ht="18" customHeight="1" thickTop="1">
      <c r="A41" s="1520">
        <v>4</v>
      </c>
      <c r="B41" s="1518" t="s">
        <v>639</v>
      </c>
      <c r="C41" s="1146"/>
      <c r="D41" s="1147"/>
      <c r="E41" s="1147"/>
      <c r="F41" s="1148"/>
      <c r="G41" s="1668"/>
      <c r="H41" s="1668"/>
      <c r="I41" s="1668"/>
      <c r="J41" s="1668"/>
      <c r="K41" s="1693"/>
      <c r="L41" s="1668"/>
      <c r="M41" s="1668"/>
    </row>
    <row r="42" spans="1:18" ht="18" customHeight="1">
      <c r="A42" s="738" t="s">
        <v>1401</v>
      </c>
      <c r="B42" s="769" t="s">
        <v>640</v>
      </c>
      <c r="C42" s="763">
        <f ca="1">C7-C32</f>
        <v>0</v>
      </c>
      <c r="D42" s="905" t="s">
        <v>641</v>
      </c>
      <c r="E42" s="903"/>
      <c r="F42" s="754"/>
      <c r="G42" s="1668"/>
      <c r="H42" s="1668"/>
      <c r="I42" s="1668"/>
      <c r="J42" s="1668"/>
      <c r="K42" s="1693"/>
      <c r="L42" s="1668"/>
      <c r="M42" s="1668"/>
    </row>
    <row r="43" spans="1:18" ht="18" customHeight="1">
      <c r="A43" s="738" t="s">
        <v>1402</v>
      </c>
      <c r="B43" s="769" t="s">
        <v>658</v>
      </c>
      <c r="C43" s="770">
        <f ca="1">ROUND(C15*F43,0)</f>
        <v>0</v>
      </c>
      <c r="D43" s="1149" t="s">
        <v>659</v>
      </c>
      <c r="E43" s="2360" t="s">
        <v>2217</v>
      </c>
      <c r="F43" s="2361">
        <f ca="1">INDIRECT("'数据-取费表'!j"&amp;$G$1)</f>
        <v>0</v>
      </c>
      <c r="G43" s="1668"/>
      <c r="H43" s="1668"/>
      <c r="I43" s="1668"/>
      <c r="J43" s="1668"/>
      <c r="K43" s="1693"/>
      <c r="L43" s="1668"/>
      <c r="M43" s="1668"/>
    </row>
    <row r="44" spans="1:18" ht="18" customHeight="1">
      <c r="A44" s="738" t="s">
        <v>1403</v>
      </c>
      <c r="B44" s="769" t="s">
        <v>660</v>
      </c>
      <c r="C44" s="1150">
        <f ca="1">C42-C43</f>
        <v>0</v>
      </c>
      <c r="D44" s="432" t="s">
        <v>661</v>
      </c>
      <c r="E44" s="433"/>
      <c r="F44" s="434"/>
      <c r="G44" s="1668"/>
      <c r="H44" s="1668"/>
      <c r="I44" s="1668"/>
      <c r="J44" s="1668"/>
      <c r="K44" s="1693"/>
      <c r="L44" s="1668"/>
      <c r="M44" s="1668"/>
    </row>
    <row r="45" spans="1:18" ht="18" customHeight="1">
      <c r="A45" s="738" t="s">
        <v>1404</v>
      </c>
      <c r="B45" s="1149" t="s">
        <v>662</v>
      </c>
      <c r="C45" s="718">
        <f ca="1">ROUND(-PV(F45,F46,C44,0),0)</f>
        <v>0</v>
      </c>
      <c r="D45" s="1151" t="s">
        <v>663</v>
      </c>
      <c r="E45" s="741" t="s">
        <v>664</v>
      </c>
      <c r="F45" s="764">
        <f ca="1">INDIRECT("'数据-取费表'!h"&amp;$G$1)</f>
        <v>0</v>
      </c>
      <c r="G45" s="1668"/>
      <c r="H45" s="1668"/>
      <c r="I45" s="1668"/>
      <c r="J45" s="1668"/>
      <c r="K45" s="1693"/>
      <c r="L45" s="1668"/>
      <c r="M45" s="1668"/>
    </row>
    <row r="46" spans="1:18" ht="18" customHeight="1" thickBot="1">
      <c r="A46" s="765"/>
      <c r="B46" s="1152"/>
      <c r="C46" s="1153"/>
      <c r="D46" s="1154"/>
      <c r="E46" s="2362" t="s">
        <v>2220</v>
      </c>
      <c r="F46" s="762">
        <f ca="1">IF(INDIRECT("'数据-取费表'!af"&amp;$G$1)=0,INDIRECT("'数据-取费表'!ae"&amp;$G$1),INDIRECT("'数据-取费表'!af"&amp;$G$1))</f>
        <v>0</v>
      </c>
      <c r="G46" s="1668"/>
      <c r="H46" s="1668"/>
      <c r="I46" s="1668"/>
      <c r="J46" s="1668"/>
      <c r="K46" s="1693"/>
      <c r="L46" s="1668"/>
      <c r="M46" s="1668"/>
    </row>
    <row r="47" spans="1:18" s="1672" customFormat="1" ht="18" customHeight="1" thickBot="1">
      <c r="A47" s="1694"/>
      <c r="D47" s="1695"/>
      <c r="E47" s="1695"/>
      <c r="F47" s="1695"/>
      <c r="I47" s="1939" t="s">
        <v>1697</v>
      </c>
      <c r="J47" s="1940"/>
      <c r="K47" s="1941"/>
      <c r="L47" s="2375" t="e">
        <f ca="1">IF(M48="住宅",0,IF(L49&gt;J52,L61,J61))</f>
        <v>#DIV/0!</v>
      </c>
      <c r="O47" s="1953" t="s">
        <v>1764</v>
      </c>
      <c r="P47" s="1144"/>
      <c r="Q47" s="1330"/>
      <c r="R47" s="1144"/>
    </row>
    <row r="48" spans="1:18" s="1672" customFormat="1" ht="18" customHeight="1" thickBot="1">
      <c r="A48" s="1694"/>
      <c r="C48" s="1697"/>
      <c r="D48" s="1695"/>
      <c r="E48" s="1695"/>
      <c r="F48" s="1698"/>
      <c r="G48" s="1699"/>
      <c r="I48" s="2367" t="s">
        <v>1698</v>
      </c>
      <c r="J48" s="1942"/>
      <c r="K48" s="2372" t="s">
        <v>1703</v>
      </c>
      <c r="L48" s="2376">
        <f ca="1">INDIRECT("'数据-取费表'!d"&amp;$G$1)</f>
        <v>0</v>
      </c>
      <c r="M48" s="2359" t="str">
        <f>IF(ISNUMBER(FIND("住宅",C1)),"住宅","非住宅")</f>
        <v>非住宅</v>
      </c>
      <c r="O48" s="1954" t="s">
        <v>1729</v>
      </c>
      <c r="P48" s="1955" t="s">
        <v>1730</v>
      </c>
      <c r="Q48" s="1956" t="s">
        <v>1731</v>
      </c>
      <c r="R48" s="1955" t="s">
        <v>1732</v>
      </c>
    </row>
    <row r="49" spans="1:18" s="1672" customFormat="1" ht="18" customHeight="1" thickBot="1">
      <c r="A49" s="1694"/>
      <c r="D49" s="1700"/>
      <c r="E49" s="1701"/>
      <c r="F49" s="1698"/>
      <c r="G49" s="1699"/>
      <c r="H49" s="1702"/>
      <c r="I49" s="2364" t="s">
        <v>1699</v>
      </c>
      <c r="J49" s="1943"/>
      <c r="K49" s="2373" t="s">
        <v>1705</v>
      </c>
      <c r="L49" s="1567">
        <f ca="1">INDIRECT("'数据-取费表'!f"&amp;$G$1)</f>
        <v>0</v>
      </c>
      <c r="O49" s="1957" t="s">
        <v>1733</v>
      </c>
      <c r="P49" s="1958" t="s">
        <v>1759</v>
      </c>
      <c r="Q49" s="1959">
        <f ca="1">C41+J31</f>
        <v>0</v>
      </c>
      <c r="R49" s="1958" t="s">
        <v>1734</v>
      </c>
    </row>
    <row r="50" spans="1:18" s="1672" customFormat="1" ht="18" customHeight="1" thickBot="1">
      <c r="A50" s="1694"/>
      <c r="D50" s="1703"/>
      <c r="E50" s="1703"/>
      <c r="F50" s="1695"/>
      <c r="H50" s="1702"/>
      <c r="I50" s="2364" t="s">
        <v>1700</v>
      </c>
      <c r="J50" s="1944"/>
      <c r="K50" s="2374" t="s">
        <v>1706</v>
      </c>
      <c r="L50" s="1566"/>
      <c r="O50" s="1957" t="s">
        <v>1735</v>
      </c>
      <c r="P50" s="1958" t="s">
        <v>1760</v>
      </c>
      <c r="Q50" s="1959" t="e">
        <f ca="1">J61</f>
        <v>#DIV/0!</v>
      </c>
      <c r="R50" s="1958" t="s">
        <v>1736</v>
      </c>
    </row>
    <row r="51" spans="1:18" s="1672" customFormat="1" ht="18" customHeight="1" thickBot="1">
      <c r="A51" s="1704"/>
      <c r="D51" s="1703"/>
      <c r="E51" s="1703"/>
      <c r="F51" s="1695"/>
      <c r="H51" s="1702"/>
      <c r="I51" s="2364" t="s">
        <v>1701</v>
      </c>
      <c r="J51" s="2371">
        <f>SUMPRODUCT((I64:I66=J48)*(J63:L63=J49)*(J64:L66))</f>
        <v>0</v>
      </c>
      <c r="K51" s="2374" t="s">
        <v>1707</v>
      </c>
      <c r="L51" s="1566"/>
      <c r="O51" s="1960" t="s">
        <v>1737</v>
      </c>
      <c r="P51" s="1958" t="s">
        <v>1761</v>
      </c>
      <c r="Q51" s="1959">
        <f ca="1">C31</f>
        <v>0</v>
      </c>
      <c r="R51" s="1958" t="s">
        <v>1734</v>
      </c>
    </row>
    <row r="52" spans="1:18" s="1672" customFormat="1" ht="18" customHeight="1" thickBot="1">
      <c r="A52" s="1704"/>
      <c r="F52" s="1695"/>
      <c r="I52" s="2368" t="s">
        <v>1702</v>
      </c>
      <c r="J52" s="1567">
        <f>IF(J50="",J51,J50+J51-YEAR('数据-取费表'!B3))</f>
        <v>0</v>
      </c>
      <c r="K52" s="2364" t="s">
        <v>1708</v>
      </c>
      <c r="L52" s="2377">
        <f ca="1">C45</f>
        <v>0</v>
      </c>
      <c r="O52" s="1960" t="s">
        <v>1738</v>
      </c>
      <c r="P52" s="1958" t="s">
        <v>1739</v>
      </c>
      <c r="Q52" s="1961" t="e">
        <f ca="1">J59</f>
        <v>#DIV/0!</v>
      </c>
      <c r="R52" s="1962"/>
    </row>
    <row r="53" spans="1:18" s="1672" customFormat="1" ht="18" customHeight="1" thickBot="1">
      <c r="A53" s="1704"/>
      <c r="F53" s="1695"/>
      <c r="I53" s="2369" t="s">
        <v>1775</v>
      </c>
      <c r="J53" s="1945"/>
      <c r="K53" s="2369" t="s">
        <v>1774</v>
      </c>
      <c r="L53" s="1945"/>
      <c r="O53" s="1960" t="s">
        <v>1740</v>
      </c>
      <c r="P53" s="1958" t="s">
        <v>1741</v>
      </c>
      <c r="Q53" s="1961">
        <f>J53</f>
        <v>0</v>
      </c>
      <c r="R53" s="1962"/>
    </row>
    <row r="54" spans="1:18" s="1672" customFormat="1" ht="29.25" thickBot="1">
      <c r="A54" s="1704"/>
      <c r="I54" s="2370" t="s">
        <v>2231</v>
      </c>
      <c r="J54" s="2416">
        <f ca="1">IF(M48="住宅",MAX(J52,L49-'数据-取费表'!B20),MIN(J52,L49-'数据-取费表'!B20))</f>
        <v>-3</v>
      </c>
      <c r="K54" s="3686"/>
      <c r="L54" s="3687"/>
      <c r="O54" s="1960" t="s">
        <v>1742</v>
      </c>
      <c r="P54" s="1958" t="s">
        <v>1743</v>
      </c>
      <c r="Q54" s="1959">
        <f ca="1">J54</f>
        <v>-3</v>
      </c>
      <c r="R54" s="1958" t="s">
        <v>1744</v>
      </c>
    </row>
    <row r="55" spans="1:18" s="1672" customFormat="1" ht="18" customHeight="1" thickBot="1">
      <c r="A55" s="1704"/>
      <c r="I55" s="23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8"/>
      <c r="K55" s="2379"/>
      <c r="O55" s="1957" t="s">
        <v>1745</v>
      </c>
      <c r="P55" s="1958" t="s">
        <v>1762</v>
      </c>
      <c r="Q55" s="1959" t="e">
        <f ca="1">Q49+Q50</f>
        <v>#DIV/0!</v>
      </c>
      <c r="R55" s="1962" t="s">
        <v>1746</v>
      </c>
    </row>
    <row r="56" spans="1:18" s="1672" customFormat="1" ht="16.5" thickBot="1">
      <c r="A56" s="1704"/>
      <c r="B56" s="1705"/>
      <c r="C56" s="1705"/>
      <c r="I56" s="2380" t="s">
        <v>1709</v>
      </c>
      <c r="J56" s="2353" t="e">
        <f ca="1">ROUND(IF(J48="钢混",J58/J51,1-(1-2%)*(J51-J58)/J51),3)</f>
        <v>#DIV/0!</v>
      </c>
      <c r="K56" s="2381" t="s">
        <v>1710</v>
      </c>
      <c r="L56" s="1946"/>
      <c r="O56" s="1963" t="s">
        <v>1765</v>
      </c>
      <c r="P56" s="1144"/>
      <c r="Q56" s="1330"/>
      <c r="R56" s="1144"/>
    </row>
    <row r="57" spans="1:18" s="1672" customFormat="1" ht="43.5" thickBot="1">
      <c r="A57" s="1704"/>
      <c r="B57" s="1705"/>
      <c r="C57" s="1705"/>
      <c r="I57" s="2382" t="s">
        <v>1711</v>
      </c>
      <c r="J57" s="2392"/>
      <c r="K57" s="2364" t="s">
        <v>1716</v>
      </c>
      <c r="L57" s="1567">
        <f ca="1">IF(L49&lt;J52,"——",L49-J52)</f>
        <v>0</v>
      </c>
      <c r="O57" s="1954" t="s">
        <v>1729</v>
      </c>
      <c r="P57" s="1955" t="s">
        <v>1730</v>
      </c>
      <c r="Q57" s="1956" t="s">
        <v>1731</v>
      </c>
      <c r="R57" s="1955" t="s">
        <v>1732</v>
      </c>
    </row>
    <row r="58" spans="1:18" s="1672" customFormat="1" ht="29.25" thickBot="1">
      <c r="A58" s="1704"/>
      <c r="B58" s="1705"/>
      <c r="C58" s="1705"/>
      <c r="I58" s="2383" t="s">
        <v>1712</v>
      </c>
      <c r="J58" s="2384">
        <f ca="1">IF(OR(M48="住宅",J52&lt;L49,J57="是"),"——",J52-L49)</f>
        <v>0</v>
      </c>
      <c r="K58" s="2364" t="s">
        <v>1717</v>
      </c>
      <c r="L58" s="1567">
        <f ca="1">IF(L49&lt;J52,"——",IF(L56="比较法",L50,IF(L56="基准地价",L51,L52)))</f>
        <v>0</v>
      </c>
      <c r="O58" s="1957" t="s">
        <v>1733</v>
      </c>
      <c r="P58" s="1958" t="s">
        <v>1759</v>
      </c>
      <c r="Q58" s="1959">
        <f ca="1">C41+J31</f>
        <v>0</v>
      </c>
      <c r="R58" s="1958" t="s">
        <v>1734</v>
      </c>
    </row>
    <row r="59" spans="1:18" s="1672" customFormat="1" ht="29.25" thickBot="1">
      <c r="A59" s="1704"/>
      <c r="B59" s="1705"/>
      <c r="C59" s="1705"/>
      <c r="I59" s="2383" t="s">
        <v>1713</v>
      </c>
      <c r="J59" s="2354" t="e">
        <f ca="1">IF(J56&lt;0.4,0.4,J56)</f>
        <v>#DIV/0!</v>
      </c>
      <c r="K59" s="2364" t="s">
        <v>1718</v>
      </c>
      <c r="L59" s="1567">
        <f ca="1">IF(ISERROR(POWER(1+L53,L48-L49)*(POWER(1+L53,L49)-1)/(POWER(1+L53,L48)-1)),0,POWER(1+L53,L48-L49)*(POWER(1+L53,L49)-1)/(POWER(1+L53,L48)-1))</f>
        <v>0</v>
      </c>
      <c r="O59" s="1957" t="s">
        <v>1735</v>
      </c>
      <c r="P59" s="1958" t="s">
        <v>1766</v>
      </c>
      <c r="Q59" s="1959" t="e">
        <f ca="1">L61</f>
        <v>#DIV/0!</v>
      </c>
      <c r="R59" s="1962" t="s">
        <v>1768</v>
      </c>
    </row>
    <row r="60" spans="1:18" s="1672" customFormat="1" ht="29.25" thickBot="1">
      <c r="A60" s="1704"/>
      <c r="B60" s="1705"/>
      <c r="C60" s="1705"/>
      <c r="I60" s="2383" t="s">
        <v>1714</v>
      </c>
      <c r="J60" s="2384" t="e">
        <f ca="1">IF(OR(M48="住宅",J52&lt;L49,J57="是"),"——",ROUND(C30*J59,0))</f>
        <v>#DIV/0!</v>
      </c>
      <c r="K60" s="2364" t="s">
        <v>1719</v>
      </c>
      <c r="L60" s="1567">
        <f ca="1">IF(ISERROR(POWER(1+L53,L48-J52)*(POWER(1+L53,J52)-1)/(POWER(1+L53,L48)-1)),0,POWER(1+L53,L48-J52)*(POWER(1+L53,J52)-1)/(POWER(1+L53,L48)-1))</f>
        <v>0</v>
      </c>
      <c r="O60" s="1960" t="s">
        <v>1737</v>
      </c>
      <c r="P60" s="1958" t="s">
        <v>1767</v>
      </c>
      <c r="Q60" s="1959">
        <f>IF(L56="比较法",L50,IF(L56="基准地价",L51,0))</f>
        <v>0</v>
      </c>
      <c r="R60" s="1958" t="s">
        <v>1734</v>
      </c>
    </row>
    <row r="61" spans="1:18" s="1672" customFormat="1" ht="15.75" thickBot="1">
      <c r="A61" s="1704"/>
      <c r="B61" s="1705"/>
      <c r="C61" s="1705"/>
      <c r="I61" s="2385" t="s">
        <v>1715</v>
      </c>
      <c r="J61" s="2386" t="e">
        <f ca="1">IF(OR(M48="住宅",J52&lt;L49,J57="是"),"0",ROUND(J60/(1+J53)^J54,0))</f>
        <v>#DIV/0!</v>
      </c>
      <c r="K61" s="2387" t="s">
        <v>1720</v>
      </c>
      <c r="L61" s="2386" t="e">
        <f ca="1">IF(OR(M48="住宅",L49&lt;J52),0,ROUND(L58*(L59/L60-1),0))</f>
        <v>#DIV/0!</v>
      </c>
      <c r="O61" s="1960" t="s">
        <v>1738</v>
      </c>
      <c r="P61" s="1958" t="s">
        <v>1747</v>
      </c>
      <c r="Q61" s="1961">
        <f>L53</f>
        <v>0</v>
      </c>
      <c r="R61" s="1962"/>
    </row>
    <row r="62" spans="1:18" s="1672" customFormat="1" ht="20.25" thickBot="1">
      <c r="A62" s="1704"/>
      <c r="B62" s="1705"/>
      <c r="C62" s="1705"/>
      <c r="K62" s="1696"/>
      <c r="O62" s="1960" t="s">
        <v>1740</v>
      </c>
      <c r="P62" s="1958" t="s">
        <v>1748</v>
      </c>
      <c r="Q62" s="1959">
        <f ca="1">L59</f>
        <v>0</v>
      </c>
      <c r="R62" s="1962" t="s">
        <v>1749</v>
      </c>
    </row>
    <row r="63" spans="1:18" s="1672" customFormat="1" ht="20.25" thickBot="1">
      <c r="A63" s="1704"/>
      <c r="B63" s="1705"/>
      <c r="C63" s="1705"/>
      <c r="I63" s="2388" t="s">
        <v>1721</v>
      </c>
      <c r="J63" s="2389" t="s">
        <v>1722</v>
      </c>
      <c r="K63" s="2389" t="s">
        <v>1723</v>
      </c>
      <c r="L63" s="2389" t="s">
        <v>1704</v>
      </c>
      <c r="M63" s="2390" t="s">
        <v>2200</v>
      </c>
      <c r="O63" s="1960" t="s">
        <v>1742</v>
      </c>
      <c r="P63" s="1958" t="s">
        <v>1750</v>
      </c>
      <c r="Q63" s="1959">
        <f ca="1">L60</f>
        <v>0</v>
      </c>
      <c r="R63" s="1962" t="s">
        <v>1751</v>
      </c>
    </row>
    <row r="64" spans="1:18" s="1672" customFormat="1" ht="15.75" thickBot="1">
      <c r="A64" s="1704"/>
      <c r="B64" s="1705"/>
      <c r="C64" s="1705"/>
      <c r="I64" s="2388" t="s">
        <v>1724</v>
      </c>
      <c r="J64" s="2389">
        <v>70</v>
      </c>
      <c r="K64" s="2389">
        <v>50</v>
      </c>
      <c r="L64" s="2389">
        <v>80</v>
      </c>
      <c r="M64" s="2391">
        <v>0.02</v>
      </c>
      <c r="O64" s="1957" t="s">
        <v>1745</v>
      </c>
      <c r="P64" s="1958" t="s">
        <v>1762</v>
      </c>
      <c r="Q64" s="1959" t="e">
        <f ca="1">Q58+Q59</f>
        <v>#DIV/0!</v>
      </c>
      <c r="R64" s="1962" t="s">
        <v>1746</v>
      </c>
    </row>
    <row r="65" spans="1:18" s="1672" customFormat="1" ht="16.5" thickBot="1">
      <c r="A65" s="1704"/>
      <c r="B65" s="1705"/>
      <c r="C65" s="1705"/>
      <c r="I65" s="2388" t="s">
        <v>1725</v>
      </c>
      <c r="J65" s="2389">
        <v>50</v>
      </c>
      <c r="K65" s="2389">
        <v>35</v>
      </c>
      <c r="L65" s="2389">
        <v>60</v>
      </c>
      <c r="M65" s="780">
        <v>0</v>
      </c>
      <c r="O65" s="1963" t="s">
        <v>1769</v>
      </c>
      <c r="P65" s="1144"/>
      <c r="Q65" s="1330"/>
      <c r="R65" s="1144"/>
    </row>
    <row r="66" spans="1:18" s="1672" customFormat="1" ht="15.75" thickBot="1">
      <c r="A66" s="1704"/>
      <c r="B66" s="1705"/>
      <c r="C66" s="1705"/>
      <c r="I66" s="2388" t="s">
        <v>1726</v>
      </c>
      <c r="J66" s="2389">
        <v>40</v>
      </c>
      <c r="K66" s="2389">
        <v>30</v>
      </c>
      <c r="L66" s="2389">
        <v>50</v>
      </c>
      <c r="M66" s="2391">
        <v>0.02</v>
      </c>
      <c r="O66" s="1954" t="s">
        <v>1729</v>
      </c>
      <c r="P66" s="1955" t="s">
        <v>1730</v>
      </c>
      <c r="Q66" s="1956" t="s">
        <v>1731</v>
      </c>
      <c r="R66" s="1955" t="s">
        <v>1732</v>
      </c>
    </row>
    <row r="67" spans="1:18" s="1672" customFormat="1" ht="15.75" thickBot="1">
      <c r="A67" s="1704"/>
      <c r="B67" s="1705"/>
      <c r="C67" s="1705"/>
      <c r="K67" s="1696"/>
      <c r="O67" s="1957" t="s">
        <v>1733</v>
      </c>
      <c r="P67" s="1958" t="s">
        <v>1759</v>
      </c>
      <c r="Q67" s="1959">
        <f ca="1">C41+J31</f>
        <v>0</v>
      </c>
      <c r="R67" s="1958" t="s">
        <v>1734</v>
      </c>
    </row>
    <row r="68" spans="1:18" s="1672" customFormat="1" ht="20.25" thickBot="1">
      <c r="A68" s="1704"/>
      <c r="B68" s="1705"/>
      <c r="C68" s="1705"/>
      <c r="K68" s="1696"/>
      <c r="O68" s="1957" t="s">
        <v>1735</v>
      </c>
      <c r="P68" s="1958" t="s">
        <v>1766</v>
      </c>
      <c r="Q68" s="1959" t="e">
        <f ca="1">L61</f>
        <v>#DIV/0!</v>
      </c>
      <c r="R68" s="1962" t="s">
        <v>1768</v>
      </c>
    </row>
    <row r="69" spans="1:18" s="1672" customFormat="1" ht="21.75" thickBot="1">
      <c r="A69" s="1704"/>
      <c r="B69" s="1705"/>
      <c r="C69" s="1705"/>
      <c r="K69" s="1696"/>
      <c r="O69" s="1960" t="s">
        <v>1737</v>
      </c>
      <c r="P69" s="1958" t="s">
        <v>1767</v>
      </c>
      <c r="Q69" s="1964">
        <f ca="1">L52</f>
        <v>0</v>
      </c>
      <c r="R69" s="1965" t="s">
        <v>1770</v>
      </c>
    </row>
    <row r="70" spans="1:18" s="1672" customFormat="1" ht="20.25" thickBot="1">
      <c r="A70" s="1704"/>
      <c r="B70" s="1705"/>
      <c r="C70" s="1705"/>
      <c r="K70" s="1696"/>
      <c r="O70" s="1960" t="s">
        <v>1738</v>
      </c>
      <c r="P70" s="1966" t="s">
        <v>1752</v>
      </c>
      <c r="Q70" s="1959">
        <f ca="1">ROUND(Q71-Q72*Q73,0)</f>
        <v>0</v>
      </c>
      <c r="R70" s="1962"/>
    </row>
    <row r="71" spans="1:18" s="1672" customFormat="1" ht="15.75" thickBot="1">
      <c r="A71" s="1704"/>
      <c r="B71" s="1705"/>
      <c r="C71" s="1705"/>
      <c r="K71" s="1696"/>
      <c r="O71" s="1960" t="s">
        <v>1753</v>
      </c>
      <c r="P71" s="1966" t="s">
        <v>1754</v>
      </c>
      <c r="Q71" s="1959">
        <f ca="1">C42</f>
        <v>0</v>
      </c>
      <c r="R71" s="1958" t="s">
        <v>1734</v>
      </c>
    </row>
    <row r="72" spans="1:18" s="1672" customFormat="1" ht="15.75" thickBot="1">
      <c r="A72" s="1704"/>
      <c r="B72" s="1705"/>
      <c r="C72" s="1705"/>
      <c r="K72" s="1696"/>
      <c r="O72" s="1960" t="s">
        <v>1755</v>
      </c>
      <c r="P72" s="1966" t="s">
        <v>1756</v>
      </c>
      <c r="Q72" s="1959">
        <f ca="1">C15</f>
        <v>0</v>
      </c>
      <c r="R72" s="1958" t="s">
        <v>1734</v>
      </c>
    </row>
    <row r="73" spans="1:18" s="1672" customFormat="1" ht="15.75" thickBot="1">
      <c r="A73" s="1704"/>
      <c r="B73" s="1705"/>
      <c r="C73" s="1705"/>
      <c r="K73" s="1696"/>
      <c r="O73" s="1960" t="s">
        <v>1757</v>
      </c>
      <c r="P73" s="1966" t="s">
        <v>1758</v>
      </c>
      <c r="Q73" s="1961">
        <f ca="1">F43</f>
        <v>0</v>
      </c>
      <c r="R73" s="1962"/>
    </row>
    <row r="74" spans="1:18" s="1672" customFormat="1" ht="15.75" thickBot="1">
      <c r="A74" s="1704"/>
      <c r="B74" s="1705"/>
      <c r="C74" s="1705"/>
      <c r="K74" s="1696"/>
      <c r="O74" s="1960" t="s">
        <v>1740</v>
      </c>
      <c r="P74" s="1958" t="s">
        <v>1747</v>
      </c>
      <c r="Q74" s="1961">
        <f>L53</f>
        <v>0</v>
      </c>
      <c r="R74" s="1962"/>
    </row>
    <row r="75" spans="1:18" s="1672" customFormat="1" ht="20.25" thickBot="1">
      <c r="A75" s="1704"/>
      <c r="B75" s="1705"/>
      <c r="C75" s="1705"/>
      <c r="K75" s="1696"/>
      <c r="O75" s="1960" t="s">
        <v>1742</v>
      </c>
      <c r="P75" s="1958" t="s">
        <v>1748</v>
      </c>
      <c r="Q75" s="1959">
        <f ca="1">L59</f>
        <v>0</v>
      </c>
      <c r="R75" s="1962" t="s">
        <v>1749</v>
      </c>
    </row>
    <row r="76" spans="1:18" s="1672" customFormat="1" ht="20.25" thickBot="1">
      <c r="A76" s="1704"/>
      <c r="B76" s="1705"/>
      <c r="C76" s="1705"/>
      <c r="K76" s="1696"/>
      <c r="O76" s="1960" t="s">
        <v>1771</v>
      </c>
      <c r="P76" s="1958" t="s">
        <v>1750</v>
      </c>
      <c r="Q76" s="1959">
        <f ca="1">L60</f>
        <v>0</v>
      </c>
      <c r="R76" s="1962" t="s">
        <v>1751</v>
      </c>
    </row>
    <row r="77" spans="1:18" s="1672" customFormat="1" ht="15.75" thickBot="1">
      <c r="A77" s="1704"/>
      <c r="B77" s="1705"/>
      <c r="C77" s="1705"/>
      <c r="K77" s="1696"/>
      <c r="O77" s="1957" t="s">
        <v>1745</v>
      </c>
      <c r="P77" s="1958" t="s">
        <v>1762</v>
      </c>
      <c r="Q77" s="1959" t="e">
        <f ca="1">Q67+Q68</f>
        <v>#DIV/0!</v>
      </c>
      <c r="R77" s="1962" t="s">
        <v>1746</v>
      </c>
    </row>
    <row r="78" spans="1:18" s="1672" customFormat="1">
      <c r="A78" s="1704"/>
      <c r="B78" s="1705"/>
      <c r="C78" s="1705"/>
      <c r="K78" s="1696"/>
    </row>
    <row r="79" spans="1:18" s="1672" customFormat="1">
      <c r="A79" s="1704"/>
      <c r="B79" s="1705"/>
      <c r="C79" s="1705"/>
      <c r="K79" s="1696"/>
    </row>
    <row r="80" spans="1:18" s="1672" customFormat="1">
      <c r="A80" s="1704"/>
      <c r="B80" s="1705"/>
      <c r="C80" s="1705"/>
      <c r="K80" s="1696"/>
    </row>
    <row r="81" spans="1:11" s="1672" customFormat="1">
      <c r="A81" s="1704"/>
      <c r="B81" s="1705"/>
      <c r="C81" s="1705"/>
      <c r="K81" s="1696"/>
    </row>
    <row r="82" spans="1:11" s="1672" customFormat="1">
      <c r="A82" s="1704"/>
      <c r="B82" s="1705"/>
      <c r="C82" s="1705"/>
      <c r="K82" s="1696"/>
    </row>
    <row r="83" spans="1:11" s="1672" customFormat="1">
      <c r="A83" s="1704"/>
      <c r="B83" s="1705"/>
      <c r="C83" s="1705"/>
      <c r="K83" s="1696"/>
    </row>
    <row r="84" spans="1:11" s="1672" customFormat="1">
      <c r="A84" s="1704"/>
      <c r="B84" s="1705"/>
      <c r="C84" s="1705"/>
      <c r="K84" s="1696"/>
    </row>
    <row r="85" spans="1:11" s="1672" customFormat="1">
      <c r="A85" s="1704"/>
      <c r="B85" s="1705"/>
      <c r="C85" s="1705"/>
      <c r="K85" s="1696"/>
    </row>
    <row r="86" spans="1:11" s="1672" customFormat="1">
      <c r="A86" s="1704"/>
      <c r="B86" s="1705"/>
      <c r="C86" s="1705"/>
      <c r="K86" s="1696"/>
    </row>
    <row r="87" spans="1:11" s="1672" customFormat="1">
      <c r="A87" s="1704"/>
      <c r="B87" s="1705"/>
      <c r="C87" s="1705"/>
      <c r="K87" s="1696"/>
    </row>
    <row r="88" spans="1:11" s="1672" customFormat="1">
      <c r="A88" s="1704"/>
      <c r="B88" s="1705"/>
      <c r="C88" s="1705"/>
      <c r="K88" s="1696"/>
    </row>
    <row r="89" spans="1:11" s="1672" customFormat="1">
      <c r="A89" s="1704"/>
      <c r="B89" s="1705"/>
      <c r="C89" s="1705"/>
      <c r="K89" s="1696"/>
    </row>
    <row r="90" spans="1:11" s="1672" customFormat="1">
      <c r="A90" s="1704"/>
      <c r="B90" s="1705"/>
      <c r="C90" s="1705"/>
      <c r="K90" s="1696"/>
    </row>
    <row r="91" spans="1:11" s="1672" customFormat="1">
      <c r="A91" s="1704"/>
      <c r="B91" s="1705"/>
      <c r="C91" s="1705"/>
      <c r="K91" s="1696"/>
    </row>
    <row r="92" spans="1:11" s="1672" customFormat="1">
      <c r="A92" s="1704"/>
      <c r="B92" s="1705"/>
      <c r="C92" s="1705"/>
      <c r="K92" s="1696"/>
    </row>
    <row r="93" spans="1:11" s="1672" customFormat="1">
      <c r="A93" s="1704"/>
      <c r="B93" s="1705"/>
      <c r="C93" s="1705"/>
      <c r="K93" s="1696"/>
    </row>
    <row r="94" spans="1:11" s="1672" customFormat="1">
      <c r="A94" s="1704"/>
      <c r="B94" s="1705"/>
      <c r="C94" s="1705"/>
      <c r="K94" s="169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F00-000000000000}">
      <formula1>项目类型</formula1>
    </dataValidation>
    <dataValidation type="list" allowBlank="1" showInputMessage="1" showErrorMessage="1" sqref="D35" xr:uid="{00000000-0002-0000-1F00-000001000000}">
      <formula1>"按租金收入计税,按房产原值计税,按票据"</formula1>
    </dataValidation>
    <dataValidation type="list" allowBlank="1" showInputMessage="1" showErrorMessage="1" sqref="K21" xr:uid="{00000000-0002-0000-1F00-000002000000}">
      <formula1>"按租金收入计税,按房产原值计税"</formula1>
    </dataValidation>
    <dataValidation type="list" allowBlank="1" showInputMessage="1" showErrorMessage="1" sqref="F12 M12" xr:uid="{00000000-0002-0000-1F00-000003000000}">
      <formula1>"押一,押二,押三,自定义"</formula1>
    </dataValidation>
    <dataValidation type="list" allowBlank="1" showInputMessage="1" showErrorMessage="1" sqref="J57" xr:uid="{00000000-0002-0000-1F00-000004000000}">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7">
    <tabColor rgb="FF92D050"/>
    <pageSetUpPr fitToPage="1"/>
  </sheetPr>
  <dimension ref="A1:AG76"/>
  <sheetViews>
    <sheetView view="pageBreakPreview" topLeftCell="A10" zoomScale="85" zoomScaleNormal="60" zoomScaleSheetLayoutView="85" workbookViewId="0">
      <selection activeCell="K54" sqref="K54"/>
    </sheetView>
  </sheetViews>
  <sheetFormatPr defaultColWidth="9" defaultRowHeight="15"/>
  <cols>
    <col min="1" max="1" width="9" style="1673"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5.875" style="1672" customWidth="1"/>
    <col min="16" max="16" width="27.625" style="1672" customWidth="1"/>
    <col min="17" max="17" width="13.75" style="1705" customWidth="1"/>
    <col min="18" max="18" width="23.5" style="1672" customWidth="1"/>
    <col min="19" max="19" width="1.5" style="1672" customWidth="1"/>
    <col min="20" max="33" width="9" style="1672"/>
    <col min="34" max="16384" width="9" style="1673"/>
  </cols>
  <sheetData>
    <row r="1" spans="1:33" s="1667" customFormat="1" ht="21">
      <c r="A1" s="766" t="s">
        <v>1254</v>
      </c>
      <c r="B1" s="675"/>
      <c r="C1" s="708" t="s">
        <v>2736</v>
      </c>
      <c r="D1" s="2363" t="s">
        <v>3347</v>
      </c>
      <c r="E1" s="1947" t="s">
        <v>1728</v>
      </c>
      <c r="F1" s="1948">
        <f ca="1">J53</f>
        <v>27.58</v>
      </c>
      <c r="G1" s="2760">
        <f>MATCH(C1,'数据-取费表'!A6:A16,0)+5</f>
        <v>6</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1255</v>
      </c>
      <c r="B2" s="710">
        <f ca="1">C40+J29+L46</f>
        <v>186066</v>
      </c>
      <c r="C2" s="2765"/>
      <c r="D2" s="2764"/>
      <c r="E2" s="2766"/>
      <c r="F2" s="2766"/>
      <c r="G2" s="2761"/>
      <c r="H2" s="1670"/>
      <c r="I2" s="1670"/>
      <c r="J2" s="1670"/>
      <c r="K2" s="1671"/>
      <c r="L2" s="1670"/>
      <c r="M2" s="1670"/>
    </row>
    <row r="3" spans="1:33" ht="18" customHeight="1" thickBot="1">
      <c r="A3" s="767" t="s">
        <v>1256</v>
      </c>
      <c r="B3" s="768">
        <f ca="1">IF(ISERROR(B2*10000/F43),0,ROUND(B2*10000/F43,0))</f>
        <v>6146</v>
      </c>
      <c r="C3" s="2765"/>
      <c r="D3" s="2764"/>
      <c r="E3" s="2766"/>
      <c r="F3" s="2766"/>
      <c r="G3" s="2761"/>
      <c r="H3" s="711" t="s">
        <v>642</v>
      </c>
      <c r="I3" s="1156"/>
      <c r="J3" s="1156"/>
      <c r="K3" s="1324"/>
      <c r="L3" s="1156"/>
      <c r="M3" s="1156"/>
    </row>
    <row r="4" spans="1:33" ht="18" customHeight="1">
      <c r="A4" s="712" t="s">
        <v>1257</v>
      </c>
      <c r="B4" s="713" t="s">
        <v>1258</v>
      </c>
      <c r="C4" s="713" t="s">
        <v>1259</v>
      </c>
      <c r="D4" s="713" t="s">
        <v>581</v>
      </c>
      <c r="E4" s="714" t="s">
        <v>1260</v>
      </c>
      <c r="F4" s="715"/>
      <c r="G4" s="1668"/>
      <c r="H4" s="712" t="s">
        <v>1261</v>
      </c>
      <c r="I4" s="713" t="s">
        <v>1262</v>
      </c>
      <c r="J4" s="713" t="s">
        <v>1263</v>
      </c>
      <c r="K4" s="713" t="s">
        <v>1264</v>
      </c>
      <c r="L4" s="714" t="s">
        <v>1265</v>
      </c>
      <c r="M4" s="715"/>
    </row>
    <row r="5" spans="1:33" ht="18" customHeight="1">
      <c r="A5" s="716">
        <v>1</v>
      </c>
      <c r="B5" s="717" t="s">
        <v>1802</v>
      </c>
      <c r="C5" s="51">
        <f ca="1">C6+C10+C12</f>
        <v>14106</v>
      </c>
      <c r="D5" s="2001" t="s">
        <v>1805</v>
      </c>
      <c r="E5" s="1995"/>
      <c r="F5" s="1996"/>
      <c r="G5" s="1668"/>
      <c r="H5" s="716">
        <v>1</v>
      </c>
      <c r="I5" s="717" t="s">
        <v>1802</v>
      </c>
      <c r="J5" s="51">
        <f ca="1">J6+J10+J12</f>
        <v>0</v>
      </c>
      <c r="K5" s="2001" t="s">
        <v>1805</v>
      </c>
      <c r="L5" s="1995"/>
      <c r="M5" s="1996"/>
    </row>
    <row r="6" spans="1:33" ht="18" customHeight="1">
      <c r="A6" s="1521" t="s">
        <v>1353</v>
      </c>
      <c r="B6" s="3682" t="s">
        <v>1807</v>
      </c>
      <c r="C6" s="718">
        <f ca="1">ROUND(F6*F8*F7*(1-F9)/10000,0)</f>
        <v>14088</v>
      </c>
      <c r="D6" s="2002" t="s">
        <v>1806</v>
      </c>
      <c r="E6" s="719" t="s">
        <v>1267</v>
      </c>
      <c r="F6" s="720">
        <f ca="1">INDIRECT("'数据-取费表'!u"&amp;$G$1)</f>
        <v>1.5</v>
      </c>
      <c r="G6" s="1668"/>
      <c r="H6" s="2009" t="s">
        <v>1812</v>
      </c>
      <c r="I6" s="3682" t="s">
        <v>1807</v>
      </c>
      <c r="J6" s="718">
        <f ca="1">ROUND(M6*M8*M7*(1-M9)/10000,0)</f>
        <v>0</v>
      </c>
      <c r="K6" s="315" t="s">
        <v>1266</v>
      </c>
      <c r="L6" s="719" t="s">
        <v>1267</v>
      </c>
      <c r="M6" s="720">
        <f ca="1">INDIRECT("'数据-取费表'!z"&amp;$G$1)</f>
        <v>0</v>
      </c>
    </row>
    <row r="7" spans="1:33" ht="18" customHeight="1">
      <c r="A7" s="2005"/>
      <c r="B7" s="3683"/>
      <c r="C7" s="723"/>
      <c r="D7" s="724"/>
      <c r="E7" s="719" t="s">
        <v>1268</v>
      </c>
      <c r="F7" s="720">
        <f ca="1">IF(INDIRECT("'数据-取费表'!ah"&amp;$G$1)="",INDIRECT("'数据-取费表'!k"&amp;$G$1),INDIRECT("'数据-取费表'!ah"&amp;$G$1))</f>
        <v>302725.5</v>
      </c>
      <c r="G7" s="1668"/>
      <c r="H7" s="1994"/>
      <c r="I7" s="3683"/>
      <c r="J7" s="723"/>
      <c r="K7" s="724"/>
      <c r="L7" s="719" t="s">
        <v>1268</v>
      </c>
      <c r="M7" s="720">
        <f ca="1">F7</f>
        <v>302725.5</v>
      </c>
    </row>
    <row r="8" spans="1:33" ht="18" customHeight="1">
      <c r="A8" s="1998"/>
      <c r="B8" s="3684"/>
      <c r="C8" s="723"/>
      <c r="D8" s="724"/>
      <c r="E8" s="719" t="s">
        <v>1269</v>
      </c>
      <c r="F8" s="720">
        <f ca="1">INDIRECT("'数据-取费表'!ai"&amp;$G$1)</f>
        <v>365</v>
      </c>
      <c r="G8" s="1668"/>
      <c r="H8" s="1994"/>
      <c r="I8" s="3684"/>
      <c r="J8" s="723"/>
      <c r="K8" s="724"/>
      <c r="L8" s="719" t="s">
        <v>1269</v>
      </c>
      <c r="M8" s="720">
        <f ca="1">INDIRECT("'数据-取费表'!ai"&amp;$G$1)</f>
        <v>365</v>
      </c>
    </row>
    <row r="9" spans="1:33" ht="18" customHeight="1">
      <c r="A9" s="721"/>
      <c r="B9" s="3685"/>
      <c r="C9" s="723"/>
      <c r="D9" s="724"/>
      <c r="E9" s="719" t="s">
        <v>1270</v>
      </c>
      <c r="F9" s="729">
        <f ca="1">INDIRECT("'数据-取费表'!w"&amp;$G$1)</f>
        <v>0.15</v>
      </c>
      <c r="G9" s="1668"/>
      <c r="H9" s="2010"/>
      <c r="I9" s="3684"/>
      <c r="J9" s="723"/>
      <c r="K9" s="724"/>
      <c r="L9" s="730" t="s">
        <v>1270</v>
      </c>
      <c r="M9" s="731">
        <f ca="1">INDIRECT("'数据-取费表'!ab"&amp;$G$1)</f>
        <v>0</v>
      </c>
    </row>
    <row r="10" spans="1:33" ht="18" customHeight="1">
      <c r="A10" s="1521" t="s">
        <v>1810</v>
      </c>
      <c r="B10" s="1999" t="s">
        <v>1803</v>
      </c>
      <c r="C10" s="734">
        <f ca="1">ROUND(IF(F10="押一",C6/12*F11,IF(F10="押二",C6/12*2*F11,IF(F10="押三",C6/12*3*F11,C11*F11))),0)</f>
        <v>18</v>
      </c>
      <c r="D10" s="2006" t="s">
        <v>2227</v>
      </c>
      <c r="E10" s="2003" t="s">
        <v>1808</v>
      </c>
      <c r="F10" s="2076" t="s">
        <v>3348</v>
      </c>
      <c r="G10" s="1668"/>
      <c r="H10" s="2037" t="s">
        <v>1813</v>
      </c>
      <c r="I10" s="2041" t="s">
        <v>1803</v>
      </c>
      <c r="J10" s="718">
        <f ca="1">ROUND(IF(M10="押一",J6/12*M11,IF(M10="押二",J6/12*2*M11,IF(M10="押三",J6/12*3*M11,J11*M11))),0)</f>
        <v>0</v>
      </c>
      <c r="K10" s="2006" t="s">
        <v>2227</v>
      </c>
      <c r="L10" s="2003" t="s">
        <v>1808</v>
      </c>
      <c r="M10" s="2076"/>
    </row>
    <row r="11" spans="1:33" ht="18" customHeight="1">
      <c r="A11" s="725"/>
      <c r="B11" s="2000" t="s">
        <v>1856</v>
      </c>
      <c r="C11" s="2004"/>
      <c r="D11" s="724"/>
      <c r="E11" s="2003" t="s">
        <v>1809</v>
      </c>
      <c r="F11" s="731">
        <f ca="1">'数据-取费表'!B39</f>
        <v>1.4999999999999999E-2</v>
      </c>
      <c r="G11" s="1668"/>
      <c r="H11" s="2038"/>
      <c r="I11" s="2000" t="s">
        <v>1856</v>
      </c>
      <c r="J11" s="2004"/>
      <c r="K11" s="287"/>
      <c r="L11" s="2003" t="s">
        <v>1809</v>
      </c>
      <c r="M11" s="1997">
        <f ca="1">'数据-取费表'!B39</f>
        <v>1.4999999999999999E-2</v>
      </c>
    </row>
    <row r="12" spans="1:33" ht="18" customHeight="1" thickBot="1">
      <c r="A12" s="2013" t="s">
        <v>1811</v>
      </c>
      <c r="B12" s="2014" t="s">
        <v>1804</v>
      </c>
      <c r="C12" s="2015"/>
      <c r="D12" s="2016"/>
      <c r="E12" s="2017"/>
      <c r="F12" s="2018"/>
      <c r="G12" s="1668"/>
      <c r="H12" s="2027" t="s">
        <v>1814</v>
      </c>
      <c r="I12" s="2039" t="s">
        <v>1804</v>
      </c>
      <c r="J12" s="2040"/>
      <c r="K12" s="2016"/>
      <c r="L12" s="2017"/>
      <c r="M12" s="2030"/>
    </row>
    <row r="13" spans="1:33" ht="18" customHeight="1" thickTop="1">
      <c r="A13" s="1520">
        <v>2</v>
      </c>
      <c r="B13" s="1518" t="s">
        <v>1271</v>
      </c>
      <c r="C13" s="727">
        <f ca="1">ROUND(C29*F13,0)</f>
        <v>122095</v>
      </c>
      <c r="D13" s="1525" t="s">
        <v>1654</v>
      </c>
      <c r="E13" s="1525" t="s">
        <v>1273</v>
      </c>
      <c r="F13" s="2012">
        <f ca="1">INDIRECT("'数据-取费表'!y"&amp;$G$1)</f>
        <v>1</v>
      </c>
      <c r="G13" s="1668"/>
      <c r="H13" s="1520">
        <v>2</v>
      </c>
      <c r="I13" s="1518" t="s">
        <v>1271</v>
      </c>
      <c r="J13" s="1512">
        <f ca="1">ROUND(J14*J15,0)</f>
        <v>0</v>
      </c>
      <c r="K13" s="1514" t="s">
        <v>1272</v>
      </c>
      <c r="L13" s="2028"/>
      <c r="M13" s="2029"/>
    </row>
    <row r="14" spans="1:33" ht="18" customHeight="1">
      <c r="A14" s="1368" t="s">
        <v>1409</v>
      </c>
      <c r="B14" s="719" t="s">
        <v>593</v>
      </c>
      <c r="C14" s="739">
        <f ca="1">INDIRECT("'数据-取费表'!m"&amp;$G$1)+INDIRECT("'数据-取费表'!t"&amp;$G$1)</f>
        <v>80222</v>
      </c>
      <c r="D14" s="905" t="s">
        <v>1274</v>
      </c>
      <c r="E14" s="904"/>
      <c r="F14" s="740"/>
      <c r="G14" s="1668"/>
      <c r="H14" s="1369" t="s">
        <v>1359</v>
      </c>
      <c r="I14" s="1825" t="s">
        <v>2103</v>
      </c>
      <c r="J14" s="49">
        <f ca="1">C29</f>
        <v>122095</v>
      </c>
      <c r="K14" s="22"/>
      <c r="L14" s="736"/>
      <c r="M14" s="737"/>
    </row>
    <row r="15" spans="1:33" s="1676" customFormat="1" ht="18" customHeight="1" thickBot="1">
      <c r="A15" s="1368" t="s">
        <v>1410</v>
      </c>
      <c r="B15" s="719" t="s">
        <v>595</v>
      </c>
      <c r="C15" s="49">
        <f ca="1">ROUND(C14*F15,0)</f>
        <v>2407</v>
      </c>
      <c r="D15" s="741" t="s">
        <v>1275</v>
      </c>
      <c r="E15" s="741" t="s">
        <v>1276</v>
      </c>
      <c r="F15" s="742">
        <f>'数据-取费表'!B33</f>
        <v>0.03</v>
      </c>
      <c r="G15" s="2762"/>
      <c r="H15" s="2027" t="s">
        <v>1414</v>
      </c>
      <c r="I15" s="2022" t="s">
        <v>1273</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1411</v>
      </c>
      <c r="B16" s="719" t="s">
        <v>598</v>
      </c>
      <c r="C16" s="49">
        <f ca="1">ROUND(INDIRECT("'数据-取费表'!m"&amp;$G$1)*F16,0)</f>
        <v>0</v>
      </c>
      <c r="D16" s="719" t="s">
        <v>1275</v>
      </c>
      <c r="E16" s="719" t="s">
        <v>1276</v>
      </c>
      <c r="F16" s="744">
        <f ca="1">IF(INDIRECT("'数据-取费表'!c"&amp;$G$1)="住宅",'数据-取费表'!B34,0)</f>
        <v>0</v>
      </c>
      <c r="G16" s="1668"/>
      <c r="H16" s="1520" t="s">
        <v>1277</v>
      </c>
      <c r="I16" s="1518" t="s">
        <v>1278</v>
      </c>
      <c r="J16" s="727">
        <f ca="1">ROUND(J17+J22+J23+J24,0)</f>
        <v>1247</v>
      </c>
      <c r="K16" s="1514" t="s">
        <v>1279</v>
      </c>
      <c r="L16" s="908"/>
      <c r="M16" s="1996"/>
    </row>
    <row r="17" spans="1:33" s="1676" customFormat="1" ht="18" customHeight="1">
      <c r="A17" s="1368" t="s">
        <v>1412</v>
      </c>
      <c r="B17" s="719" t="s">
        <v>601</v>
      </c>
      <c r="C17" s="49">
        <f ca="1">ROUND(F17*(F43+INDIRECT("'数据-取费表'!S"&amp;$G$1))/10000,0)</f>
        <v>4541</v>
      </c>
      <c r="D17" s="719" t="s">
        <v>1280</v>
      </c>
      <c r="E17" s="719" t="s">
        <v>1281</v>
      </c>
      <c r="F17" s="52">
        <f>'数据-取费表'!B35</f>
        <v>150</v>
      </c>
      <c r="G17" s="2762"/>
      <c r="H17" s="1369" t="s">
        <v>1359</v>
      </c>
      <c r="I17" s="719" t="s">
        <v>604</v>
      </c>
      <c r="J17" s="2555">
        <f ca="1">ROUND(IF(AND(项目基本情况!B11="自然人",项目基本情况!B10="北京市"),J6*M17/(1+'数据-取费表'!C42),J18+J19+J20),2)</f>
        <v>25.95</v>
      </c>
      <c r="K17" s="905" t="s">
        <v>1282</v>
      </c>
      <c r="L17" s="906" t="s">
        <v>1283</v>
      </c>
      <c r="M17" s="2554">
        <f ca="1">IF(项目基本情况!B11="企业","——",IF('数据-取费表'!B10="住宅",IF(M6*M7*M8/12/(1+'数据-取费表'!F30)&gt;100000,4%,2.5%),IF(M6*M7*M8/12/(1+'数据-取费表'!F30)&gt;100000,12%,7%)))</f>
        <v>7.0000000000000007E-2</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9" t="s">
        <v>607</v>
      </c>
      <c r="C18" s="49">
        <f ca="1">ROUND(C14*F18,0)</f>
        <v>1203</v>
      </c>
      <c r="D18" s="719" t="s">
        <v>1275</v>
      </c>
      <c r="E18" s="719" t="s">
        <v>1276</v>
      </c>
      <c r="F18" s="744">
        <f>'数据-取费表'!B36</f>
        <v>1.4999999999999999E-2</v>
      </c>
      <c r="G18" s="2762"/>
      <c r="H18" s="1368" t="s">
        <v>1409</v>
      </c>
      <c r="I18" s="719" t="s">
        <v>1284</v>
      </c>
      <c r="J18" s="49">
        <f ca="1">ROUND(J6*M18/(1+'数据-取费表'!C42),2)</f>
        <v>0</v>
      </c>
      <c r="K18" s="906" t="s">
        <v>1285</v>
      </c>
      <c r="L18" s="719" t="s">
        <v>1276</v>
      </c>
      <c r="M18" s="744">
        <f>'数据-取费表'!B41</f>
        <v>5.6000000000000001E-2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1359</v>
      </c>
      <c r="B19" s="719" t="s">
        <v>610</v>
      </c>
      <c r="C19" s="49">
        <f ca="1">SUM(C14:C18)</f>
        <v>88373</v>
      </c>
      <c r="D19" s="241" t="s">
        <v>1286</v>
      </c>
      <c r="E19" s="914"/>
      <c r="F19" s="52"/>
      <c r="G19" s="1668"/>
      <c r="H19" s="1368" t="s">
        <v>1410</v>
      </c>
      <c r="I19" s="719" t="s">
        <v>1287</v>
      </c>
      <c r="J19" s="49">
        <f ca="1">IF(K19="按租金收入计税",ROUND(J6*M19/(1+'数据-取费表'!C42),1),ROUND(C29*F33*0.7,2))</f>
        <v>0</v>
      </c>
      <c r="K19" s="745" t="s">
        <v>3248</v>
      </c>
      <c r="L19" s="719" t="s">
        <v>1276</v>
      </c>
      <c r="M19" s="744">
        <f>IF(K19="按租金收入计税",'数据-取费表'!B51,'数据-取费表'!B50)</f>
        <v>0.12</v>
      </c>
    </row>
    <row r="20" spans="1:33" s="1676" customFormat="1" ht="18" customHeight="1">
      <c r="A20" s="1369" t="s">
        <v>1414</v>
      </c>
      <c r="B20" s="719" t="s">
        <v>613</v>
      </c>
      <c r="C20" s="49">
        <f ca="1">ROUND(C19*F20,0)</f>
        <v>1326</v>
      </c>
      <c r="D20" s="746" t="s">
        <v>1288</v>
      </c>
      <c r="E20" s="719" t="s">
        <v>1276</v>
      </c>
      <c r="F20" s="744">
        <f>'数据-取费表'!B37</f>
        <v>1.4999999999999999E-2</v>
      </c>
      <c r="G20" s="2762"/>
      <c r="H20" s="1371" t="s">
        <v>1405</v>
      </c>
      <c r="I20" s="315" t="s">
        <v>1289</v>
      </c>
      <c r="J20" s="50">
        <f ca="1">ROUND(M20*M21/10000,2)</f>
        <v>25.95</v>
      </c>
      <c r="K20" s="748" t="s">
        <v>1290</v>
      </c>
      <c r="L20" s="719" t="s">
        <v>1291</v>
      </c>
      <c r="M20" s="587">
        <f>'数据-取费表'!B52</f>
        <v>3</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9" t="s">
        <v>1292</v>
      </c>
      <c r="C21" s="49" t="s">
        <v>1293</v>
      </c>
      <c r="D21" s="746" t="s">
        <v>1655</v>
      </c>
      <c r="E21" s="719" t="s">
        <v>1294</v>
      </c>
      <c r="F21" s="744">
        <f>'数据-取费表'!B38</f>
        <v>1.4999999999999999E-2</v>
      </c>
      <c r="G21" s="2762"/>
      <c r="H21" s="2011"/>
      <c r="I21" s="728"/>
      <c r="J21" s="65"/>
      <c r="K21" s="750"/>
      <c r="L21" s="719" t="s">
        <v>1295</v>
      </c>
      <c r="M21" s="720">
        <f ca="1">INDIRECT("'数据-取费表'!r"&amp;$G$1)</f>
        <v>86493.04</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9" t="s">
        <v>1296</v>
      </c>
      <c r="C22" s="49"/>
      <c r="D22" s="2045" t="str">
        <f>IF(F23&lt;=1,"单利计息。","复利计息。")&amp;"建造成本、管理费用、销售费用产生的利息。"</f>
        <v>复利计息。建造成本、管理费用、销售费用产生的利息。</v>
      </c>
      <c r="E22" s="914"/>
      <c r="F22" s="52"/>
      <c r="G22" s="1668"/>
      <c r="H22" s="1369" t="s">
        <v>1414</v>
      </c>
      <c r="I22" s="719" t="s">
        <v>1297</v>
      </c>
      <c r="J22" s="49">
        <f ca="1">ROUND(J14*M22,2)</f>
        <v>1220.95</v>
      </c>
      <c r="K22" s="906" t="s">
        <v>1298</v>
      </c>
      <c r="L22" s="719" t="s">
        <v>1276</v>
      </c>
      <c r="M22" s="751">
        <f ca="1">INDIRECT("'数据-取费表'!Ak"&amp;$G$1)</f>
        <v>0.01</v>
      </c>
    </row>
    <row r="23" spans="1:33" s="1676" customFormat="1" ht="18" customHeight="1">
      <c r="A23" s="1368" t="s">
        <v>1360</v>
      </c>
      <c r="B23" s="719" t="s">
        <v>1818</v>
      </c>
      <c r="C23" s="49">
        <f ca="1">ROUND(IF('数据-取费表'!B22&lt;=1,(C19+C20)*F24*F23/2,(C19+C20)*(POWER((1+F24),F23/2)-1)),0)</f>
        <v>5641</v>
      </c>
      <c r="D23" s="2044" t="str">
        <f>IF(F23&lt;=1,"(建造成本+管理费用)×利率×(建设周期÷2)","(建造成本+管理费用)×((1+利率)^(建设周期÷2)-1)")</f>
        <v>(建造成本+管理费用)×((1+利率)^(建设周期÷2)-1)</v>
      </c>
      <c r="E23" s="719" t="s">
        <v>1299</v>
      </c>
      <c r="F23" s="587">
        <f>'数据-取费表'!B20</f>
        <v>3</v>
      </c>
      <c r="G23" s="2762"/>
      <c r="H23" s="1369" t="s">
        <v>1415</v>
      </c>
      <c r="I23" s="719" t="s">
        <v>626</v>
      </c>
      <c r="J23" s="49">
        <f ca="1">ROUND(J13*M23,2)</f>
        <v>0</v>
      </c>
      <c r="K23" s="906" t="s">
        <v>1300</v>
      </c>
      <c r="L23" s="719" t="s">
        <v>1276</v>
      </c>
      <c r="M23" s="752">
        <f ca="1">INDIRECT("'数据-取费表'!Al"&amp;$G$1)</f>
        <v>1.5E-3</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9" t="s">
        <v>1301</v>
      </c>
      <c r="C24" s="49">
        <f ca="1">ROUND(IF('数据-取费表'!B22&lt;=1,F21*F24*F23/2,F21*(POWER((1+F24),F23/2)-1)),4)</f>
        <v>8.9999999999999998E-4</v>
      </c>
      <c r="D24" s="2044" t="str">
        <f>IF(F23&lt;=1,"销售费用×利率×(建设周期÷2)","销售费用×((1+利率)^(建设周期÷2)-1)")</f>
        <v>销售费用×((1+利率)^(建设周期÷2)-1)</v>
      </c>
      <c r="E24" s="719" t="s">
        <v>1302</v>
      </c>
      <c r="F24" s="753">
        <f ca="1">'数据-取费表'!B40</f>
        <v>4.1499999999999995E-2</v>
      </c>
      <c r="G24" s="2762"/>
      <c r="H24" s="2027" t="s">
        <v>1416</v>
      </c>
      <c r="I24" s="2022" t="s">
        <v>613</v>
      </c>
      <c r="J24" s="2020">
        <f ca="1">ROUND(J5*M24,2)</f>
        <v>0</v>
      </c>
      <c r="K24" s="2021" t="s">
        <v>1303</v>
      </c>
      <c r="L24" s="2022" t="s">
        <v>1276</v>
      </c>
      <c r="M24" s="2018">
        <f ca="1">INDIRECT("'数据-取费表'!Am"&amp;$G$1)</f>
        <v>0.01</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9" t="s">
        <v>631</v>
      </c>
      <c r="C25" s="49"/>
      <c r="D25" s="241" t="s">
        <v>1304</v>
      </c>
      <c r="E25" s="914"/>
      <c r="F25" s="52"/>
      <c r="G25" s="1668"/>
      <c r="H25" s="1520" t="s">
        <v>1305</v>
      </c>
      <c r="I25" s="2297" t="s">
        <v>2099</v>
      </c>
      <c r="J25" s="727">
        <f ca="1">J5-J16</f>
        <v>-1247</v>
      </c>
      <c r="K25" s="2024" t="s">
        <v>1306</v>
      </c>
      <c r="L25" s="2025"/>
      <c r="M25" s="2026"/>
    </row>
    <row r="26" spans="1:33" ht="18" customHeight="1">
      <c r="A26" s="1368" t="s">
        <v>1360</v>
      </c>
      <c r="B26" s="719" t="s">
        <v>1785</v>
      </c>
      <c r="C26" s="49">
        <f ca="1">ROUND((C19+C20)*F26,0)</f>
        <v>17940</v>
      </c>
      <c r="D26" s="746" t="s">
        <v>1307</v>
      </c>
      <c r="E26" s="730" t="s">
        <v>1308</v>
      </c>
      <c r="F26" s="729">
        <f ca="1">INDIRECT("'数据-取费表'!q"&amp;$G$1)</f>
        <v>0.2</v>
      </c>
      <c r="G26" s="1668"/>
      <c r="H26" s="2007" t="s">
        <v>1309</v>
      </c>
      <c r="I26" s="1826" t="s">
        <v>2104</v>
      </c>
      <c r="J26" s="718">
        <f ca="1">IF(J5&lt;&gt;0,ROUND(J25*(1-((1+M28)/(1+M26))^M27)/(M26-M28),0),0)</f>
        <v>0</v>
      </c>
      <c r="K26" s="748" t="s">
        <v>1310</v>
      </c>
      <c r="L26" s="719" t="s">
        <v>1773</v>
      </c>
      <c r="M26" s="729">
        <f ca="1">INDIRECT("'数据-取费表'!I"&amp;$G$1)</f>
        <v>5.5E-2</v>
      </c>
    </row>
    <row r="27" spans="1:33" ht="18" customHeight="1">
      <c r="A27" s="1368" t="s">
        <v>1361</v>
      </c>
      <c r="B27" s="719" t="s">
        <v>633</v>
      </c>
      <c r="C27" s="49">
        <f ca="1">ROUND(F21*F26,4)</f>
        <v>3.0000000000000001E-3</v>
      </c>
      <c r="D27" s="746" t="s">
        <v>1311</v>
      </c>
      <c r="E27" s="741"/>
      <c r="F27" s="742"/>
      <c r="G27" s="1668"/>
      <c r="H27" s="2008"/>
      <c r="I27" s="722"/>
      <c r="J27" s="723"/>
      <c r="K27" s="755" t="s">
        <v>1312</v>
      </c>
      <c r="L27" s="719" t="s">
        <v>1313</v>
      </c>
      <c r="M27" s="756">
        <f ca="1">INDIRECT("'数据-取费表'!ag"&amp;$G$1)</f>
        <v>0</v>
      </c>
    </row>
    <row r="28" spans="1:33" s="1676" customFormat="1" ht="18" customHeight="1">
      <c r="A28" s="1370" t="s">
        <v>1370</v>
      </c>
      <c r="B28" s="719" t="s">
        <v>634</v>
      </c>
      <c r="C28" s="49">
        <f>ROUND(F28/(1+'数据-取费表'!C42),4)</f>
        <v>5.33E-2</v>
      </c>
      <c r="D28" s="746" t="s">
        <v>1656</v>
      </c>
      <c r="E28" s="719" t="s">
        <v>1314</v>
      </c>
      <c r="F28" s="744">
        <f>'数据-取费表'!B41</f>
        <v>5.6000000000000001E-2</v>
      </c>
      <c r="G28" s="2762"/>
      <c r="H28" s="1520"/>
      <c r="I28" s="726"/>
      <c r="J28" s="727"/>
      <c r="K28" s="750"/>
      <c r="L28" s="719" t="s">
        <v>1315</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1657</v>
      </c>
      <c r="C29" s="2020">
        <f ca="1">ROUND((C19+C20+C23+C26)/(1-F21-C24-C27-C28),0)</f>
        <v>122095</v>
      </c>
      <c r="D29" s="2021"/>
      <c r="E29" s="2022"/>
      <c r="F29" s="2023"/>
      <c r="G29" s="2762"/>
      <c r="H29" s="757" t="s">
        <v>1316</v>
      </c>
      <c r="I29" s="758" t="s">
        <v>1317</v>
      </c>
      <c r="J29" s="759">
        <f ca="1">ROUND(J26/(1+F40)^F41,0)</f>
        <v>0</v>
      </c>
      <c r="K29" s="760" t="s">
        <v>1318</v>
      </c>
      <c r="L29" s="761"/>
      <c r="M29" s="762">
        <f ca="1">INDIRECT("'数据-取费表'!k"&amp;$G$1)</f>
        <v>302725.5</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1418</v>
      </c>
      <c r="B30" s="1518" t="s">
        <v>1319</v>
      </c>
      <c r="C30" s="727">
        <f ca="1">ROUND(C31+C36+C37+C38,0)</f>
        <v>3933</v>
      </c>
      <c r="D30" s="1514" t="s">
        <v>1320</v>
      </c>
      <c r="E30" s="908"/>
      <c r="F30" s="1996"/>
      <c r="G30" s="1668"/>
      <c r="H30" s="1677"/>
      <c r="I30" s="1678"/>
      <c r="J30" s="1679"/>
      <c r="K30" s="1636"/>
      <c r="L30" s="1680"/>
      <c r="M30" s="1681"/>
    </row>
    <row r="31" spans="1:33" ht="18" customHeight="1">
      <c r="A31" s="1369" t="s">
        <v>1359</v>
      </c>
      <c r="B31" s="719" t="s">
        <v>604</v>
      </c>
      <c r="C31" s="2555">
        <f ca="1">ROUND(IF(AND(项目基本情况!B11="自然人",项目基本情况!B10="北京市"),C6*F31/(1+'数据-取费表'!C42),C32+C33+C34),2)</f>
        <v>2387.37</v>
      </c>
      <c r="D31" s="905" t="s">
        <v>1321</v>
      </c>
      <c r="E31" s="906" t="s">
        <v>1322</v>
      </c>
      <c r="F31" s="2554">
        <f ca="1">IF(项目基本情况!B11="企业","——",IF(M47="住宅",IF(F6*F7*F8/12/(1+'数据-取费表'!F30)&gt;100000,4%,2.5%),IF(F6*F7*F8/12/(1+'数据-取费表'!F30)&gt;100000,12%,7%)))</f>
        <v>0.12</v>
      </c>
      <c r="G31" s="1668"/>
      <c r="H31" s="2759" t="s">
        <v>2279</v>
      </c>
      <c r="I31" s="1678"/>
      <c r="J31" s="1679"/>
      <c r="K31" s="1636"/>
      <c r="L31" s="1680"/>
      <c r="M31" s="1681"/>
    </row>
    <row r="32" spans="1:33" ht="18" customHeight="1">
      <c r="A32" s="1368" t="s">
        <v>1360</v>
      </c>
      <c r="B32" s="719" t="s">
        <v>1323</v>
      </c>
      <c r="C32" s="49">
        <f ca="1">ROUND(C6*F32/(1+'数据-取费表'!C42),2)</f>
        <v>751.36</v>
      </c>
      <c r="D32" s="906" t="s">
        <v>1324</v>
      </c>
      <c r="E32" s="719" t="s">
        <v>1325</v>
      </c>
      <c r="F32" s="744">
        <f>'数据-取费表'!B41</f>
        <v>5.6000000000000001E-2</v>
      </c>
      <c r="G32" s="1668"/>
      <c r="H32" s="1682"/>
      <c r="I32" s="1683"/>
      <c r="J32" s="1684"/>
      <c r="K32" s="1685"/>
      <c r="L32" s="1686"/>
      <c r="M32" s="1687"/>
    </row>
    <row r="33" spans="1:18" ht="18" customHeight="1">
      <c r="A33" s="1368" t="s">
        <v>1361</v>
      </c>
      <c r="B33" s="719" t="s">
        <v>1326</v>
      </c>
      <c r="C33" s="49">
        <f ca="1">IF(D33="按租金收入计税",ROUND(C6*F33/(1+'数据-取费表'!C42),2),IF(D33="按房产原值计税",ROUND(C29*F33*0.7,2),INDIRECT("'数据-取费表'!Aj"&amp;$G$1)))</f>
        <v>1610.06</v>
      </c>
      <c r="D33" s="745" t="s">
        <v>3248</v>
      </c>
      <c r="E33" s="719" t="s">
        <v>1325</v>
      </c>
      <c r="F33" s="744">
        <f>IF(D33="按租金收入计税",'数据-取费表'!B51,'数据-取费表'!B50)</f>
        <v>0.12</v>
      </c>
      <c r="G33" s="1668"/>
      <c r="H33" s="1688"/>
      <c r="I33" s="1688"/>
      <c r="J33" s="1688"/>
      <c r="K33" s="1689"/>
      <c r="L33" s="1688"/>
      <c r="M33" s="1688"/>
    </row>
    <row r="34" spans="1:18" ht="18" customHeight="1">
      <c r="A34" s="1371" t="s">
        <v>1362</v>
      </c>
      <c r="B34" s="315" t="s">
        <v>1327</v>
      </c>
      <c r="C34" s="50">
        <f ca="1">ROUND(F34*F35/10000,2)</f>
        <v>25.95</v>
      </c>
      <c r="D34" s="748" t="s">
        <v>1328</v>
      </c>
      <c r="E34" s="719" t="s">
        <v>1329</v>
      </c>
      <c r="F34" s="587">
        <f>'数据-取费表'!B52</f>
        <v>3</v>
      </c>
      <c r="G34" s="1668"/>
      <c r="H34" s="1677"/>
      <c r="I34" s="769" t="s">
        <v>1342</v>
      </c>
      <c r="J34" s="770"/>
      <c r="K34" s="1691"/>
      <c r="L34" s="1690"/>
      <c r="M34" s="1690"/>
    </row>
    <row r="35" spans="1:18" ht="18" customHeight="1">
      <c r="A35" s="749"/>
      <c r="B35" s="728"/>
      <c r="C35" s="65"/>
      <c r="D35" s="750"/>
      <c r="E35" s="719" t="s">
        <v>1330</v>
      </c>
      <c r="F35" s="720">
        <f ca="1">INDIRECT("'数据-取费表'!r"&amp;$G$1)</f>
        <v>86493.04</v>
      </c>
      <c r="G35" s="1668"/>
      <c r="H35" s="1677"/>
      <c r="I35" s="771" t="s">
        <v>1343</v>
      </c>
      <c r="J35" s="772">
        <f ca="1">ROUND(C13*J36,0)</f>
        <v>9768</v>
      </c>
      <c r="K35" s="1689"/>
      <c r="L35" s="1688"/>
      <c r="M35" s="1688"/>
    </row>
    <row r="36" spans="1:18" ht="18" customHeight="1">
      <c r="A36" s="1369" t="s">
        <v>1414</v>
      </c>
      <c r="B36" s="719" t="s">
        <v>1331</v>
      </c>
      <c r="C36" s="49">
        <f ca="1">ROUND(C29*F36,2)</f>
        <v>1220.95</v>
      </c>
      <c r="D36" s="906" t="s">
        <v>1332</v>
      </c>
      <c r="E36" s="719" t="s">
        <v>1325</v>
      </c>
      <c r="F36" s="751">
        <f ca="1">INDIRECT("'数据-取费表'!Ak"&amp;$G$1)</f>
        <v>0.01</v>
      </c>
      <c r="G36" s="1668"/>
      <c r="H36" s="1688"/>
      <c r="I36" s="773" t="s">
        <v>1344</v>
      </c>
      <c r="J36" s="774">
        <f ca="1">INDIRECT("'数据-取费表'!j"&amp;$G$1)</f>
        <v>0.08</v>
      </c>
      <c r="K36" s="1692"/>
      <c r="L36" s="1688"/>
      <c r="M36" s="1688"/>
    </row>
    <row r="37" spans="1:18" ht="18" customHeight="1">
      <c r="A37" s="1369" t="s">
        <v>1415</v>
      </c>
      <c r="B37" s="719" t="s">
        <v>626</v>
      </c>
      <c r="C37" s="49">
        <f ca="1">ROUND(C13*F37,2)</f>
        <v>183.14</v>
      </c>
      <c r="D37" s="906" t="s">
        <v>1333</v>
      </c>
      <c r="E37" s="719" t="s">
        <v>1325</v>
      </c>
      <c r="F37" s="752">
        <f ca="1">INDIRECT("'数据-取费表'!Al"&amp;$G$1)</f>
        <v>1.5E-3</v>
      </c>
      <c r="G37" s="1668"/>
      <c r="H37" s="1688"/>
      <c r="I37" s="775" t="s">
        <v>1345</v>
      </c>
      <c r="J37" s="776"/>
      <c r="K37" s="1692"/>
      <c r="L37" s="1688"/>
      <c r="M37" s="1688"/>
    </row>
    <row r="38" spans="1:18" ht="18" customHeight="1" thickBot="1">
      <c r="A38" s="2027" t="s">
        <v>1416</v>
      </c>
      <c r="B38" s="2022" t="s">
        <v>613</v>
      </c>
      <c r="C38" s="2020">
        <f ca="1">ROUND(C5*F38,2)</f>
        <v>141.06</v>
      </c>
      <c r="D38" s="2021" t="s">
        <v>1334</v>
      </c>
      <c r="E38" s="2022" t="s">
        <v>1325</v>
      </c>
      <c r="F38" s="2018">
        <f ca="1">INDIRECT("'数据-取费表'!Am"&amp;$G$1)</f>
        <v>0.01</v>
      </c>
      <c r="G38" s="1668"/>
      <c r="H38" s="1688"/>
      <c r="I38" s="777" t="s">
        <v>1346</v>
      </c>
      <c r="J38" s="778"/>
      <c r="K38" s="1693"/>
      <c r="L38" s="1688"/>
      <c r="M38" s="1688"/>
    </row>
    <row r="39" spans="1:18" ht="24.6" customHeight="1" thickTop="1">
      <c r="A39" s="1520" t="s">
        <v>1419</v>
      </c>
      <c r="B39" s="2297" t="s">
        <v>2099</v>
      </c>
      <c r="C39" s="727">
        <f ca="1">C5-C30</f>
        <v>10173</v>
      </c>
      <c r="D39" s="2024" t="s">
        <v>1335</v>
      </c>
      <c r="E39" s="2025"/>
      <c r="F39" s="2026"/>
      <c r="G39" s="1668"/>
      <c r="H39" s="1688"/>
      <c r="I39" s="771" t="s">
        <v>1347</v>
      </c>
      <c r="J39" s="779">
        <f ca="1">ROUND(J35/C39,3)</f>
        <v>0.96</v>
      </c>
      <c r="K39" s="1693"/>
      <c r="L39" s="1688"/>
      <c r="M39" s="1688"/>
    </row>
    <row r="40" spans="1:18" ht="18" customHeight="1">
      <c r="A40" s="716" t="s">
        <v>1420</v>
      </c>
      <c r="B40" s="1826" t="s">
        <v>1658</v>
      </c>
      <c r="C40" s="718">
        <f ca="1">ROUND(C39*(1-((1+F42)/(1+F40))^F41)/(F40-F42),0)</f>
        <v>186066</v>
      </c>
      <c r="D40" s="748" t="s">
        <v>1336</v>
      </c>
      <c r="E40" s="719" t="s">
        <v>1773</v>
      </c>
      <c r="F40" s="729">
        <f ca="1">INDIRECT("'数据-取费表'!I"&amp;$G$1)</f>
        <v>5.5E-2</v>
      </c>
      <c r="G40" s="1668"/>
      <c r="H40" s="1668"/>
      <c r="I40" s="771" t="s">
        <v>1348</v>
      </c>
      <c r="J40" s="779">
        <f ca="1">1-J39</f>
        <v>4.0000000000000036E-2</v>
      </c>
      <c r="K40" s="1693"/>
      <c r="L40" s="1668"/>
      <c r="M40" s="1668"/>
    </row>
    <row r="41" spans="1:18" ht="18" customHeight="1">
      <c r="A41" s="721"/>
      <c r="B41" s="722"/>
      <c r="C41" s="723"/>
      <c r="D41" s="755" t="s">
        <v>1337</v>
      </c>
      <c r="E41" s="719" t="s">
        <v>2219</v>
      </c>
      <c r="F41" s="756">
        <f ca="1">IF(INDIRECT("'数据-取费表'!af"&amp;$G$1)=0,INDIRECT("'数据-取费表'!ae"&amp;$G$1),INDIRECT("'数据-取费表'!af"&amp;$G$1))</f>
        <v>27.58</v>
      </c>
      <c r="G41" s="1668"/>
      <c r="H41" s="1636"/>
      <c r="I41" s="777" t="s">
        <v>1349</v>
      </c>
      <c r="J41" s="780"/>
      <c r="K41" s="1692"/>
      <c r="L41" s="1636"/>
      <c r="M41" s="1636"/>
    </row>
    <row r="42" spans="1:18" ht="18" customHeight="1">
      <c r="A42" s="725"/>
      <c r="B42" s="726"/>
      <c r="C42" s="727"/>
      <c r="D42" s="750"/>
      <c r="E42" s="719" t="s">
        <v>1338</v>
      </c>
      <c r="F42" s="729">
        <f ca="1">INDIRECT("'数据-取费表'!v"&amp;$G$1)</f>
        <v>2.5000000000000001E-2</v>
      </c>
      <c r="G42" s="1668"/>
      <c r="H42" s="1636"/>
      <c r="I42" s="781" t="s">
        <v>1350</v>
      </c>
      <c r="J42" s="779">
        <f ca="1">ROUND(C13/C40,3)</f>
        <v>0.65600000000000003</v>
      </c>
      <c r="K42" s="1692"/>
      <c r="L42" s="1636"/>
      <c r="M42" s="1636"/>
    </row>
    <row r="43" spans="1:18" ht="18" customHeight="1" thickBot="1">
      <c r="A43" s="757" t="s">
        <v>1316</v>
      </c>
      <c r="B43" s="758" t="s">
        <v>1339</v>
      </c>
      <c r="C43" s="759">
        <f ca="1">ROUND(C40*10000/F43,0)</f>
        <v>6146</v>
      </c>
      <c r="D43" s="760" t="s">
        <v>1340</v>
      </c>
      <c r="E43" s="761" t="s">
        <v>1341</v>
      </c>
      <c r="F43" s="762">
        <f ca="1">INDIRECT("'数据-取费表'!k"&amp;$G$1)</f>
        <v>302725.5</v>
      </c>
      <c r="G43" s="1668"/>
      <c r="H43" s="1636"/>
      <c r="I43" s="781" t="s">
        <v>1351</v>
      </c>
      <c r="J43" s="782">
        <f ca="1">1-J42</f>
        <v>0.34399999999999997</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1652</v>
      </c>
      <c r="B46" s="1695"/>
      <c r="C46" s="1146">
        <f ca="1">C67-C40</f>
        <v>-206128</v>
      </c>
      <c r="D46" s="2763"/>
      <c r="E46" s="2763"/>
      <c r="F46" s="2763"/>
      <c r="I46" s="1939" t="s">
        <v>1697</v>
      </c>
      <c r="J46" s="1940"/>
      <c r="K46" s="1941"/>
      <c r="L46" s="2375">
        <f>IF(OR(M47="住宅",D1="土地（套用方法）"),0,IF(L48&gt;J51,L60,J60))</f>
        <v>0</v>
      </c>
      <c r="M46" s="2764"/>
      <c r="O46" s="1953" t="s">
        <v>1764</v>
      </c>
      <c r="P46" s="1144"/>
      <c r="Q46" s="1330"/>
      <c r="R46" s="1144"/>
    </row>
    <row r="47" spans="1:18" s="1672" customFormat="1" ht="18" customHeight="1" thickBot="1">
      <c r="A47" s="3382">
        <v>1</v>
      </c>
      <c r="B47" s="3383" t="s">
        <v>583</v>
      </c>
      <c r="C47" s="3384">
        <f ca="1">C48+C52+C54</f>
        <v>0</v>
      </c>
      <c r="D47" s="3385"/>
      <c r="E47" s="3385"/>
      <c r="F47" s="3386"/>
      <c r="I47" s="2367" t="s">
        <v>1698</v>
      </c>
      <c r="J47" s="1942" t="s">
        <v>3349</v>
      </c>
      <c r="K47" s="2372" t="s">
        <v>1703</v>
      </c>
      <c r="L47" s="2376">
        <f ca="1">INDIRECT("'数据-取费表'!d"&amp;$G$1)</f>
        <v>40</v>
      </c>
      <c r="M47" s="1330" t="str">
        <f>IF(ISNUMBER(FIND("住宅",C1)),"住宅","非住宅")</f>
        <v>非住宅</v>
      </c>
      <c r="O47" s="1954" t="s">
        <v>1729</v>
      </c>
      <c r="P47" s="1955" t="s">
        <v>1730</v>
      </c>
      <c r="Q47" s="1956" t="s">
        <v>1731</v>
      </c>
      <c r="R47" s="1955" t="s">
        <v>1732</v>
      </c>
    </row>
    <row r="48" spans="1:18" s="1672" customFormat="1" ht="18" customHeight="1" thickBot="1">
      <c r="A48" s="2084" t="s">
        <v>1820</v>
      </c>
      <c r="B48" s="2085" t="s">
        <v>1821</v>
      </c>
      <c r="C48" s="1935">
        <f ca="1">ROUND(F48*F50*F49*(1-F51)/10000,0)</f>
        <v>0</v>
      </c>
      <c r="D48" s="1936" t="s">
        <v>584</v>
      </c>
      <c r="E48" s="1937" t="s">
        <v>1653</v>
      </c>
      <c r="F48" s="1938">
        <f ca="1">M6</f>
        <v>0</v>
      </c>
      <c r="G48" s="1699"/>
      <c r="I48" s="2364" t="s">
        <v>1699</v>
      </c>
      <c r="J48" s="1943" t="s">
        <v>1704</v>
      </c>
      <c r="K48" s="2373" t="s">
        <v>1705</v>
      </c>
      <c r="L48" s="1567">
        <f ca="1">INDIRECT("'数据-取费表'!f"&amp;$G$1)</f>
        <v>30.58</v>
      </c>
      <c r="M48" s="2764"/>
      <c r="O48" s="1957" t="s">
        <v>1733</v>
      </c>
      <c r="P48" s="1958" t="s">
        <v>1759</v>
      </c>
      <c r="Q48" s="1959">
        <f ca="1">C40+J29</f>
        <v>186066</v>
      </c>
      <c r="R48" s="1958" t="s">
        <v>1734</v>
      </c>
    </row>
    <row r="49" spans="1:18" s="1672" customFormat="1" ht="18" customHeight="1" thickBot="1">
      <c r="A49" s="721"/>
      <c r="B49" s="722"/>
      <c r="C49" s="723"/>
      <c r="D49" s="724"/>
      <c r="E49" s="719" t="s">
        <v>1268</v>
      </c>
      <c r="F49" s="720">
        <f ca="1">F7</f>
        <v>302725.5</v>
      </c>
      <c r="G49" s="1699"/>
      <c r="H49" s="1702"/>
      <c r="I49" s="2364" t="s">
        <v>1700</v>
      </c>
      <c r="J49" s="1944">
        <v>2024</v>
      </c>
      <c r="K49" s="2374" t="s">
        <v>1706</v>
      </c>
      <c r="L49" s="1566"/>
      <c r="M49" s="2764"/>
      <c r="O49" s="1957" t="s">
        <v>1735</v>
      </c>
      <c r="P49" s="1958" t="s">
        <v>1760</v>
      </c>
      <c r="Q49" s="1959" t="str">
        <f ca="1">J60</f>
        <v>0</v>
      </c>
      <c r="R49" s="1958" t="s">
        <v>1736</v>
      </c>
    </row>
    <row r="50" spans="1:18" s="1672" customFormat="1" ht="18" customHeight="1" thickBot="1">
      <c r="A50" s="721"/>
      <c r="B50" s="722"/>
      <c r="C50" s="723"/>
      <c r="D50" s="724"/>
      <c r="E50" s="719" t="s">
        <v>1269</v>
      </c>
      <c r="F50" s="720">
        <f ca="1">F8</f>
        <v>365</v>
      </c>
      <c r="H50" s="1702"/>
      <c r="I50" s="2364" t="s">
        <v>1701</v>
      </c>
      <c r="J50" s="2371">
        <f>SUMPRODUCT((I63:I65=J47)*(J62:L62=J48)*(J63:L65))</f>
        <v>60</v>
      </c>
      <c r="K50" s="2374" t="s">
        <v>1707</v>
      </c>
      <c r="L50" s="1566"/>
      <c r="M50" s="2764"/>
      <c r="O50" s="1960" t="s">
        <v>1737</v>
      </c>
      <c r="P50" s="1958" t="s">
        <v>1761</v>
      </c>
      <c r="Q50" s="1959">
        <f ca="1">C29</f>
        <v>122095</v>
      </c>
      <c r="R50" s="1958" t="s">
        <v>1734</v>
      </c>
    </row>
    <row r="51" spans="1:18" s="1672" customFormat="1" ht="18" customHeight="1" thickBot="1">
      <c r="A51" s="721"/>
      <c r="B51" s="722"/>
      <c r="C51" s="723"/>
      <c r="D51" s="724"/>
      <c r="E51" s="719" t="s">
        <v>588</v>
      </c>
      <c r="F51" s="1934"/>
      <c r="H51" s="1702"/>
      <c r="I51" s="2368" t="s">
        <v>1702</v>
      </c>
      <c r="J51" s="1567">
        <f>IF(J49="",J50,J49+J50-YEAR('数据-取费表'!B2))</f>
        <v>61</v>
      </c>
      <c r="K51" s="2364" t="s">
        <v>1708</v>
      </c>
      <c r="L51" s="2377">
        <f ca="1">ROUND(-PV(INDIRECT("'数据-取费表'!h"&amp;$G$1),J51,(C39-C13*J36),0),0)</f>
        <v>7695</v>
      </c>
      <c r="M51" s="2764"/>
      <c r="O51" s="1960" t="s">
        <v>1738</v>
      </c>
      <c r="P51" s="1958" t="s">
        <v>1739</v>
      </c>
      <c r="Q51" s="1961" t="e">
        <f ca="1">J58</f>
        <v>#VALUE!</v>
      </c>
      <c r="R51" s="1962"/>
    </row>
    <row r="52" spans="1:18" s="1672" customFormat="1" ht="18" customHeight="1" thickBot="1">
      <c r="A52" s="716" t="s">
        <v>1819</v>
      </c>
      <c r="B52" s="1999" t="s">
        <v>1803</v>
      </c>
      <c r="C52" s="734">
        <f ca="1">ROUND(IF(F52="押一",C48/12*F11,IF(F52="押二",C48/12*2*F11,IF(F52="押三",C48/12*3*F11,C53*F11))),0)</f>
        <v>0</v>
      </c>
      <c r="D52" s="2006" t="s">
        <v>2228</v>
      </c>
      <c r="E52" s="2003" t="s">
        <v>1808</v>
      </c>
      <c r="F52" s="2076"/>
      <c r="I52" s="2369" t="s">
        <v>1775</v>
      </c>
      <c r="J52" s="1945">
        <v>7.4999999999999997E-2</v>
      </c>
      <c r="K52" s="2369" t="s">
        <v>1774</v>
      </c>
      <c r="L52" s="1945"/>
      <c r="M52" s="2764"/>
      <c r="O52" s="1960" t="s">
        <v>1740</v>
      </c>
      <c r="P52" s="1958" t="s">
        <v>1741</v>
      </c>
      <c r="Q52" s="1961">
        <f>J52</f>
        <v>7.4999999999999997E-2</v>
      </c>
      <c r="R52" s="1962"/>
    </row>
    <row r="53" spans="1:18" s="1672" customFormat="1" ht="39.75" customHeight="1" thickBot="1">
      <c r="A53" s="721"/>
      <c r="B53" s="2000" t="s">
        <v>1856</v>
      </c>
      <c r="C53" s="2004"/>
      <c r="D53" s="2006"/>
      <c r="E53" s="2003"/>
      <c r="F53" s="735"/>
      <c r="I53" s="2370" t="s">
        <v>2231</v>
      </c>
      <c r="J53" s="2416">
        <f ca="1">IF(M47="住宅",IF(D1="——",MAX(J51,L48),MAX(J51,L48-'数据-取费表'!B20)),IF(D1="——",MIN(J51,L48),MIN(J51,L48-'数据-取费表'!B20)))</f>
        <v>27.58</v>
      </c>
      <c r="K53" s="3688" t="s">
        <v>2221</v>
      </c>
      <c r="L53" s="3689"/>
      <c r="M53" s="2764"/>
      <c r="O53" s="1960" t="s">
        <v>1742</v>
      </c>
      <c r="P53" s="1958" t="s">
        <v>1743</v>
      </c>
      <c r="Q53" s="1959">
        <f ca="1">J53</f>
        <v>27.58</v>
      </c>
      <c r="R53" s="1958" t="s">
        <v>1744</v>
      </c>
    </row>
    <row r="54" spans="1:18" s="1672" customFormat="1" ht="18" customHeight="1" thickBot="1">
      <c r="A54" s="2013" t="s">
        <v>1811</v>
      </c>
      <c r="B54" s="2014" t="s">
        <v>1804</v>
      </c>
      <c r="C54" s="2015"/>
      <c r="D54" s="2006"/>
      <c r="E54" s="2003"/>
      <c r="F54" s="735"/>
      <c r="I54" s="1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6"/>
      <c r="M54" s="2764"/>
      <c r="O54" s="1957" t="s">
        <v>1745</v>
      </c>
      <c r="P54" s="1958" t="s">
        <v>1762</v>
      </c>
      <c r="Q54" s="1959">
        <f ca="1">Q48+Q49</f>
        <v>186066</v>
      </c>
      <c r="R54" s="1962" t="s">
        <v>1746</v>
      </c>
    </row>
    <row r="55" spans="1:18" s="1672" customFormat="1" ht="18" customHeight="1" thickTop="1" thickBot="1">
      <c r="A55" s="732">
        <v>2</v>
      </c>
      <c r="B55" s="733" t="s">
        <v>592</v>
      </c>
      <c r="C55" s="734">
        <f ca="1">C13</f>
        <v>122095</v>
      </c>
      <c r="D55" s="730"/>
      <c r="E55" s="730"/>
      <c r="F55" s="735"/>
      <c r="I55" s="2380" t="s">
        <v>1709</v>
      </c>
      <c r="J55" s="2353" t="e">
        <f ca="1">ROUND(IF(J47="钢混",J57/J50,1-(1-2%)*(J50-J57)/J50),3)</f>
        <v>#VALUE!</v>
      </c>
      <c r="K55" s="2381" t="s">
        <v>1710</v>
      </c>
      <c r="L55" s="1946"/>
      <c r="M55" s="2764"/>
      <c r="O55" s="1963" t="s">
        <v>1765</v>
      </c>
      <c r="P55" s="1144"/>
      <c r="Q55" s="1330"/>
      <c r="R55" s="1144"/>
    </row>
    <row r="56" spans="1:18" s="1672" customFormat="1" ht="42.75" customHeight="1" thickBot="1">
      <c r="A56" s="1370"/>
      <c r="B56" s="1825" t="s">
        <v>1659</v>
      </c>
      <c r="C56" s="49">
        <f ca="1">C29</f>
        <v>122095</v>
      </c>
      <c r="D56" s="906"/>
      <c r="E56" s="719"/>
      <c r="F56" s="744"/>
      <c r="I56" s="2382" t="s">
        <v>1711</v>
      </c>
      <c r="J56" s="2392" t="s">
        <v>3260</v>
      </c>
      <c r="K56" s="2364" t="s">
        <v>1716</v>
      </c>
      <c r="L56" s="1567" t="str">
        <f ca="1">IF(L48&lt;J51,"——",L48-J51)</f>
        <v>——</v>
      </c>
      <c r="M56" s="2764"/>
      <c r="O56" s="1954" t="s">
        <v>1729</v>
      </c>
      <c r="P56" s="1955" t="s">
        <v>1730</v>
      </c>
      <c r="Q56" s="1956" t="s">
        <v>1731</v>
      </c>
      <c r="R56" s="1955" t="s">
        <v>1732</v>
      </c>
    </row>
    <row r="57" spans="1:18" s="1672" customFormat="1" ht="28.5" customHeight="1" thickBot="1">
      <c r="A57" s="732" t="s">
        <v>1277</v>
      </c>
      <c r="B57" s="733" t="s">
        <v>599</v>
      </c>
      <c r="C57" s="734">
        <f ca="1">ROUND(C58+C63+C64+C65,0)</f>
        <v>1430</v>
      </c>
      <c r="D57" s="22" t="s">
        <v>1279</v>
      </c>
      <c r="E57" s="914"/>
      <c r="F57" s="52"/>
      <c r="I57" s="2383" t="s">
        <v>1712</v>
      </c>
      <c r="J57" s="2384" t="str">
        <f ca="1">IF(OR(M47="住宅",J51&lt;L48,J56="是"),"——",J51-L48)</f>
        <v>——</v>
      </c>
      <c r="K57" s="2364" t="s">
        <v>1717</v>
      </c>
      <c r="L57" s="1567" t="str">
        <f ca="1">IF(L48&lt;J51,"——",IF(L55="比较法",L49,IF(L55="基准地价",L50,L51)))</f>
        <v>——</v>
      </c>
      <c r="M57" s="2764"/>
      <c r="O57" s="1957" t="s">
        <v>1733</v>
      </c>
      <c r="P57" s="1958" t="s">
        <v>1763</v>
      </c>
      <c r="Q57" s="1959">
        <f ca="1">C40+J29</f>
        <v>186066</v>
      </c>
      <c r="R57" s="1958" t="s">
        <v>1734</v>
      </c>
    </row>
    <row r="58" spans="1:18" s="1672" customFormat="1" ht="28.5" customHeight="1" thickBot="1">
      <c r="A58" s="1369" t="s">
        <v>1353</v>
      </c>
      <c r="B58" s="719" t="s">
        <v>604</v>
      </c>
      <c r="C58" s="2555">
        <f ca="1">ROUND(IF(AND(项目基本情况!B11="自然人",项目基本情况!B10="北京市"),C48*F58/(1+'数据-取费表'!C42),C59+C60+C61),2)</f>
        <v>25.95</v>
      </c>
      <c r="D58" s="905" t="s">
        <v>605</v>
      </c>
      <c r="E58" s="906" t="s">
        <v>637</v>
      </c>
      <c r="F58" s="2554">
        <f ca="1">IF(项目基本情况!B11="企业","——",IF('数据-取费表'!B10="住宅",IF(F48*F49*F50/12/(1+'数据-取费表'!F30)&gt;100000,4%,2.5%),IF(F48*F49*F50/12/(1+'数据-取费表'!F30)&gt;100000,12%,7%)))</f>
        <v>7.0000000000000007E-2</v>
      </c>
      <c r="I58" s="2383" t="s">
        <v>1713</v>
      </c>
      <c r="J58" s="2354" t="e">
        <f ca="1">IF(J55&lt;0.4,0.4,J55)</f>
        <v>#VALUE!</v>
      </c>
      <c r="K58" s="2364" t="s">
        <v>1718</v>
      </c>
      <c r="L58" s="1567" t="e">
        <f ca="1">ROUND(POWER(1+L52,L47-L48)*(POWER(1+L52,L48)-1)/(POWER(1+L52,L47)-1),4)</f>
        <v>#DIV/0!</v>
      </c>
      <c r="M58" s="2764"/>
      <c r="O58" s="1957" t="s">
        <v>1735</v>
      </c>
      <c r="P58" s="1958" t="s">
        <v>1766</v>
      </c>
      <c r="Q58" s="1959">
        <f ca="1">L60</f>
        <v>0</v>
      </c>
      <c r="R58" s="1962" t="s">
        <v>1768</v>
      </c>
    </row>
    <row r="59" spans="1:18" s="1672" customFormat="1" ht="28.5" customHeight="1" thickBot="1">
      <c r="A59" s="1368" t="s">
        <v>1360</v>
      </c>
      <c r="B59" s="719" t="s">
        <v>608</v>
      </c>
      <c r="C59" s="49">
        <f ca="1">ROUND(C47*F59/1.05,2)</f>
        <v>0</v>
      </c>
      <c r="D59" s="906" t="s">
        <v>1285</v>
      </c>
      <c r="E59" s="719" t="s">
        <v>1276</v>
      </c>
      <c r="F59" s="744">
        <f t="shared" ref="F59:F65" si="0">F32</f>
        <v>5.6000000000000001E-2</v>
      </c>
      <c r="I59" s="2383" t="s">
        <v>1714</v>
      </c>
      <c r="J59" s="2384" t="str">
        <f ca="1">IF(OR(M47="住宅",J51&lt;L48,J56="是"),"——",ROUND(C29*J58,0))</f>
        <v>——</v>
      </c>
      <c r="K59" s="2364" t="str">
        <f>IF(D1="——","建筑物剩余耐用年限下的土地年期修正系数Kn","建设期及建筑物耐用年限下的土地年期修正系数Kn")</f>
        <v>建设期及建筑物耐用年限下的土地年期修正系数Kn</v>
      </c>
      <c r="L59" s="1567" t="e">
        <f ca="1">ROUND(IF(D1="土地（套用方法）",POWER(1+L52,L47-(J51+'数据-取费表'!B20))*(POWER(1+L52,(J51+'数据-取费表'!B20))-1)/(POWER(1+L52,L47)-1),POWER(1+L52,L47-J51)*(POWER(1+L52,J51)-1)/(POWER(1+L52,L47)-1)),4)</f>
        <v>#DIV/0!</v>
      </c>
      <c r="M59" s="2764"/>
      <c r="O59" s="1960" t="s">
        <v>1737</v>
      </c>
      <c r="P59" s="1958" t="s">
        <v>1767</v>
      </c>
      <c r="Q59" s="1959">
        <f>IF(L55="比较法",L49,IF(L55="基准地价",L50,0))</f>
        <v>0</v>
      </c>
      <c r="R59" s="1958" t="s">
        <v>1734</v>
      </c>
    </row>
    <row r="60" spans="1:18" s="1672" customFormat="1" ht="18" customHeight="1" thickBot="1">
      <c r="A60" s="1368" t="s">
        <v>1361</v>
      </c>
      <c r="B60" s="719" t="s">
        <v>1287</v>
      </c>
      <c r="C60" s="49">
        <f ca="1">IF(D60="按租金收入计税",ROUND(C48*F60/(1+'数据-取费表'!C42),2),IF(D60="按房产原值计税",ROUND(C56*F60*0.7,2),INDIRECT("'数据-取费表'!Aj"&amp;$G$1)))</f>
        <v>0</v>
      </c>
      <c r="D60" s="906" t="str">
        <f>D33</f>
        <v>按租金收入计税</v>
      </c>
      <c r="E60" s="719" t="s">
        <v>1276</v>
      </c>
      <c r="F60" s="744">
        <f t="shared" si="0"/>
        <v>0.12</v>
      </c>
      <c r="I60" s="2385" t="s">
        <v>1715</v>
      </c>
      <c r="J60" s="2386" t="str">
        <f ca="1">IF(OR(M47="住宅",J51&lt;L48,J56="是"),"0",ROUND(J59/(1+J52)^J53,0))</f>
        <v>0</v>
      </c>
      <c r="K60" s="2387" t="s">
        <v>1720</v>
      </c>
      <c r="L60" s="2386">
        <f ca="1">IF(OR(M47="住宅",L48&lt;J51),0,ROUND(L57*(L58/L59-1),0))</f>
        <v>0</v>
      </c>
      <c r="M60" s="2764"/>
      <c r="O60" s="1960" t="s">
        <v>1738</v>
      </c>
      <c r="P60" s="1958" t="s">
        <v>1747</v>
      </c>
      <c r="Q60" s="1961">
        <f>L52</f>
        <v>0</v>
      </c>
      <c r="R60" s="1962"/>
    </row>
    <row r="61" spans="1:18" s="1672" customFormat="1" ht="18" customHeight="1" thickBot="1">
      <c r="A61" s="1371" t="s">
        <v>1362</v>
      </c>
      <c r="B61" s="315" t="s">
        <v>615</v>
      </c>
      <c r="C61" s="50">
        <f ca="1">ROUND(F61*F62/10000,2)</f>
        <v>25.95</v>
      </c>
      <c r="D61" s="748" t="s">
        <v>616</v>
      </c>
      <c r="E61" s="719" t="s">
        <v>617</v>
      </c>
      <c r="F61" s="587">
        <f t="shared" si="0"/>
        <v>3</v>
      </c>
      <c r="K61" s="1696"/>
      <c r="O61" s="1960" t="s">
        <v>1740</v>
      </c>
      <c r="P61" s="1958" t="s">
        <v>1748</v>
      </c>
      <c r="Q61" s="1959" t="e">
        <f ca="1">L58</f>
        <v>#DIV/0!</v>
      </c>
      <c r="R61" s="1962" t="s">
        <v>1749</v>
      </c>
    </row>
    <row r="62" spans="1:18" s="1672" customFormat="1" ht="15.75" thickBot="1">
      <c r="A62" s="749"/>
      <c r="B62" s="728"/>
      <c r="C62" s="65"/>
      <c r="D62" s="750"/>
      <c r="E62" s="719" t="s">
        <v>621</v>
      </c>
      <c r="F62" s="720">
        <f t="shared" ca="1" si="0"/>
        <v>86493.04</v>
      </c>
      <c r="I62" s="2388" t="s">
        <v>1721</v>
      </c>
      <c r="J62" s="2389" t="s">
        <v>1722</v>
      </c>
      <c r="K62" s="2389" t="s">
        <v>1723</v>
      </c>
      <c r="L62" s="2389" t="s">
        <v>1704</v>
      </c>
      <c r="M62" s="2390" t="s">
        <v>2200</v>
      </c>
      <c r="O62" s="1960" t="s">
        <v>1742</v>
      </c>
      <c r="P62" s="1958" t="str">
        <f>K59</f>
        <v>建设期及建筑物耐用年限下的土地年期修正系数Kn</v>
      </c>
      <c r="Q62" s="1959" t="e">
        <f ca="1">L59</f>
        <v>#DIV/0!</v>
      </c>
      <c r="R62" s="1962" t="s">
        <v>1751</v>
      </c>
    </row>
    <row r="63" spans="1:18" s="1672" customFormat="1" ht="15.75" thickBot="1">
      <c r="A63" s="1369" t="s">
        <v>1414</v>
      </c>
      <c r="B63" s="719" t="s">
        <v>623</v>
      </c>
      <c r="C63" s="49">
        <f ca="1">ROUND(C56*F63,2)</f>
        <v>1220.95</v>
      </c>
      <c r="D63" s="906" t="s">
        <v>1332</v>
      </c>
      <c r="E63" s="719" t="s">
        <v>1276</v>
      </c>
      <c r="F63" s="751">
        <f t="shared" ca="1" si="0"/>
        <v>0.01</v>
      </c>
      <c r="I63" s="2388" t="s">
        <v>1724</v>
      </c>
      <c r="J63" s="2389">
        <v>70</v>
      </c>
      <c r="K63" s="2389">
        <v>50</v>
      </c>
      <c r="L63" s="2389">
        <v>80</v>
      </c>
      <c r="M63" s="2391">
        <v>0.02</v>
      </c>
      <c r="O63" s="1957" t="s">
        <v>1745</v>
      </c>
      <c r="P63" s="1958" t="s">
        <v>1762</v>
      </c>
      <c r="Q63" s="1959">
        <f ca="1">Q57+Q58</f>
        <v>186066</v>
      </c>
      <c r="R63" s="1962" t="s">
        <v>1746</v>
      </c>
    </row>
    <row r="64" spans="1:18" s="1672" customFormat="1" ht="16.5" thickBot="1">
      <c r="A64" s="1369" t="s">
        <v>1415</v>
      </c>
      <c r="B64" s="719" t="s">
        <v>626</v>
      </c>
      <c r="C64" s="49">
        <f ca="1">ROUND(C55*F64,2)</f>
        <v>183.14</v>
      </c>
      <c r="D64" s="906" t="s">
        <v>627</v>
      </c>
      <c r="E64" s="719" t="s">
        <v>1276</v>
      </c>
      <c r="F64" s="752">
        <f t="shared" ca="1" si="0"/>
        <v>1.5E-3</v>
      </c>
      <c r="I64" s="2388" t="s">
        <v>1725</v>
      </c>
      <c r="J64" s="2389">
        <v>50</v>
      </c>
      <c r="K64" s="2389">
        <v>35</v>
      </c>
      <c r="L64" s="2389">
        <v>60</v>
      </c>
      <c r="M64" s="780">
        <v>0</v>
      </c>
      <c r="O64" s="1963" t="s">
        <v>1769</v>
      </c>
      <c r="P64" s="1144"/>
      <c r="Q64" s="1330"/>
      <c r="R64" s="1144"/>
    </row>
    <row r="65" spans="1:18" s="1672" customFormat="1" ht="15.75" thickBot="1">
      <c r="A65" s="1369" t="s">
        <v>1416</v>
      </c>
      <c r="B65" s="719" t="s">
        <v>613</v>
      </c>
      <c r="C65" s="49">
        <f ca="1">ROUND(C47*F65,2)</f>
        <v>0</v>
      </c>
      <c r="D65" s="906" t="s">
        <v>630</v>
      </c>
      <c r="E65" s="719" t="s">
        <v>1276</v>
      </c>
      <c r="F65" s="729">
        <f t="shared" ca="1" si="0"/>
        <v>0.01</v>
      </c>
      <c r="I65" s="2388" t="s">
        <v>1726</v>
      </c>
      <c r="J65" s="2389">
        <v>40</v>
      </c>
      <c r="K65" s="2389">
        <v>30</v>
      </c>
      <c r="L65" s="2389">
        <v>50</v>
      </c>
      <c r="M65" s="2391">
        <v>0.02</v>
      </c>
      <c r="O65" s="1954" t="s">
        <v>1729</v>
      </c>
      <c r="P65" s="1955" t="s">
        <v>1730</v>
      </c>
      <c r="Q65" s="1956" t="s">
        <v>1731</v>
      </c>
      <c r="R65" s="1955" t="s">
        <v>1732</v>
      </c>
    </row>
    <row r="66" spans="1:18" s="1672" customFormat="1" ht="24.75" thickBot="1">
      <c r="A66" s="732" t="s">
        <v>1305</v>
      </c>
      <c r="B66" s="2298" t="s">
        <v>2099</v>
      </c>
      <c r="C66" s="734">
        <f ca="1">C47-C57</f>
        <v>-1430</v>
      </c>
      <c r="D66" s="905" t="s">
        <v>647</v>
      </c>
      <c r="E66" s="903"/>
      <c r="F66" s="754"/>
      <c r="K66" s="1696"/>
      <c r="O66" s="1957" t="s">
        <v>1733</v>
      </c>
      <c r="P66" s="1958" t="s">
        <v>1763</v>
      </c>
      <c r="Q66" s="1959">
        <f ca="1">C40+J29</f>
        <v>186066</v>
      </c>
      <c r="R66" s="1958" t="s">
        <v>1734</v>
      </c>
    </row>
    <row r="67" spans="1:18" s="1672" customFormat="1" ht="20.25" thickBot="1">
      <c r="A67" s="716" t="s">
        <v>1309</v>
      </c>
      <c r="B67" s="1826" t="s">
        <v>1658</v>
      </c>
      <c r="C67" s="718">
        <f ca="1">ROUND(C66*(1-((1+F69)/(1+F67))^F68)/(F67-F69),0)</f>
        <v>-20062</v>
      </c>
      <c r="D67" s="748" t="s">
        <v>651</v>
      </c>
      <c r="E67" s="719" t="s">
        <v>652</v>
      </c>
      <c r="F67" s="729">
        <f ca="1">F40</f>
        <v>5.5E-2</v>
      </c>
      <c r="K67" s="1696"/>
      <c r="O67" s="1957" t="s">
        <v>1735</v>
      </c>
      <c r="P67" s="1958" t="s">
        <v>1766</v>
      </c>
      <c r="Q67" s="1959">
        <f ca="1">L60</f>
        <v>0</v>
      </c>
      <c r="R67" s="1962" t="s">
        <v>1768</v>
      </c>
    </row>
    <row r="68" spans="1:18" ht="21.75" thickBot="1">
      <c r="A68" s="721"/>
      <c r="B68" s="722"/>
      <c r="C68" s="723"/>
      <c r="D68" s="755" t="s">
        <v>1337</v>
      </c>
      <c r="E68" s="719" t="s">
        <v>1313</v>
      </c>
      <c r="F68" s="756">
        <f ca="1">F41</f>
        <v>27.58</v>
      </c>
      <c r="O68" s="1960" t="s">
        <v>1737</v>
      </c>
      <c r="P68" s="1958" t="s">
        <v>1767</v>
      </c>
      <c r="Q68" s="1964">
        <f ca="1">L51</f>
        <v>7695</v>
      </c>
      <c r="R68" s="1965" t="s">
        <v>1770</v>
      </c>
    </row>
    <row r="69" spans="1:18" ht="20.25" thickBot="1">
      <c r="A69" s="725"/>
      <c r="B69" s="726"/>
      <c r="C69" s="727"/>
      <c r="D69" s="750"/>
      <c r="E69" s="719" t="s">
        <v>657</v>
      </c>
      <c r="F69" s="1934"/>
      <c r="O69" s="1960" t="s">
        <v>1738</v>
      </c>
      <c r="P69" s="1966" t="s">
        <v>1752</v>
      </c>
      <c r="Q69" s="1959">
        <f ca="1">ROUND(Q70-Q71*Q72,0)</f>
        <v>405</v>
      </c>
      <c r="R69" s="1962"/>
    </row>
    <row r="70" spans="1:18" ht="15.75" thickBot="1">
      <c r="A70" s="757" t="s">
        <v>1316</v>
      </c>
      <c r="B70" s="758" t="s">
        <v>1339</v>
      </c>
      <c r="C70" s="759">
        <f ca="1">ROUND(C67*10000/F70,0)</f>
        <v>-663</v>
      </c>
      <c r="D70" s="760" t="s">
        <v>1340</v>
      </c>
      <c r="E70" s="761" t="s">
        <v>1341</v>
      </c>
      <c r="F70" s="762">
        <f ca="1">F43</f>
        <v>302725.5</v>
      </c>
      <c r="O70" s="1960" t="s">
        <v>1753</v>
      </c>
      <c r="P70" s="1966" t="s">
        <v>1754</v>
      </c>
      <c r="Q70" s="1959">
        <f ca="1">C39</f>
        <v>10173</v>
      </c>
      <c r="R70" s="1958" t="s">
        <v>1734</v>
      </c>
    </row>
    <row r="71" spans="1:18" ht="15.75" thickBot="1">
      <c r="O71" s="1960" t="s">
        <v>1755</v>
      </c>
      <c r="P71" s="1966" t="s">
        <v>1756</v>
      </c>
      <c r="Q71" s="1959">
        <f ca="1">C13</f>
        <v>122095</v>
      </c>
      <c r="R71" s="1958" t="s">
        <v>1734</v>
      </c>
    </row>
    <row r="72" spans="1:18" ht="15.75" thickBot="1">
      <c r="O72" s="1960" t="s">
        <v>1757</v>
      </c>
      <c r="P72" s="1966" t="s">
        <v>1758</v>
      </c>
      <c r="Q72" s="1961">
        <f ca="1">J36</f>
        <v>0.08</v>
      </c>
      <c r="R72" s="1962"/>
    </row>
    <row r="73" spans="1:18" ht="15.75" thickBot="1">
      <c r="O73" s="1960" t="s">
        <v>1740</v>
      </c>
      <c r="P73" s="1958" t="s">
        <v>1747</v>
      </c>
      <c r="Q73" s="1961">
        <f>L52</f>
        <v>0</v>
      </c>
      <c r="R73" s="1962"/>
    </row>
    <row r="74" spans="1:18" ht="20.25" thickBot="1">
      <c r="O74" s="1960" t="s">
        <v>1742</v>
      </c>
      <c r="P74" s="1958" t="s">
        <v>1748</v>
      </c>
      <c r="Q74" s="1959" t="e">
        <f ca="1">L58</f>
        <v>#DIV/0!</v>
      </c>
      <c r="R74" s="1962" t="s">
        <v>1749</v>
      </c>
    </row>
    <row r="75" spans="1:18" ht="15.75" thickBot="1">
      <c r="O75" s="1960" t="s">
        <v>1771</v>
      </c>
      <c r="P75" s="1958" t="str">
        <f>K59</f>
        <v>建设期及建筑物耐用年限下的土地年期修正系数Kn</v>
      </c>
      <c r="Q75" s="1959" t="e">
        <f ca="1">L59</f>
        <v>#DIV/0!</v>
      </c>
      <c r="R75" s="1962" t="s">
        <v>1751</v>
      </c>
    </row>
    <row r="76" spans="1:18" ht="15.75" thickBot="1">
      <c r="O76" s="1957" t="s">
        <v>1745</v>
      </c>
      <c r="P76" s="1958" t="s">
        <v>1762</v>
      </c>
      <c r="Q76" s="1959">
        <f ca="1">Q66+Q67</f>
        <v>186066</v>
      </c>
      <c r="R76" s="1962"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C1:C3" xr:uid="{00000000-0002-0000-2000-000000000000}">
      <formula1>项目类型</formula1>
    </dataValidation>
    <dataValidation type="list" allowBlank="1" showInputMessage="1" showErrorMessage="1" sqref="K19" xr:uid="{00000000-0002-0000-2000-000001000000}">
      <formula1>"按租金收入计税,按房产原值计税"</formula1>
    </dataValidation>
    <dataValidation type="list" allowBlank="1" showInputMessage="1" showErrorMessage="1" sqref="D33" xr:uid="{00000000-0002-0000-2000-000002000000}">
      <formula1>"按租金收入计税,按房产原值计税,按票据"</formula1>
    </dataValidation>
    <dataValidation type="list" allowBlank="1" showInputMessage="1" showErrorMessage="1" sqref="J56" xr:uid="{00000000-0002-0000-2000-000003000000}">
      <formula1>估价范围判定</formula1>
    </dataValidation>
    <dataValidation type="list" allowBlank="1" showInputMessage="1" showErrorMessage="1" sqref="J47" xr:uid="{00000000-0002-0000-2000-000004000000}">
      <formula1>"钢,钢混,砖混"</formula1>
    </dataValidation>
    <dataValidation type="list" allowBlank="1" showInputMessage="1" showErrorMessage="1" sqref="J48" xr:uid="{00000000-0002-0000-2000-000005000000}">
      <formula1>"非生产用房,生产用房,受腐蚀的生产用房"</formula1>
    </dataValidation>
    <dataValidation type="list" allowBlank="1" showInputMessage="1" showErrorMessage="1" sqref="F10 M10 F52" xr:uid="{00000000-0002-0000-2000-000006000000}">
      <formula1>"押一,押二,押三,自定义"</formula1>
    </dataValidation>
    <dataValidation type="list" allowBlank="1" showInputMessage="1" showErrorMessage="1" sqref="D1" xr:uid="{00000000-0002-0000-20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W44"/>
  <sheetViews>
    <sheetView zoomScale="80" zoomScaleNormal="80" workbookViewId="0">
      <selection activeCell="T45" sqref="T45"/>
    </sheetView>
  </sheetViews>
  <sheetFormatPr defaultRowHeight="13.15" customHeight="1"/>
  <cols>
    <col min="1" max="1" width="9.5" style="2827" customWidth="1"/>
    <col min="2" max="2" width="8.875" style="2827"/>
    <col min="3" max="5" width="12.875" style="2827" customWidth="1"/>
    <col min="6" max="6" width="47.5" style="2827" customWidth="1"/>
    <col min="7" max="7" width="13" style="2821" customWidth="1"/>
    <col min="8" max="8" width="8.875" style="2821"/>
    <col min="9" max="9" width="8.875" style="2822"/>
    <col min="10" max="10" width="5.75" style="2982" customWidth="1"/>
    <col min="11" max="11" width="11.75" style="2982" customWidth="1"/>
    <col min="12" max="13" width="10.75" style="2982" customWidth="1"/>
    <col min="14" max="14" width="10" style="2982" customWidth="1"/>
    <col min="15" max="16" width="10.5" style="2982" bestFit="1" customWidth="1"/>
    <col min="17" max="17" width="10" style="2982" customWidth="1"/>
    <col min="18" max="18" width="10.125" style="2982" customWidth="1"/>
    <col min="19" max="19" width="10" style="2982" customWidth="1"/>
    <col min="20" max="20" width="26.125" style="2982" customWidth="1"/>
    <col min="21" max="21" width="8.875" style="2982"/>
    <col min="22" max="22" width="8.875" style="2822"/>
    <col min="23" max="256" width="8.875" style="2827"/>
    <col min="257" max="257" width="9.5" style="2827" customWidth="1"/>
    <col min="258" max="258" width="8.875" style="2827"/>
    <col min="259" max="261" width="12.875" style="2827" customWidth="1"/>
    <col min="262" max="262" width="47.5" style="2827" customWidth="1"/>
    <col min="263" max="263" width="13" style="2827" customWidth="1"/>
    <col min="264" max="265" width="8.875" style="2827"/>
    <col min="266" max="266" width="5.75" style="2827" customWidth="1"/>
    <col min="267" max="267" width="11.75" style="2827" customWidth="1"/>
    <col min="268" max="269" width="10.75" style="2827" customWidth="1"/>
    <col min="270" max="270" width="10" style="2827" customWidth="1"/>
    <col min="271" max="272" width="10.5" style="2827" bestFit="1" customWidth="1"/>
    <col min="273" max="273" width="10" style="2827" customWidth="1"/>
    <col min="274" max="274" width="10.125" style="2827" customWidth="1"/>
    <col min="275" max="275" width="10" style="2827" customWidth="1"/>
    <col min="276" max="276" width="26.125" style="2827" customWidth="1"/>
    <col min="277" max="512" width="8.875" style="2827"/>
    <col min="513" max="513" width="9.5" style="2827" customWidth="1"/>
    <col min="514" max="514" width="8.875" style="2827"/>
    <col min="515" max="517" width="12.875" style="2827" customWidth="1"/>
    <col min="518" max="518" width="47.5" style="2827" customWidth="1"/>
    <col min="519" max="519" width="13" style="2827" customWidth="1"/>
    <col min="520" max="521" width="8.875" style="2827"/>
    <col min="522" max="522" width="5.75" style="2827" customWidth="1"/>
    <col min="523" max="523" width="11.75" style="2827" customWidth="1"/>
    <col min="524" max="525" width="10.75" style="2827" customWidth="1"/>
    <col min="526" max="526" width="10" style="2827" customWidth="1"/>
    <col min="527" max="528" width="10.5" style="2827" bestFit="1" customWidth="1"/>
    <col min="529" max="529" width="10" style="2827" customWidth="1"/>
    <col min="530" max="530" width="10.125" style="2827" customWidth="1"/>
    <col min="531" max="531" width="10" style="2827" customWidth="1"/>
    <col min="532" max="532" width="26.125" style="2827" customWidth="1"/>
    <col min="533" max="768" width="8.875" style="2827"/>
    <col min="769" max="769" width="9.5" style="2827" customWidth="1"/>
    <col min="770" max="770" width="8.875" style="2827"/>
    <col min="771" max="773" width="12.875" style="2827" customWidth="1"/>
    <col min="774" max="774" width="47.5" style="2827" customWidth="1"/>
    <col min="775" max="775" width="13" style="2827" customWidth="1"/>
    <col min="776" max="777" width="8.875" style="2827"/>
    <col min="778" max="778" width="5.75" style="2827" customWidth="1"/>
    <col min="779" max="779" width="11.75" style="2827" customWidth="1"/>
    <col min="780" max="781" width="10.75" style="2827" customWidth="1"/>
    <col min="782" max="782" width="10" style="2827" customWidth="1"/>
    <col min="783" max="784" width="10.5" style="2827" bestFit="1" customWidth="1"/>
    <col min="785" max="785" width="10" style="2827" customWidth="1"/>
    <col min="786" max="786" width="10.125" style="2827" customWidth="1"/>
    <col min="787" max="787" width="10" style="2827" customWidth="1"/>
    <col min="788" max="788" width="26.125" style="2827" customWidth="1"/>
    <col min="789" max="1024" width="8.875" style="2827"/>
    <col min="1025" max="1025" width="9.5" style="2827" customWidth="1"/>
    <col min="1026" max="1026" width="8.875" style="2827"/>
    <col min="1027" max="1029" width="12.875" style="2827" customWidth="1"/>
    <col min="1030" max="1030" width="47.5" style="2827" customWidth="1"/>
    <col min="1031" max="1031" width="13" style="2827" customWidth="1"/>
    <col min="1032" max="1033" width="8.875" style="2827"/>
    <col min="1034" max="1034" width="5.75" style="2827" customWidth="1"/>
    <col min="1035" max="1035" width="11.75" style="2827" customWidth="1"/>
    <col min="1036" max="1037" width="10.75" style="2827" customWidth="1"/>
    <col min="1038" max="1038" width="10" style="2827" customWidth="1"/>
    <col min="1039" max="1040" width="10.5" style="2827" bestFit="1" customWidth="1"/>
    <col min="1041" max="1041" width="10" style="2827" customWidth="1"/>
    <col min="1042" max="1042" width="10.125" style="2827" customWidth="1"/>
    <col min="1043" max="1043" width="10" style="2827" customWidth="1"/>
    <col min="1044" max="1044" width="26.125" style="2827" customWidth="1"/>
    <col min="1045" max="1280" width="8.875" style="2827"/>
    <col min="1281" max="1281" width="9.5" style="2827" customWidth="1"/>
    <col min="1282" max="1282" width="8.875" style="2827"/>
    <col min="1283" max="1285" width="12.875" style="2827" customWidth="1"/>
    <col min="1286" max="1286" width="47.5" style="2827" customWidth="1"/>
    <col min="1287" max="1287" width="13" style="2827" customWidth="1"/>
    <col min="1288" max="1289" width="8.875" style="2827"/>
    <col min="1290" max="1290" width="5.75" style="2827" customWidth="1"/>
    <col min="1291" max="1291" width="11.75" style="2827" customWidth="1"/>
    <col min="1292" max="1293" width="10.75" style="2827" customWidth="1"/>
    <col min="1294" max="1294" width="10" style="2827" customWidth="1"/>
    <col min="1295" max="1296" width="10.5" style="2827" bestFit="1" customWidth="1"/>
    <col min="1297" max="1297" width="10" style="2827" customWidth="1"/>
    <col min="1298" max="1298" width="10.125" style="2827" customWidth="1"/>
    <col min="1299" max="1299" width="10" style="2827" customWidth="1"/>
    <col min="1300" max="1300" width="26.125" style="2827" customWidth="1"/>
    <col min="1301" max="1536" width="8.875" style="2827"/>
    <col min="1537" max="1537" width="9.5" style="2827" customWidth="1"/>
    <col min="1538" max="1538" width="8.875" style="2827"/>
    <col min="1539" max="1541" width="12.875" style="2827" customWidth="1"/>
    <col min="1542" max="1542" width="47.5" style="2827" customWidth="1"/>
    <col min="1543" max="1543" width="13" style="2827" customWidth="1"/>
    <col min="1544" max="1545" width="8.875" style="2827"/>
    <col min="1546" max="1546" width="5.75" style="2827" customWidth="1"/>
    <col min="1547" max="1547" width="11.75" style="2827" customWidth="1"/>
    <col min="1548" max="1549" width="10.75" style="2827" customWidth="1"/>
    <col min="1550" max="1550" width="10" style="2827" customWidth="1"/>
    <col min="1551" max="1552" width="10.5" style="2827" bestFit="1" customWidth="1"/>
    <col min="1553" max="1553" width="10" style="2827" customWidth="1"/>
    <col min="1554" max="1554" width="10.125" style="2827" customWidth="1"/>
    <col min="1555" max="1555" width="10" style="2827" customWidth="1"/>
    <col min="1556" max="1556" width="26.125" style="2827" customWidth="1"/>
    <col min="1557" max="1792" width="8.875" style="2827"/>
    <col min="1793" max="1793" width="9.5" style="2827" customWidth="1"/>
    <col min="1794" max="1794" width="8.875" style="2827"/>
    <col min="1795" max="1797" width="12.875" style="2827" customWidth="1"/>
    <col min="1798" max="1798" width="47.5" style="2827" customWidth="1"/>
    <col min="1799" max="1799" width="13" style="2827" customWidth="1"/>
    <col min="1800" max="1801" width="8.875" style="2827"/>
    <col min="1802" max="1802" width="5.75" style="2827" customWidth="1"/>
    <col min="1803" max="1803" width="11.75" style="2827" customWidth="1"/>
    <col min="1804" max="1805" width="10.75" style="2827" customWidth="1"/>
    <col min="1806" max="1806" width="10" style="2827" customWidth="1"/>
    <col min="1807" max="1808" width="10.5" style="2827" bestFit="1" customWidth="1"/>
    <col min="1809" max="1809" width="10" style="2827" customWidth="1"/>
    <col min="1810" max="1810" width="10.125" style="2827" customWidth="1"/>
    <col min="1811" max="1811" width="10" style="2827" customWidth="1"/>
    <col min="1812" max="1812" width="26.125" style="2827" customWidth="1"/>
    <col min="1813" max="2048" width="8.875" style="2827"/>
    <col min="2049" max="2049" width="9.5" style="2827" customWidth="1"/>
    <col min="2050" max="2050" width="8.875" style="2827"/>
    <col min="2051" max="2053" width="12.875" style="2827" customWidth="1"/>
    <col min="2054" max="2054" width="47.5" style="2827" customWidth="1"/>
    <col min="2055" max="2055" width="13" style="2827" customWidth="1"/>
    <col min="2056" max="2057" width="8.875" style="2827"/>
    <col min="2058" max="2058" width="5.75" style="2827" customWidth="1"/>
    <col min="2059" max="2059" width="11.75" style="2827" customWidth="1"/>
    <col min="2060" max="2061" width="10.75" style="2827" customWidth="1"/>
    <col min="2062" max="2062" width="10" style="2827" customWidth="1"/>
    <col min="2063" max="2064" width="10.5" style="2827" bestFit="1" customWidth="1"/>
    <col min="2065" max="2065" width="10" style="2827" customWidth="1"/>
    <col min="2066" max="2066" width="10.125" style="2827" customWidth="1"/>
    <col min="2067" max="2067" width="10" style="2827" customWidth="1"/>
    <col min="2068" max="2068" width="26.125" style="2827" customWidth="1"/>
    <col min="2069" max="2304" width="8.875" style="2827"/>
    <col min="2305" max="2305" width="9.5" style="2827" customWidth="1"/>
    <col min="2306" max="2306" width="8.875" style="2827"/>
    <col min="2307" max="2309" width="12.875" style="2827" customWidth="1"/>
    <col min="2310" max="2310" width="47.5" style="2827" customWidth="1"/>
    <col min="2311" max="2311" width="13" style="2827" customWidth="1"/>
    <col min="2312" max="2313" width="8.875" style="2827"/>
    <col min="2314" max="2314" width="5.75" style="2827" customWidth="1"/>
    <col min="2315" max="2315" width="11.75" style="2827" customWidth="1"/>
    <col min="2316" max="2317" width="10.75" style="2827" customWidth="1"/>
    <col min="2318" max="2318" width="10" style="2827" customWidth="1"/>
    <col min="2319" max="2320" width="10.5" style="2827" bestFit="1" customWidth="1"/>
    <col min="2321" max="2321" width="10" style="2827" customWidth="1"/>
    <col min="2322" max="2322" width="10.125" style="2827" customWidth="1"/>
    <col min="2323" max="2323" width="10" style="2827" customWidth="1"/>
    <col min="2324" max="2324" width="26.125" style="2827" customWidth="1"/>
    <col min="2325" max="2560" width="8.875" style="2827"/>
    <col min="2561" max="2561" width="9.5" style="2827" customWidth="1"/>
    <col min="2562" max="2562" width="8.875" style="2827"/>
    <col min="2563" max="2565" width="12.875" style="2827" customWidth="1"/>
    <col min="2566" max="2566" width="47.5" style="2827" customWidth="1"/>
    <col min="2567" max="2567" width="13" style="2827" customWidth="1"/>
    <col min="2568" max="2569" width="8.875" style="2827"/>
    <col min="2570" max="2570" width="5.75" style="2827" customWidth="1"/>
    <col min="2571" max="2571" width="11.75" style="2827" customWidth="1"/>
    <col min="2572" max="2573" width="10.75" style="2827" customWidth="1"/>
    <col min="2574" max="2574" width="10" style="2827" customWidth="1"/>
    <col min="2575" max="2576" width="10.5" style="2827" bestFit="1" customWidth="1"/>
    <col min="2577" max="2577" width="10" style="2827" customWidth="1"/>
    <col min="2578" max="2578" width="10.125" style="2827" customWidth="1"/>
    <col min="2579" max="2579" width="10" style="2827" customWidth="1"/>
    <col min="2580" max="2580" width="26.125" style="2827" customWidth="1"/>
    <col min="2581" max="2816" width="8.875" style="2827"/>
    <col min="2817" max="2817" width="9.5" style="2827" customWidth="1"/>
    <col min="2818" max="2818" width="8.875" style="2827"/>
    <col min="2819" max="2821" width="12.875" style="2827" customWidth="1"/>
    <col min="2822" max="2822" width="47.5" style="2827" customWidth="1"/>
    <col min="2823" max="2823" width="13" style="2827" customWidth="1"/>
    <col min="2824" max="2825" width="8.875" style="2827"/>
    <col min="2826" max="2826" width="5.75" style="2827" customWidth="1"/>
    <col min="2827" max="2827" width="11.75" style="2827" customWidth="1"/>
    <col min="2828" max="2829" width="10.75" style="2827" customWidth="1"/>
    <col min="2830" max="2830" width="10" style="2827" customWidth="1"/>
    <col min="2831" max="2832" width="10.5" style="2827" bestFit="1" customWidth="1"/>
    <col min="2833" max="2833" width="10" style="2827" customWidth="1"/>
    <col min="2834" max="2834" width="10.125" style="2827" customWidth="1"/>
    <col min="2835" max="2835" width="10" style="2827" customWidth="1"/>
    <col min="2836" max="2836" width="26.125" style="2827" customWidth="1"/>
    <col min="2837" max="3072" width="8.875" style="2827"/>
    <col min="3073" max="3073" width="9.5" style="2827" customWidth="1"/>
    <col min="3074" max="3074" width="8.875" style="2827"/>
    <col min="3075" max="3077" width="12.875" style="2827" customWidth="1"/>
    <col min="3078" max="3078" width="47.5" style="2827" customWidth="1"/>
    <col min="3079" max="3079" width="13" style="2827" customWidth="1"/>
    <col min="3080" max="3081" width="8.875" style="2827"/>
    <col min="3082" max="3082" width="5.75" style="2827" customWidth="1"/>
    <col min="3083" max="3083" width="11.75" style="2827" customWidth="1"/>
    <col min="3084" max="3085" width="10.75" style="2827" customWidth="1"/>
    <col min="3086" max="3086" width="10" style="2827" customWidth="1"/>
    <col min="3087" max="3088" width="10.5" style="2827" bestFit="1" customWidth="1"/>
    <col min="3089" max="3089" width="10" style="2827" customWidth="1"/>
    <col min="3090" max="3090" width="10.125" style="2827" customWidth="1"/>
    <col min="3091" max="3091" width="10" style="2827" customWidth="1"/>
    <col min="3092" max="3092" width="26.125" style="2827" customWidth="1"/>
    <col min="3093" max="3328" width="8.875" style="2827"/>
    <col min="3329" max="3329" width="9.5" style="2827" customWidth="1"/>
    <col min="3330" max="3330" width="8.875" style="2827"/>
    <col min="3331" max="3333" width="12.875" style="2827" customWidth="1"/>
    <col min="3334" max="3334" width="47.5" style="2827" customWidth="1"/>
    <col min="3335" max="3335" width="13" style="2827" customWidth="1"/>
    <col min="3336" max="3337" width="8.875" style="2827"/>
    <col min="3338" max="3338" width="5.75" style="2827" customWidth="1"/>
    <col min="3339" max="3339" width="11.75" style="2827" customWidth="1"/>
    <col min="3340" max="3341" width="10.75" style="2827" customWidth="1"/>
    <col min="3342" max="3342" width="10" style="2827" customWidth="1"/>
    <col min="3343" max="3344" width="10.5" style="2827" bestFit="1" customWidth="1"/>
    <col min="3345" max="3345" width="10" style="2827" customWidth="1"/>
    <col min="3346" max="3346" width="10.125" style="2827" customWidth="1"/>
    <col min="3347" max="3347" width="10" style="2827" customWidth="1"/>
    <col min="3348" max="3348" width="26.125" style="2827" customWidth="1"/>
    <col min="3349" max="3584" width="8.875" style="2827"/>
    <col min="3585" max="3585" width="9.5" style="2827" customWidth="1"/>
    <col min="3586" max="3586" width="8.875" style="2827"/>
    <col min="3587" max="3589" width="12.875" style="2827" customWidth="1"/>
    <col min="3590" max="3590" width="47.5" style="2827" customWidth="1"/>
    <col min="3591" max="3591" width="13" style="2827" customWidth="1"/>
    <col min="3592" max="3593" width="8.875" style="2827"/>
    <col min="3594" max="3594" width="5.75" style="2827" customWidth="1"/>
    <col min="3595" max="3595" width="11.75" style="2827" customWidth="1"/>
    <col min="3596" max="3597" width="10.75" style="2827" customWidth="1"/>
    <col min="3598" max="3598" width="10" style="2827" customWidth="1"/>
    <col min="3599" max="3600" width="10.5" style="2827" bestFit="1" customWidth="1"/>
    <col min="3601" max="3601" width="10" style="2827" customWidth="1"/>
    <col min="3602" max="3602" width="10.125" style="2827" customWidth="1"/>
    <col min="3603" max="3603" width="10" style="2827" customWidth="1"/>
    <col min="3604" max="3604" width="26.125" style="2827" customWidth="1"/>
    <col min="3605" max="3840" width="8.875" style="2827"/>
    <col min="3841" max="3841" width="9.5" style="2827" customWidth="1"/>
    <col min="3842" max="3842" width="8.875" style="2827"/>
    <col min="3843" max="3845" width="12.875" style="2827" customWidth="1"/>
    <col min="3846" max="3846" width="47.5" style="2827" customWidth="1"/>
    <col min="3847" max="3847" width="13" style="2827" customWidth="1"/>
    <col min="3848" max="3849" width="8.875" style="2827"/>
    <col min="3850" max="3850" width="5.75" style="2827" customWidth="1"/>
    <col min="3851" max="3851" width="11.75" style="2827" customWidth="1"/>
    <col min="3852" max="3853" width="10.75" style="2827" customWidth="1"/>
    <col min="3854" max="3854" width="10" style="2827" customWidth="1"/>
    <col min="3855" max="3856" width="10.5" style="2827" bestFit="1" customWidth="1"/>
    <col min="3857" max="3857" width="10" style="2827" customWidth="1"/>
    <col min="3858" max="3858" width="10.125" style="2827" customWidth="1"/>
    <col min="3859" max="3859" width="10" style="2827" customWidth="1"/>
    <col min="3860" max="3860" width="26.125" style="2827" customWidth="1"/>
    <col min="3861" max="4096" width="8.875" style="2827"/>
    <col min="4097" max="4097" width="9.5" style="2827" customWidth="1"/>
    <col min="4098" max="4098" width="8.875" style="2827"/>
    <col min="4099" max="4101" width="12.875" style="2827" customWidth="1"/>
    <col min="4102" max="4102" width="47.5" style="2827" customWidth="1"/>
    <col min="4103" max="4103" width="13" style="2827" customWidth="1"/>
    <col min="4104" max="4105" width="8.875" style="2827"/>
    <col min="4106" max="4106" width="5.75" style="2827" customWidth="1"/>
    <col min="4107" max="4107" width="11.75" style="2827" customWidth="1"/>
    <col min="4108" max="4109" width="10.75" style="2827" customWidth="1"/>
    <col min="4110" max="4110" width="10" style="2827" customWidth="1"/>
    <col min="4111" max="4112" width="10.5" style="2827" bestFit="1" customWidth="1"/>
    <col min="4113" max="4113" width="10" style="2827" customWidth="1"/>
    <col min="4114" max="4114" width="10.125" style="2827" customWidth="1"/>
    <col min="4115" max="4115" width="10" style="2827" customWidth="1"/>
    <col min="4116" max="4116" width="26.125" style="2827" customWidth="1"/>
    <col min="4117" max="4352" width="8.875" style="2827"/>
    <col min="4353" max="4353" width="9.5" style="2827" customWidth="1"/>
    <col min="4354" max="4354" width="8.875" style="2827"/>
    <col min="4355" max="4357" width="12.875" style="2827" customWidth="1"/>
    <col min="4358" max="4358" width="47.5" style="2827" customWidth="1"/>
    <col min="4359" max="4359" width="13" style="2827" customWidth="1"/>
    <col min="4360" max="4361" width="8.875" style="2827"/>
    <col min="4362" max="4362" width="5.75" style="2827" customWidth="1"/>
    <col min="4363" max="4363" width="11.75" style="2827" customWidth="1"/>
    <col min="4364" max="4365" width="10.75" style="2827" customWidth="1"/>
    <col min="4366" max="4366" width="10" style="2827" customWidth="1"/>
    <col min="4367" max="4368" width="10.5" style="2827" bestFit="1" customWidth="1"/>
    <col min="4369" max="4369" width="10" style="2827" customWidth="1"/>
    <col min="4370" max="4370" width="10.125" style="2827" customWidth="1"/>
    <col min="4371" max="4371" width="10" style="2827" customWidth="1"/>
    <col min="4372" max="4372" width="26.125" style="2827" customWidth="1"/>
    <col min="4373" max="4608" width="8.875" style="2827"/>
    <col min="4609" max="4609" width="9.5" style="2827" customWidth="1"/>
    <col min="4610" max="4610" width="8.875" style="2827"/>
    <col min="4611" max="4613" width="12.875" style="2827" customWidth="1"/>
    <col min="4614" max="4614" width="47.5" style="2827" customWidth="1"/>
    <col min="4615" max="4615" width="13" style="2827" customWidth="1"/>
    <col min="4616" max="4617" width="8.875" style="2827"/>
    <col min="4618" max="4618" width="5.75" style="2827" customWidth="1"/>
    <col min="4619" max="4619" width="11.75" style="2827" customWidth="1"/>
    <col min="4620" max="4621" width="10.75" style="2827" customWidth="1"/>
    <col min="4622" max="4622" width="10" style="2827" customWidth="1"/>
    <col min="4623" max="4624" width="10.5" style="2827" bestFit="1" customWidth="1"/>
    <col min="4625" max="4625" width="10" style="2827" customWidth="1"/>
    <col min="4626" max="4626" width="10.125" style="2827" customWidth="1"/>
    <col min="4627" max="4627" width="10" style="2827" customWidth="1"/>
    <col min="4628" max="4628" width="26.125" style="2827" customWidth="1"/>
    <col min="4629" max="4864" width="8.875" style="2827"/>
    <col min="4865" max="4865" width="9.5" style="2827" customWidth="1"/>
    <col min="4866" max="4866" width="8.875" style="2827"/>
    <col min="4867" max="4869" width="12.875" style="2827" customWidth="1"/>
    <col min="4870" max="4870" width="47.5" style="2827" customWidth="1"/>
    <col min="4871" max="4871" width="13" style="2827" customWidth="1"/>
    <col min="4872" max="4873" width="8.875" style="2827"/>
    <col min="4874" max="4874" width="5.75" style="2827" customWidth="1"/>
    <col min="4875" max="4875" width="11.75" style="2827" customWidth="1"/>
    <col min="4876" max="4877" width="10.75" style="2827" customWidth="1"/>
    <col min="4878" max="4878" width="10" style="2827" customWidth="1"/>
    <col min="4879" max="4880" width="10.5" style="2827" bestFit="1" customWidth="1"/>
    <col min="4881" max="4881" width="10" style="2827" customWidth="1"/>
    <col min="4882" max="4882" width="10.125" style="2827" customWidth="1"/>
    <col min="4883" max="4883" width="10" style="2827" customWidth="1"/>
    <col min="4884" max="4884" width="26.125" style="2827" customWidth="1"/>
    <col min="4885" max="5120" width="8.875" style="2827"/>
    <col min="5121" max="5121" width="9.5" style="2827" customWidth="1"/>
    <col min="5122" max="5122" width="8.875" style="2827"/>
    <col min="5123" max="5125" width="12.875" style="2827" customWidth="1"/>
    <col min="5126" max="5126" width="47.5" style="2827" customWidth="1"/>
    <col min="5127" max="5127" width="13" style="2827" customWidth="1"/>
    <col min="5128" max="5129" width="8.875" style="2827"/>
    <col min="5130" max="5130" width="5.75" style="2827" customWidth="1"/>
    <col min="5131" max="5131" width="11.75" style="2827" customWidth="1"/>
    <col min="5132" max="5133" width="10.75" style="2827" customWidth="1"/>
    <col min="5134" max="5134" width="10" style="2827" customWidth="1"/>
    <col min="5135" max="5136" width="10.5" style="2827" bestFit="1" customWidth="1"/>
    <col min="5137" max="5137" width="10" style="2827" customWidth="1"/>
    <col min="5138" max="5138" width="10.125" style="2827" customWidth="1"/>
    <col min="5139" max="5139" width="10" style="2827" customWidth="1"/>
    <col min="5140" max="5140" width="26.125" style="2827" customWidth="1"/>
    <col min="5141" max="5376" width="8.875" style="2827"/>
    <col min="5377" max="5377" width="9.5" style="2827" customWidth="1"/>
    <col min="5378" max="5378" width="8.875" style="2827"/>
    <col min="5379" max="5381" width="12.875" style="2827" customWidth="1"/>
    <col min="5382" max="5382" width="47.5" style="2827" customWidth="1"/>
    <col min="5383" max="5383" width="13" style="2827" customWidth="1"/>
    <col min="5384" max="5385" width="8.875" style="2827"/>
    <col min="5386" max="5386" width="5.75" style="2827" customWidth="1"/>
    <col min="5387" max="5387" width="11.75" style="2827" customWidth="1"/>
    <col min="5388" max="5389" width="10.75" style="2827" customWidth="1"/>
    <col min="5390" max="5390" width="10" style="2827" customWidth="1"/>
    <col min="5391" max="5392" width="10.5" style="2827" bestFit="1" customWidth="1"/>
    <col min="5393" max="5393" width="10" style="2827" customWidth="1"/>
    <col min="5394" max="5394" width="10.125" style="2827" customWidth="1"/>
    <col min="5395" max="5395" width="10" style="2827" customWidth="1"/>
    <col min="5396" max="5396" width="26.125" style="2827" customWidth="1"/>
    <col min="5397" max="5632" width="8.875" style="2827"/>
    <col min="5633" max="5633" width="9.5" style="2827" customWidth="1"/>
    <col min="5634" max="5634" width="8.875" style="2827"/>
    <col min="5635" max="5637" width="12.875" style="2827" customWidth="1"/>
    <col min="5638" max="5638" width="47.5" style="2827" customWidth="1"/>
    <col min="5639" max="5639" width="13" style="2827" customWidth="1"/>
    <col min="5640" max="5641" width="8.875" style="2827"/>
    <col min="5642" max="5642" width="5.75" style="2827" customWidth="1"/>
    <col min="5643" max="5643" width="11.75" style="2827" customWidth="1"/>
    <col min="5644" max="5645" width="10.75" style="2827" customWidth="1"/>
    <col min="5646" max="5646" width="10" style="2827" customWidth="1"/>
    <col min="5647" max="5648" width="10.5" style="2827" bestFit="1" customWidth="1"/>
    <col min="5649" max="5649" width="10" style="2827" customWidth="1"/>
    <col min="5650" max="5650" width="10.125" style="2827" customWidth="1"/>
    <col min="5651" max="5651" width="10" style="2827" customWidth="1"/>
    <col min="5652" max="5652" width="26.125" style="2827" customWidth="1"/>
    <col min="5653" max="5888" width="8.875" style="2827"/>
    <col min="5889" max="5889" width="9.5" style="2827" customWidth="1"/>
    <col min="5890" max="5890" width="8.875" style="2827"/>
    <col min="5891" max="5893" width="12.875" style="2827" customWidth="1"/>
    <col min="5894" max="5894" width="47.5" style="2827" customWidth="1"/>
    <col min="5895" max="5895" width="13" style="2827" customWidth="1"/>
    <col min="5896" max="5897" width="8.875" style="2827"/>
    <col min="5898" max="5898" width="5.75" style="2827" customWidth="1"/>
    <col min="5899" max="5899" width="11.75" style="2827" customWidth="1"/>
    <col min="5900" max="5901" width="10.75" style="2827" customWidth="1"/>
    <col min="5902" max="5902" width="10" style="2827" customWidth="1"/>
    <col min="5903" max="5904" width="10.5" style="2827" bestFit="1" customWidth="1"/>
    <col min="5905" max="5905" width="10" style="2827" customWidth="1"/>
    <col min="5906" max="5906" width="10.125" style="2827" customWidth="1"/>
    <col min="5907" max="5907" width="10" style="2827" customWidth="1"/>
    <col min="5908" max="5908" width="26.125" style="2827" customWidth="1"/>
    <col min="5909" max="6144" width="8.875" style="2827"/>
    <col min="6145" max="6145" width="9.5" style="2827" customWidth="1"/>
    <col min="6146" max="6146" width="8.875" style="2827"/>
    <col min="6147" max="6149" width="12.875" style="2827" customWidth="1"/>
    <col min="6150" max="6150" width="47.5" style="2827" customWidth="1"/>
    <col min="6151" max="6151" width="13" style="2827" customWidth="1"/>
    <col min="6152" max="6153" width="8.875" style="2827"/>
    <col min="6154" max="6154" width="5.75" style="2827" customWidth="1"/>
    <col min="6155" max="6155" width="11.75" style="2827" customWidth="1"/>
    <col min="6156" max="6157" width="10.75" style="2827" customWidth="1"/>
    <col min="6158" max="6158" width="10" style="2827" customWidth="1"/>
    <col min="6159" max="6160" width="10.5" style="2827" bestFit="1" customWidth="1"/>
    <col min="6161" max="6161" width="10" style="2827" customWidth="1"/>
    <col min="6162" max="6162" width="10.125" style="2827" customWidth="1"/>
    <col min="6163" max="6163" width="10" style="2827" customWidth="1"/>
    <col min="6164" max="6164" width="26.125" style="2827" customWidth="1"/>
    <col min="6165" max="6400" width="8.875" style="2827"/>
    <col min="6401" max="6401" width="9.5" style="2827" customWidth="1"/>
    <col min="6402" max="6402" width="8.875" style="2827"/>
    <col min="6403" max="6405" width="12.875" style="2827" customWidth="1"/>
    <col min="6406" max="6406" width="47.5" style="2827" customWidth="1"/>
    <col min="6407" max="6407" width="13" style="2827" customWidth="1"/>
    <col min="6408" max="6409" width="8.875" style="2827"/>
    <col min="6410" max="6410" width="5.75" style="2827" customWidth="1"/>
    <col min="6411" max="6411" width="11.75" style="2827" customWidth="1"/>
    <col min="6412" max="6413" width="10.75" style="2827" customWidth="1"/>
    <col min="6414" max="6414" width="10" style="2827" customWidth="1"/>
    <col min="6415" max="6416" width="10.5" style="2827" bestFit="1" customWidth="1"/>
    <col min="6417" max="6417" width="10" style="2827" customWidth="1"/>
    <col min="6418" max="6418" width="10.125" style="2827" customWidth="1"/>
    <col min="6419" max="6419" width="10" style="2827" customWidth="1"/>
    <col min="6420" max="6420" width="26.125" style="2827" customWidth="1"/>
    <col min="6421" max="6656" width="8.875" style="2827"/>
    <col min="6657" max="6657" width="9.5" style="2827" customWidth="1"/>
    <col min="6658" max="6658" width="8.875" style="2827"/>
    <col min="6659" max="6661" width="12.875" style="2827" customWidth="1"/>
    <col min="6662" max="6662" width="47.5" style="2827" customWidth="1"/>
    <col min="6663" max="6663" width="13" style="2827" customWidth="1"/>
    <col min="6664" max="6665" width="8.875" style="2827"/>
    <col min="6666" max="6666" width="5.75" style="2827" customWidth="1"/>
    <col min="6667" max="6667" width="11.75" style="2827" customWidth="1"/>
    <col min="6668" max="6669" width="10.75" style="2827" customWidth="1"/>
    <col min="6670" max="6670" width="10" style="2827" customWidth="1"/>
    <col min="6671" max="6672" width="10.5" style="2827" bestFit="1" customWidth="1"/>
    <col min="6673" max="6673" width="10" style="2827" customWidth="1"/>
    <col min="6674" max="6674" width="10.125" style="2827" customWidth="1"/>
    <col min="6675" max="6675" width="10" style="2827" customWidth="1"/>
    <col min="6676" max="6676" width="26.125" style="2827" customWidth="1"/>
    <col min="6677" max="6912" width="8.875" style="2827"/>
    <col min="6913" max="6913" width="9.5" style="2827" customWidth="1"/>
    <col min="6914" max="6914" width="8.875" style="2827"/>
    <col min="6915" max="6917" width="12.875" style="2827" customWidth="1"/>
    <col min="6918" max="6918" width="47.5" style="2827" customWidth="1"/>
    <col min="6919" max="6919" width="13" style="2827" customWidth="1"/>
    <col min="6920" max="6921" width="8.875" style="2827"/>
    <col min="6922" max="6922" width="5.75" style="2827" customWidth="1"/>
    <col min="6923" max="6923" width="11.75" style="2827" customWidth="1"/>
    <col min="6924" max="6925" width="10.75" style="2827" customWidth="1"/>
    <col min="6926" max="6926" width="10" style="2827" customWidth="1"/>
    <col min="6927" max="6928" width="10.5" style="2827" bestFit="1" customWidth="1"/>
    <col min="6929" max="6929" width="10" style="2827" customWidth="1"/>
    <col min="6930" max="6930" width="10.125" style="2827" customWidth="1"/>
    <col min="6931" max="6931" width="10" style="2827" customWidth="1"/>
    <col min="6932" max="6932" width="26.125" style="2827" customWidth="1"/>
    <col min="6933" max="7168" width="8.875" style="2827"/>
    <col min="7169" max="7169" width="9.5" style="2827" customWidth="1"/>
    <col min="7170" max="7170" width="8.875" style="2827"/>
    <col min="7171" max="7173" width="12.875" style="2827" customWidth="1"/>
    <col min="7174" max="7174" width="47.5" style="2827" customWidth="1"/>
    <col min="7175" max="7175" width="13" style="2827" customWidth="1"/>
    <col min="7176" max="7177" width="8.875" style="2827"/>
    <col min="7178" max="7178" width="5.75" style="2827" customWidth="1"/>
    <col min="7179" max="7179" width="11.75" style="2827" customWidth="1"/>
    <col min="7180" max="7181" width="10.75" style="2827" customWidth="1"/>
    <col min="7182" max="7182" width="10" style="2827" customWidth="1"/>
    <col min="7183" max="7184" width="10.5" style="2827" bestFit="1" customWidth="1"/>
    <col min="7185" max="7185" width="10" style="2827" customWidth="1"/>
    <col min="7186" max="7186" width="10.125" style="2827" customWidth="1"/>
    <col min="7187" max="7187" width="10" style="2827" customWidth="1"/>
    <col min="7188" max="7188" width="26.125" style="2827" customWidth="1"/>
    <col min="7189" max="7424" width="8.875" style="2827"/>
    <col min="7425" max="7425" width="9.5" style="2827" customWidth="1"/>
    <col min="7426" max="7426" width="8.875" style="2827"/>
    <col min="7427" max="7429" width="12.875" style="2827" customWidth="1"/>
    <col min="7430" max="7430" width="47.5" style="2827" customWidth="1"/>
    <col min="7431" max="7431" width="13" style="2827" customWidth="1"/>
    <col min="7432" max="7433" width="8.875" style="2827"/>
    <col min="7434" max="7434" width="5.75" style="2827" customWidth="1"/>
    <col min="7435" max="7435" width="11.75" style="2827" customWidth="1"/>
    <col min="7436" max="7437" width="10.75" style="2827" customWidth="1"/>
    <col min="7438" max="7438" width="10" style="2827" customWidth="1"/>
    <col min="7439" max="7440" width="10.5" style="2827" bestFit="1" customWidth="1"/>
    <col min="7441" max="7441" width="10" style="2827" customWidth="1"/>
    <col min="7442" max="7442" width="10.125" style="2827" customWidth="1"/>
    <col min="7443" max="7443" width="10" style="2827" customWidth="1"/>
    <col min="7444" max="7444" width="26.125" style="2827" customWidth="1"/>
    <col min="7445" max="7680" width="8.875" style="2827"/>
    <col min="7681" max="7681" width="9.5" style="2827" customWidth="1"/>
    <col min="7682" max="7682" width="8.875" style="2827"/>
    <col min="7683" max="7685" width="12.875" style="2827" customWidth="1"/>
    <col min="7686" max="7686" width="47.5" style="2827" customWidth="1"/>
    <col min="7687" max="7687" width="13" style="2827" customWidth="1"/>
    <col min="7688" max="7689" width="8.875" style="2827"/>
    <col min="7690" max="7690" width="5.75" style="2827" customWidth="1"/>
    <col min="7691" max="7691" width="11.75" style="2827" customWidth="1"/>
    <col min="7692" max="7693" width="10.75" style="2827" customWidth="1"/>
    <col min="7694" max="7694" width="10" style="2827" customWidth="1"/>
    <col min="7695" max="7696" width="10.5" style="2827" bestFit="1" customWidth="1"/>
    <col min="7697" max="7697" width="10" style="2827" customWidth="1"/>
    <col min="7698" max="7698" width="10.125" style="2827" customWidth="1"/>
    <col min="7699" max="7699" width="10" style="2827" customWidth="1"/>
    <col min="7700" max="7700" width="26.125" style="2827" customWidth="1"/>
    <col min="7701" max="7936" width="8.875" style="2827"/>
    <col min="7937" max="7937" width="9.5" style="2827" customWidth="1"/>
    <col min="7938" max="7938" width="8.875" style="2827"/>
    <col min="7939" max="7941" width="12.875" style="2827" customWidth="1"/>
    <col min="7942" max="7942" width="47.5" style="2827" customWidth="1"/>
    <col min="7943" max="7943" width="13" style="2827" customWidth="1"/>
    <col min="7944" max="7945" width="8.875" style="2827"/>
    <col min="7946" max="7946" width="5.75" style="2827" customWidth="1"/>
    <col min="7947" max="7947" width="11.75" style="2827" customWidth="1"/>
    <col min="7948" max="7949" width="10.75" style="2827" customWidth="1"/>
    <col min="7950" max="7950" width="10" style="2827" customWidth="1"/>
    <col min="7951" max="7952" width="10.5" style="2827" bestFit="1" customWidth="1"/>
    <col min="7953" max="7953" width="10" style="2827" customWidth="1"/>
    <col min="7954" max="7954" width="10.125" style="2827" customWidth="1"/>
    <col min="7955" max="7955" width="10" style="2827" customWidth="1"/>
    <col min="7956" max="7956" width="26.125" style="2827" customWidth="1"/>
    <col min="7957" max="8192" width="8.875" style="2827"/>
    <col min="8193" max="8193" width="9.5" style="2827" customWidth="1"/>
    <col min="8194" max="8194" width="8.875" style="2827"/>
    <col min="8195" max="8197" width="12.875" style="2827" customWidth="1"/>
    <col min="8198" max="8198" width="47.5" style="2827" customWidth="1"/>
    <col min="8199" max="8199" width="13" style="2827" customWidth="1"/>
    <col min="8200" max="8201" width="8.875" style="2827"/>
    <col min="8202" max="8202" width="5.75" style="2827" customWidth="1"/>
    <col min="8203" max="8203" width="11.75" style="2827" customWidth="1"/>
    <col min="8204" max="8205" width="10.75" style="2827" customWidth="1"/>
    <col min="8206" max="8206" width="10" style="2827" customWidth="1"/>
    <col min="8207" max="8208" width="10.5" style="2827" bestFit="1" customWidth="1"/>
    <col min="8209" max="8209" width="10" style="2827" customWidth="1"/>
    <col min="8210" max="8210" width="10.125" style="2827" customWidth="1"/>
    <col min="8211" max="8211" width="10" style="2827" customWidth="1"/>
    <col min="8212" max="8212" width="26.125" style="2827" customWidth="1"/>
    <col min="8213" max="8448" width="8.875" style="2827"/>
    <col min="8449" max="8449" width="9.5" style="2827" customWidth="1"/>
    <col min="8450" max="8450" width="8.875" style="2827"/>
    <col min="8451" max="8453" width="12.875" style="2827" customWidth="1"/>
    <col min="8454" max="8454" width="47.5" style="2827" customWidth="1"/>
    <col min="8455" max="8455" width="13" style="2827" customWidth="1"/>
    <col min="8456" max="8457" width="8.875" style="2827"/>
    <col min="8458" max="8458" width="5.75" style="2827" customWidth="1"/>
    <col min="8459" max="8459" width="11.75" style="2827" customWidth="1"/>
    <col min="8460" max="8461" width="10.75" style="2827" customWidth="1"/>
    <col min="8462" max="8462" width="10" style="2827" customWidth="1"/>
    <col min="8463" max="8464" width="10.5" style="2827" bestFit="1" customWidth="1"/>
    <col min="8465" max="8465" width="10" style="2827" customWidth="1"/>
    <col min="8466" max="8466" width="10.125" style="2827" customWidth="1"/>
    <col min="8467" max="8467" width="10" style="2827" customWidth="1"/>
    <col min="8468" max="8468" width="26.125" style="2827" customWidth="1"/>
    <col min="8469" max="8704" width="8.875" style="2827"/>
    <col min="8705" max="8705" width="9.5" style="2827" customWidth="1"/>
    <col min="8706" max="8706" width="8.875" style="2827"/>
    <col min="8707" max="8709" width="12.875" style="2827" customWidth="1"/>
    <col min="8710" max="8710" width="47.5" style="2827" customWidth="1"/>
    <col min="8711" max="8711" width="13" style="2827" customWidth="1"/>
    <col min="8712" max="8713" width="8.875" style="2827"/>
    <col min="8714" max="8714" width="5.75" style="2827" customWidth="1"/>
    <col min="8715" max="8715" width="11.75" style="2827" customWidth="1"/>
    <col min="8716" max="8717" width="10.75" style="2827" customWidth="1"/>
    <col min="8718" max="8718" width="10" style="2827" customWidth="1"/>
    <col min="8719" max="8720" width="10.5" style="2827" bestFit="1" customWidth="1"/>
    <col min="8721" max="8721" width="10" style="2827" customWidth="1"/>
    <col min="8722" max="8722" width="10.125" style="2827" customWidth="1"/>
    <col min="8723" max="8723" width="10" style="2827" customWidth="1"/>
    <col min="8724" max="8724" width="26.125" style="2827" customWidth="1"/>
    <col min="8725" max="8960" width="8.875" style="2827"/>
    <col min="8961" max="8961" width="9.5" style="2827" customWidth="1"/>
    <col min="8962" max="8962" width="8.875" style="2827"/>
    <col min="8963" max="8965" width="12.875" style="2827" customWidth="1"/>
    <col min="8966" max="8966" width="47.5" style="2827" customWidth="1"/>
    <col min="8967" max="8967" width="13" style="2827" customWidth="1"/>
    <col min="8968" max="8969" width="8.875" style="2827"/>
    <col min="8970" max="8970" width="5.75" style="2827" customWidth="1"/>
    <col min="8971" max="8971" width="11.75" style="2827" customWidth="1"/>
    <col min="8972" max="8973" width="10.75" style="2827" customWidth="1"/>
    <col min="8974" max="8974" width="10" style="2827" customWidth="1"/>
    <col min="8975" max="8976" width="10.5" style="2827" bestFit="1" customWidth="1"/>
    <col min="8977" max="8977" width="10" style="2827" customWidth="1"/>
    <col min="8978" max="8978" width="10.125" style="2827" customWidth="1"/>
    <col min="8979" max="8979" width="10" style="2827" customWidth="1"/>
    <col min="8980" max="8980" width="26.125" style="2827" customWidth="1"/>
    <col min="8981" max="9216" width="8.875" style="2827"/>
    <col min="9217" max="9217" width="9.5" style="2827" customWidth="1"/>
    <col min="9218" max="9218" width="8.875" style="2827"/>
    <col min="9219" max="9221" width="12.875" style="2827" customWidth="1"/>
    <col min="9222" max="9222" width="47.5" style="2827" customWidth="1"/>
    <col min="9223" max="9223" width="13" style="2827" customWidth="1"/>
    <col min="9224" max="9225" width="8.875" style="2827"/>
    <col min="9226" max="9226" width="5.75" style="2827" customWidth="1"/>
    <col min="9227" max="9227" width="11.75" style="2827" customWidth="1"/>
    <col min="9228" max="9229" width="10.75" style="2827" customWidth="1"/>
    <col min="9230" max="9230" width="10" style="2827" customWidth="1"/>
    <col min="9231" max="9232" width="10.5" style="2827" bestFit="1" customWidth="1"/>
    <col min="9233" max="9233" width="10" style="2827" customWidth="1"/>
    <col min="9234" max="9234" width="10.125" style="2827" customWidth="1"/>
    <col min="9235" max="9235" width="10" style="2827" customWidth="1"/>
    <col min="9236" max="9236" width="26.125" style="2827" customWidth="1"/>
    <col min="9237" max="9472" width="8.875" style="2827"/>
    <col min="9473" max="9473" width="9.5" style="2827" customWidth="1"/>
    <col min="9474" max="9474" width="8.875" style="2827"/>
    <col min="9475" max="9477" width="12.875" style="2827" customWidth="1"/>
    <col min="9478" max="9478" width="47.5" style="2827" customWidth="1"/>
    <col min="9479" max="9479" width="13" style="2827" customWidth="1"/>
    <col min="9480" max="9481" width="8.875" style="2827"/>
    <col min="9482" max="9482" width="5.75" style="2827" customWidth="1"/>
    <col min="9483" max="9483" width="11.75" style="2827" customWidth="1"/>
    <col min="9484" max="9485" width="10.75" style="2827" customWidth="1"/>
    <col min="9486" max="9486" width="10" style="2827" customWidth="1"/>
    <col min="9487" max="9488" width="10.5" style="2827" bestFit="1" customWidth="1"/>
    <col min="9489" max="9489" width="10" style="2827" customWidth="1"/>
    <col min="9490" max="9490" width="10.125" style="2827" customWidth="1"/>
    <col min="9491" max="9491" width="10" style="2827" customWidth="1"/>
    <col min="9492" max="9492" width="26.125" style="2827" customWidth="1"/>
    <col min="9493" max="9728" width="8.875" style="2827"/>
    <col min="9729" max="9729" width="9.5" style="2827" customWidth="1"/>
    <col min="9730" max="9730" width="8.875" style="2827"/>
    <col min="9731" max="9733" width="12.875" style="2827" customWidth="1"/>
    <col min="9734" max="9734" width="47.5" style="2827" customWidth="1"/>
    <col min="9735" max="9735" width="13" style="2827" customWidth="1"/>
    <col min="9736" max="9737" width="8.875" style="2827"/>
    <col min="9738" max="9738" width="5.75" style="2827" customWidth="1"/>
    <col min="9739" max="9739" width="11.75" style="2827" customWidth="1"/>
    <col min="9740" max="9741" width="10.75" style="2827" customWidth="1"/>
    <col min="9742" max="9742" width="10" style="2827" customWidth="1"/>
    <col min="9743" max="9744" width="10.5" style="2827" bestFit="1" customWidth="1"/>
    <col min="9745" max="9745" width="10" style="2827" customWidth="1"/>
    <col min="9746" max="9746" width="10.125" style="2827" customWidth="1"/>
    <col min="9747" max="9747" width="10" style="2827" customWidth="1"/>
    <col min="9748" max="9748" width="26.125" style="2827" customWidth="1"/>
    <col min="9749" max="9984" width="8.875" style="2827"/>
    <col min="9985" max="9985" width="9.5" style="2827" customWidth="1"/>
    <col min="9986" max="9986" width="8.875" style="2827"/>
    <col min="9987" max="9989" width="12.875" style="2827" customWidth="1"/>
    <col min="9990" max="9990" width="47.5" style="2827" customWidth="1"/>
    <col min="9991" max="9991" width="13" style="2827" customWidth="1"/>
    <col min="9992" max="9993" width="8.875" style="2827"/>
    <col min="9994" max="9994" width="5.75" style="2827" customWidth="1"/>
    <col min="9995" max="9995" width="11.75" style="2827" customWidth="1"/>
    <col min="9996" max="9997" width="10.75" style="2827" customWidth="1"/>
    <col min="9998" max="9998" width="10" style="2827" customWidth="1"/>
    <col min="9999" max="10000" width="10.5" style="2827" bestFit="1" customWidth="1"/>
    <col min="10001" max="10001" width="10" style="2827" customWidth="1"/>
    <col min="10002" max="10002" width="10.125" style="2827" customWidth="1"/>
    <col min="10003" max="10003" width="10" style="2827" customWidth="1"/>
    <col min="10004" max="10004" width="26.125" style="2827" customWidth="1"/>
    <col min="10005" max="10240" width="8.875" style="2827"/>
    <col min="10241" max="10241" width="9.5" style="2827" customWidth="1"/>
    <col min="10242" max="10242" width="8.875" style="2827"/>
    <col min="10243" max="10245" width="12.875" style="2827" customWidth="1"/>
    <col min="10246" max="10246" width="47.5" style="2827" customWidth="1"/>
    <col min="10247" max="10247" width="13" style="2827" customWidth="1"/>
    <col min="10248" max="10249" width="8.875" style="2827"/>
    <col min="10250" max="10250" width="5.75" style="2827" customWidth="1"/>
    <col min="10251" max="10251" width="11.75" style="2827" customWidth="1"/>
    <col min="10252" max="10253" width="10.75" style="2827" customWidth="1"/>
    <col min="10254" max="10254" width="10" style="2827" customWidth="1"/>
    <col min="10255" max="10256" width="10.5" style="2827" bestFit="1" customWidth="1"/>
    <col min="10257" max="10257" width="10" style="2827" customWidth="1"/>
    <col min="10258" max="10258" width="10.125" style="2827" customWidth="1"/>
    <col min="10259" max="10259" width="10" style="2827" customWidth="1"/>
    <col min="10260" max="10260" width="26.125" style="2827" customWidth="1"/>
    <col min="10261" max="10496" width="8.875" style="2827"/>
    <col min="10497" max="10497" width="9.5" style="2827" customWidth="1"/>
    <col min="10498" max="10498" width="8.875" style="2827"/>
    <col min="10499" max="10501" width="12.875" style="2827" customWidth="1"/>
    <col min="10502" max="10502" width="47.5" style="2827" customWidth="1"/>
    <col min="10503" max="10503" width="13" style="2827" customWidth="1"/>
    <col min="10504" max="10505" width="8.875" style="2827"/>
    <col min="10506" max="10506" width="5.75" style="2827" customWidth="1"/>
    <col min="10507" max="10507" width="11.75" style="2827" customWidth="1"/>
    <col min="10508" max="10509" width="10.75" style="2827" customWidth="1"/>
    <col min="10510" max="10510" width="10" style="2827" customWidth="1"/>
    <col min="10511" max="10512" width="10.5" style="2827" bestFit="1" customWidth="1"/>
    <col min="10513" max="10513" width="10" style="2827" customWidth="1"/>
    <col min="10514" max="10514" width="10.125" style="2827" customWidth="1"/>
    <col min="10515" max="10515" width="10" style="2827" customWidth="1"/>
    <col min="10516" max="10516" width="26.125" style="2827" customWidth="1"/>
    <col min="10517" max="10752" width="8.875" style="2827"/>
    <col min="10753" max="10753" width="9.5" style="2827" customWidth="1"/>
    <col min="10754" max="10754" width="8.875" style="2827"/>
    <col min="10755" max="10757" width="12.875" style="2827" customWidth="1"/>
    <col min="10758" max="10758" width="47.5" style="2827" customWidth="1"/>
    <col min="10759" max="10759" width="13" style="2827" customWidth="1"/>
    <col min="10760" max="10761" width="8.875" style="2827"/>
    <col min="10762" max="10762" width="5.75" style="2827" customWidth="1"/>
    <col min="10763" max="10763" width="11.75" style="2827" customWidth="1"/>
    <col min="10764" max="10765" width="10.75" style="2827" customWidth="1"/>
    <col min="10766" max="10766" width="10" style="2827" customWidth="1"/>
    <col min="10767" max="10768" width="10.5" style="2827" bestFit="1" customWidth="1"/>
    <col min="10769" max="10769" width="10" style="2827" customWidth="1"/>
    <col min="10770" max="10770" width="10.125" style="2827" customWidth="1"/>
    <col min="10771" max="10771" width="10" style="2827" customWidth="1"/>
    <col min="10772" max="10772" width="26.125" style="2827" customWidth="1"/>
    <col min="10773" max="11008" width="8.875" style="2827"/>
    <col min="11009" max="11009" width="9.5" style="2827" customWidth="1"/>
    <col min="11010" max="11010" width="8.875" style="2827"/>
    <col min="11011" max="11013" width="12.875" style="2827" customWidth="1"/>
    <col min="11014" max="11014" width="47.5" style="2827" customWidth="1"/>
    <col min="11015" max="11015" width="13" style="2827" customWidth="1"/>
    <col min="11016" max="11017" width="8.875" style="2827"/>
    <col min="11018" max="11018" width="5.75" style="2827" customWidth="1"/>
    <col min="11019" max="11019" width="11.75" style="2827" customWidth="1"/>
    <col min="11020" max="11021" width="10.75" style="2827" customWidth="1"/>
    <col min="11022" max="11022" width="10" style="2827" customWidth="1"/>
    <col min="11023" max="11024" width="10.5" style="2827" bestFit="1" customWidth="1"/>
    <col min="11025" max="11025" width="10" style="2827" customWidth="1"/>
    <col min="11026" max="11026" width="10.125" style="2827" customWidth="1"/>
    <col min="11027" max="11027" width="10" style="2827" customWidth="1"/>
    <col min="11028" max="11028" width="26.125" style="2827" customWidth="1"/>
    <col min="11029" max="11264" width="8.875" style="2827"/>
    <col min="11265" max="11265" width="9.5" style="2827" customWidth="1"/>
    <col min="11266" max="11266" width="8.875" style="2827"/>
    <col min="11267" max="11269" width="12.875" style="2827" customWidth="1"/>
    <col min="11270" max="11270" width="47.5" style="2827" customWidth="1"/>
    <col min="11271" max="11271" width="13" style="2827" customWidth="1"/>
    <col min="11272" max="11273" width="8.875" style="2827"/>
    <col min="11274" max="11274" width="5.75" style="2827" customWidth="1"/>
    <col min="11275" max="11275" width="11.75" style="2827" customWidth="1"/>
    <col min="11276" max="11277" width="10.75" style="2827" customWidth="1"/>
    <col min="11278" max="11278" width="10" style="2827" customWidth="1"/>
    <col min="11279" max="11280" width="10.5" style="2827" bestFit="1" customWidth="1"/>
    <col min="11281" max="11281" width="10" style="2827" customWidth="1"/>
    <col min="11282" max="11282" width="10.125" style="2827" customWidth="1"/>
    <col min="11283" max="11283" width="10" style="2827" customWidth="1"/>
    <col min="11284" max="11284" width="26.125" style="2827" customWidth="1"/>
    <col min="11285" max="11520" width="8.875" style="2827"/>
    <col min="11521" max="11521" width="9.5" style="2827" customWidth="1"/>
    <col min="11522" max="11522" width="8.875" style="2827"/>
    <col min="11523" max="11525" width="12.875" style="2827" customWidth="1"/>
    <col min="11526" max="11526" width="47.5" style="2827" customWidth="1"/>
    <col min="11527" max="11527" width="13" style="2827" customWidth="1"/>
    <col min="11528" max="11529" width="8.875" style="2827"/>
    <col min="11530" max="11530" width="5.75" style="2827" customWidth="1"/>
    <col min="11531" max="11531" width="11.75" style="2827" customWidth="1"/>
    <col min="11532" max="11533" width="10.75" style="2827" customWidth="1"/>
    <col min="11534" max="11534" width="10" style="2827" customWidth="1"/>
    <col min="11535" max="11536" width="10.5" style="2827" bestFit="1" customWidth="1"/>
    <col min="11537" max="11537" width="10" style="2827" customWidth="1"/>
    <col min="11538" max="11538" width="10.125" style="2827" customWidth="1"/>
    <col min="11539" max="11539" width="10" style="2827" customWidth="1"/>
    <col min="11540" max="11540" width="26.125" style="2827" customWidth="1"/>
    <col min="11541" max="11776" width="8.875" style="2827"/>
    <col min="11777" max="11777" width="9.5" style="2827" customWidth="1"/>
    <col min="11778" max="11778" width="8.875" style="2827"/>
    <col min="11779" max="11781" width="12.875" style="2827" customWidth="1"/>
    <col min="11782" max="11782" width="47.5" style="2827" customWidth="1"/>
    <col min="11783" max="11783" width="13" style="2827" customWidth="1"/>
    <col min="11784" max="11785" width="8.875" style="2827"/>
    <col min="11786" max="11786" width="5.75" style="2827" customWidth="1"/>
    <col min="11787" max="11787" width="11.75" style="2827" customWidth="1"/>
    <col min="11788" max="11789" width="10.75" style="2827" customWidth="1"/>
    <col min="11790" max="11790" width="10" style="2827" customWidth="1"/>
    <col min="11791" max="11792" width="10.5" style="2827" bestFit="1" customWidth="1"/>
    <col min="11793" max="11793" width="10" style="2827" customWidth="1"/>
    <col min="11794" max="11794" width="10.125" style="2827" customWidth="1"/>
    <col min="11795" max="11795" width="10" style="2827" customWidth="1"/>
    <col min="11796" max="11796" width="26.125" style="2827" customWidth="1"/>
    <col min="11797" max="12032" width="8.875" style="2827"/>
    <col min="12033" max="12033" width="9.5" style="2827" customWidth="1"/>
    <col min="12034" max="12034" width="8.875" style="2827"/>
    <col min="12035" max="12037" width="12.875" style="2827" customWidth="1"/>
    <col min="12038" max="12038" width="47.5" style="2827" customWidth="1"/>
    <col min="12039" max="12039" width="13" style="2827" customWidth="1"/>
    <col min="12040" max="12041" width="8.875" style="2827"/>
    <col min="12042" max="12042" width="5.75" style="2827" customWidth="1"/>
    <col min="12043" max="12043" width="11.75" style="2827" customWidth="1"/>
    <col min="12044" max="12045" width="10.75" style="2827" customWidth="1"/>
    <col min="12046" max="12046" width="10" style="2827" customWidth="1"/>
    <col min="12047" max="12048" width="10.5" style="2827" bestFit="1" customWidth="1"/>
    <col min="12049" max="12049" width="10" style="2827" customWidth="1"/>
    <col min="12050" max="12050" width="10.125" style="2827" customWidth="1"/>
    <col min="12051" max="12051" width="10" style="2827" customWidth="1"/>
    <col min="12052" max="12052" width="26.125" style="2827" customWidth="1"/>
    <col min="12053" max="12288" width="8.875" style="2827"/>
    <col min="12289" max="12289" width="9.5" style="2827" customWidth="1"/>
    <col min="12290" max="12290" width="8.875" style="2827"/>
    <col min="12291" max="12293" width="12.875" style="2827" customWidth="1"/>
    <col min="12294" max="12294" width="47.5" style="2827" customWidth="1"/>
    <col min="12295" max="12295" width="13" style="2827" customWidth="1"/>
    <col min="12296" max="12297" width="8.875" style="2827"/>
    <col min="12298" max="12298" width="5.75" style="2827" customWidth="1"/>
    <col min="12299" max="12299" width="11.75" style="2827" customWidth="1"/>
    <col min="12300" max="12301" width="10.75" style="2827" customWidth="1"/>
    <col min="12302" max="12302" width="10" style="2827" customWidth="1"/>
    <col min="12303" max="12304" width="10.5" style="2827" bestFit="1" customWidth="1"/>
    <col min="12305" max="12305" width="10" style="2827" customWidth="1"/>
    <col min="12306" max="12306" width="10.125" style="2827" customWidth="1"/>
    <col min="12307" max="12307" width="10" style="2827" customWidth="1"/>
    <col min="12308" max="12308" width="26.125" style="2827" customWidth="1"/>
    <col min="12309" max="12544" width="8.875" style="2827"/>
    <col min="12545" max="12545" width="9.5" style="2827" customWidth="1"/>
    <col min="12546" max="12546" width="8.875" style="2827"/>
    <col min="12547" max="12549" width="12.875" style="2827" customWidth="1"/>
    <col min="12550" max="12550" width="47.5" style="2827" customWidth="1"/>
    <col min="12551" max="12551" width="13" style="2827" customWidth="1"/>
    <col min="12552" max="12553" width="8.875" style="2827"/>
    <col min="12554" max="12554" width="5.75" style="2827" customWidth="1"/>
    <col min="12555" max="12555" width="11.75" style="2827" customWidth="1"/>
    <col min="12556" max="12557" width="10.75" style="2827" customWidth="1"/>
    <col min="12558" max="12558" width="10" style="2827" customWidth="1"/>
    <col min="12559" max="12560" width="10.5" style="2827" bestFit="1" customWidth="1"/>
    <col min="12561" max="12561" width="10" style="2827" customWidth="1"/>
    <col min="12562" max="12562" width="10.125" style="2827" customWidth="1"/>
    <col min="12563" max="12563" width="10" style="2827" customWidth="1"/>
    <col min="12564" max="12564" width="26.125" style="2827" customWidth="1"/>
    <col min="12565" max="12800" width="8.875" style="2827"/>
    <col min="12801" max="12801" width="9.5" style="2827" customWidth="1"/>
    <col min="12802" max="12802" width="8.875" style="2827"/>
    <col min="12803" max="12805" width="12.875" style="2827" customWidth="1"/>
    <col min="12806" max="12806" width="47.5" style="2827" customWidth="1"/>
    <col min="12807" max="12807" width="13" style="2827" customWidth="1"/>
    <col min="12808" max="12809" width="8.875" style="2827"/>
    <col min="12810" max="12810" width="5.75" style="2827" customWidth="1"/>
    <col min="12811" max="12811" width="11.75" style="2827" customWidth="1"/>
    <col min="12812" max="12813" width="10.75" style="2827" customWidth="1"/>
    <col min="12814" max="12814" width="10" style="2827" customWidth="1"/>
    <col min="12815" max="12816" width="10.5" style="2827" bestFit="1" customWidth="1"/>
    <col min="12817" max="12817" width="10" style="2827" customWidth="1"/>
    <col min="12818" max="12818" width="10.125" style="2827" customWidth="1"/>
    <col min="12819" max="12819" width="10" style="2827" customWidth="1"/>
    <col min="12820" max="12820" width="26.125" style="2827" customWidth="1"/>
    <col min="12821" max="13056" width="8.875" style="2827"/>
    <col min="13057" max="13057" width="9.5" style="2827" customWidth="1"/>
    <col min="13058" max="13058" width="8.875" style="2827"/>
    <col min="13059" max="13061" width="12.875" style="2827" customWidth="1"/>
    <col min="13062" max="13062" width="47.5" style="2827" customWidth="1"/>
    <col min="13063" max="13063" width="13" style="2827" customWidth="1"/>
    <col min="13064" max="13065" width="8.875" style="2827"/>
    <col min="13066" max="13066" width="5.75" style="2827" customWidth="1"/>
    <col min="13067" max="13067" width="11.75" style="2827" customWidth="1"/>
    <col min="13068" max="13069" width="10.75" style="2827" customWidth="1"/>
    <col min="13070" max="13070" width="10" style="2827" customWidth="1"/>
    <col min="13071" max="13072" width="10.5" style="2827" bestFit="1" customWidth="1"/>
    <col min="13073" max="13073" width="10" style="2827" customWidth="1"/>
    <col min="13074" max="13074" width="10.125" style="2827" customWidth="1"/>
    <col min="13075" max="13075" width="10" style="2827" customWidth="1"/>
    <col min="13076" max="13076" width="26.125" style="2827" customWidth="1"/>
    <col min="13077" max="13312" width="8.875" style="2827"/>
    <col min="13313" max="13313" width="9.5" style="2827" customWidth="1"/>
    <col min="13314" max="13314" width="8.875" style="2827"/>
    <col min="13315" max="13317" width="12.875" style="2827" customWidth="1"/>
    <col min="13318" max="13318" width="47.5" style="2827" customWidth="1"/>
    <col min="13319" max="13319" width="13" style="2827" customWidth="1"/>
    <col min="13320" max="13321" width="8.875" style="2827"/>
    <col min="13322" max="13322" width="5.75" style="2827" customWidth="1"/>
    <col min="13323" max="13323" width="11.75" style="2827" customWidth="1"/>
    <col min="13324" max="13325" width="10.75" style="2827" customWidth="1"/>
    <col min="13326" max="13326" width="10" style="2827" customWidth="1"/>
    <col min="13327" max="13328" width="10.5" style="2827" bestFit="1" customWidth="1"/>
    <col min="13329" max="13329" width="10" style="2827" customWidth="1"/>
    <col min="13330" max="13330" width="10.125" style="2827" customWidth="1"/>
    <col min="13331" max="13331" width="10" style="2827" customWidth="1"/>
    <col min="13332" max="13332" width="26.125" style="2827" customWidth="1"/>
    <col min="13333" max="13568" width="8.875" style="2827"/>
    <col min="13569" max="13569" width="9.5" style="2827" customWidth="1"/>
    <col min="13570" max="13570" width="8.875" style="2827"/>
    <col min="13571" max="13573" width="12.875" style="2827" customWidth="1"/>
    <col min="13574" max="13574" width="47.5" style="2827" customWidth="1"/>
    <col min="13575" max="13575" width="13" style="2827" customWidth="1"/>
    <col min="13576" max="13577" width="8.875" style="2827"/>
    <col min="13578" max="13578" width="5.75" style="2827" customWidth="1"/>
    <col min="13579" max="13579" width="11.75" style="2827" customWidth="1"/>
    <col min="13580" max="13581" width="10.75" style="2827" customWidth="1"/>
    <col min="13582" max="13582" width="10" style="2827" customWidth="1"/>
    <col min="13583" max="13584" width="10.5" style="2827" bestFit="1" customWidth="1"/>
    <col min="13585" max="13585" width="10" style="2827" customWidth="1"/>
    <col min="13586" max="13586" width="10.125" style="2827" customWidth="1"/>
    <col min="13587" max="13587" width="10" style="2827" customWidth="1"/>
    <col min="13588" max="13588" width="26.125" style="2827" customWidth="1"/>
    <col min="13589" max="13824" width="8.875" style="2827"/>
    <col min="13825" max="13825" width="9.5" style="2827" customWidth="1"/>
    <col min="13826" max="13826" width="8.875" style="2827"/>
    <col min="13827" max="13829" width="12.875" style="2827" customWidth="1"/>
    <col min="13830" max="13830" width="47.5" style="2827" customWidth="1"/>
    <col min="13831" max="13831" width="13" style="2827" customWidth="1"/>
    <col min="13832" max="13833" width="8.875" style="2827"/>
    <col min="13834" max="13834" width="5.75" style="2827" customWidth="1"/>
    <col min="13835" max="13835" width="11.75" style="2827" customWidth="1"/>
    <col min="13836" max="13837" width="10.75" style="2827" customWidth="1"/>
    <col min="13838" max="13838" width="10" style="2827" customWidth="1"/>
    <col min="13839" max="13840" width="10.5" style="2827" bestFit="1" customWidth="1"/>
    <col min="13841" max="13841" width="10" style="2827" customWidth="1"/>
    <col min="13842" max="13842" width="10.125" style="2827" customWidth="1"/>
    <col min="13843" max="13843" width="10" style="2827" customWidth="1"/>
    <col min="13844" max="13844" width="26.125" style="2827" customWidth="1"/>
    <col min="13845" max="14080" width="8.875" style="2827"/>
    <col min="14081" max="14081" width="9.5" style="2827" customWidth="1"/>
    <col min="14082" max="14082" width="8.875" style="2827"/>
    <col min="14083" max="14085" width="12.875" style="2827" customWidth="1"/>
    <col min="14086" max="14086" width="47.5" style="2827" customWidth="1"/>
    <col min="14087" max="14087" width="13" style="2827" customWidth="1"/>
    <col min="14088" max="14089" width="8.875" style="2827"/>
    <col min="14090" max="14090" width="5.75" style="2827" customWidth="1"/>
    <col min="14091" max="14091" width="11.75" style="2827" customWidth="1"/>
    <col min="14092" max="14093" width="10.75" style="2827" customWidth="1"/>
    <col min="14094" max="14094" width="10" style="2827" customWidth="1"/>
    <col min="14095" max="14096" width="10.5" style="2827" bestFit="1" customWidth="1"/>
    <col min="14097" max="14097" width="10" style="2827" customWidth="1"/>
    <col min="14098" max="14098" width="10.125" style="2827" customWidth="1"/>
    <col min="14099" max="14099" width="10" style="2827" customWidth="1"/>
    <col min="14100" max="14100" width="26.125" style="2827" customWidth="1"/>
    <col min="14101" max="14336" width="8.875" style="2827"/>
    <col min="14337" max="14337" width="9.5" style="2827" customWidth="1"/>
    <col min="14338" max="14338" width="8.875" style="2827"/>
    <col min="14339" max="14341" width="12.875" style="2827" customWidth="1"/>
    <col min="14342" max="14342" width="47.5" style="2827" customWidth="1"/>
    <col min="14343" max="14343" width="13" style="2827" customWidth="1"/>
    <col min="14344" max="14345" width="8.875" style="2827"/>
    <col min="14346" max="14346" width="5.75" style="2827" customWidth="1"/>
    <col min="14347" max="14347" width="11.75" style="2827" customWidth="1"/>
    <col min="14348" max="14349" width="10.75" style="2827" customWidth="1"/>
    <col min="14350" max="14350" width="10" style="2827" customWidth="1"/>
    <col min="14351" max="14352" width="10.5" style="2827" bestFit="1" customWidth="1"/>
    <col min="14353" max="14353" width="10" style="2827" customWidth="1"/>
    <col min="14354" max="14354" width="10.125" style="2827" customWidth="1"/>
    <col min="14355" max="14355" width="10" style="2827" customWidth="1"/>
    <col min="14356" max="14356" width="26.125" style="2827" customWidth="1"/>
    <col min="14357" max="14592" width="8.875" style="2827"/>
    <col min="14593" max="14593" width="9.5" style="2827" customWidth="1"/>
    <col min="14594" max="14594" width="8.875" style="2827"/>
    <col min="14595" max="14597" width="12.875" style="2827" customWidth="1"/>
    <col min="14598" max="14598" width="47.5" style="2827" customWidth="1"/>
    <col min="14599" max="14599" width="13" style="2827" customWidth="1"/>
    <col min="14600" max="14601" width="8.875" style="2827"/>
    <col min="14602" max="14602" width="5.75" style="2827" customWidth="1"/>
    <col min="14603" max="14603" width="11.75" style="2827" customWidth="1"/>
    <col min="14604" max="14605" width="10.75" style="2827" customWidth="1"/>
    <col min="14606" max="14606" width="10" style="2827" customWidth="1"/>
    <col min="14607" max="14608" width="10.5" style="2827" bestFit="1" customWidth="1"/>
    <col min="14609" max="14609" width="10" style="2827" customWidth="1"/>
    <col min="14610" max="14610" width="10.125" style="2827" customWidth="1"/>
    <col min="14611" max="14611" width="10" style="2827" customWidth="1"/>
    <col min="14612" max="14612" width="26.125" style="2827" customWidth="1"/>
    <col min="14613" max="14848" width="8.875" style="2827"/>
    <col min="14849" max="14849" width="9.5" style="2827" customWidth="1"/>
    <col min="14850" max="14850" width="8.875" style="2827"/>
    <col min="14851" max="14853" width="12.875" style="2827" customWidth="1"/>
    <col min="14854" max="14854" width="47.5" style="2827" customWidth="1"/>
    <col min="14855" max="14855" width="13" style="2827" customWidth="1"/>
    <col min="14856" max="14857" width="8.875" style="2827"/>
    <col min="14858" max="14858" width="5.75" style="2827" customWidth="1"/>
    <col min="14859" max="14859" width="11.75" style="2827" customWidth="1"/>
    <col min="14860" max="14861" width="10.75" style="2827" customWidth="1"/>
    <col min="14862" max="14862" width="10" style="2827" customWidth="1"/>
    <col min="14863" max="14864" width="10.5" style="2827" bestFit="1" customWidth="1"/>
    <col min="14865" max="14865" width="10" style="2827" customWidth="1"/>
    <col min="14866" max="14866" width="10.125" style="2827" customWidth="1"/>
    <col min="14867" max="14867" width="10" style="2827" customWidth="1"/>
    <col min="14868" max="14868" width="26.125" style="2827" customWidth="1"/>
    <col min="14869" max="15104" width="8.875" style="2827"/>
    <col min="15105" max="15105" width="9.5" style="2827" customWidth="1"/>
    <col min="15106" max="15106" width="8.875" style="2827"/>
    <col min="15107" max="15109" width="12.875" style="2827" customWidth="1"/>
    <col min="15110" max="15110" width="47.5" style="2827" customWidth="1"/>
    <col min="15111" max="15111" width="13" style="2827" customWidth="1"/>
    <col min="15112" max="15113" width="8.875" style="2827"/>
    <col min="15114" max="15114" width="5.75" style="2827" customWidth="1"/>
    <col min="15115" max="15115" width="11.75" style="2827" customWidth="1"/>
    <col min="15116" max="15117" width="10.75" style="2827" customWidth="1"/>
    <col min="15118" max="15118" width="10" style="2827" customWidth="1"/>
    <col min="15119" max="15120" width="10.5" style="2827" bestFit="1" customWidth="1"/>
    <col min="15121" max="15121" width="10" style="2827" customWidth="1"/>
    <col min="15122" max="15122" width="10.125" style="2827" customWidth="1"/>
    <col min="15123" max="15123" width="10" style="2827" customWidth="1"/>
    <col min="15124" max="15124" width="26.125" style="2827" customWidth="1"/>
    <col min="15125" max="15360" width="8.875" style="2827"/>
    <col min="15361" max="15361" width="9.5" style="2827" customWidth="1"/>
    <col min="15362" max="15362" width="8.875" style="2827"/>
    <col min="15363" max="15365" width="12.875" style="2827" customWidth="1"/>
    <col min="15366" max="15366" width="47.5" style="2827" customWidth="1"/>
    <col min="15367" max="15367" width="13" style="2827" customWidth="1"/>
    <col min="15368" max="15369" width="8.875" style="2827"/>
    <col min="15370" max="15370" width="5.75" style="2827" customWidth="1"/>
    <col min="15371" max="15371" width="11.75" style="2827" customWidth="1"/>
    <col min="15372" max="15373" width="10.75" style="2827" customWidth="1"/>
    <col min="15374" max="15374" width="10" style="2827" customWidth="1"/>
    <col min="15375" max="15376" width="10.5" style="2827" bestFit="1" customWidth="1"/>
    <col min="15377" max="15377" width="10" style="2827" customWidth="1"/>
    <col min="15378" max="15378" width="10.125" style="2827" customWidth="1"/>
    <col min="15379" max="15379" width="10" style="2827" customWidth="1"/>
    <col min="15380" max="15380" width="26.125" style="2827" customWidth="1"/>
    <col min="15381" max="15616" width="8.875" style="2827"/>
    <col min="15617" max="15617" width="9.5" style="2827" customWidth="1"/>
    <col min="15618" max="15618" width="8.875" style="2827"/>
    <col min="15619" max="15621" width="12.875" style="2827" customWidth="1"/>
    <col min="15622" max="15622" width="47.5" style="2827" customWidth="1"/>
    <col min="15623" max="15623" width="13" style="2827" customWidth="1"/>
    <col min="15624" max="15625" width="8.875" style="2827"/>
    <col min="15626" max="15626" width="5.75" style="2827" customWidth="1"/>
    <col min="15627" max="15627" width="11.75" style="2827" customWidth="1"/>
    <col min="15628" max="15629" width="10.75" style="2827" customWidth="1"/>
    <col min="15630" max="15630" width="10" style="2827" customWidth="1"/>
    <col min="15631" max="15632" width="10.5" style="2827" bestFit="1" customWidth="1"/>
    <col min="15633" max="15633" width="10" style="2827" customWidth="1"/>
    <col min="15634" max="15634" width="10.125" style="2827" customWidth="1"/>
    <col min="15635" max="15635" width="10" style="2827" customWidth="1"/>
    <col min="15636" max="15636" width="26.125" style="2827" customWidth="1"/>
    <col min="15637" max="15872" width="8.875" style="2827"/>
    <col min="15873" max="15873" width="9.5" style="2827" customWidth="1"/>
    <col min="15874" max="15874" width="8.875" style="2827"/>
    <col min="15875" max="15877" width="12.875" style="2827" customWidth="1"/>
    <col min="15878" max="15878" width="47.5" style="2827" customWidth="1"/>
    <col min="15879" max="15879" width="13" style="2827" customWidth="1"/>
    <col min="15880" max="15881" width="8.875" style="2827"/>
    <col min="15882" max="15882" width="5.75" style="2827" customWidth="1"/>
    <col min="15883" max="15883" width="11.75" style="2827" customWidth="1"/>
    <col min="15884" max="15885" width="10.75" style="2827" customWidth="1"/>
    <col min="15886" max="15886" width="10" style="2827" customWidth="1"/>
    <col min="15887" max="15888" width="10.5" style="2827" bestFit="1" customWidth="1"/>
    <col min="15889" max="15889" width="10" style="2827" customWidth="1"/>
    <col min="15890" max="15890" width="10.125" style="2827" customWidth="1"/>
    <col min="15891" max="15891" width="10" style="2827" customWidth="1"/>
    <col min="15892" max="15892" width="26.125" style="2827" customWidth="1"/>
    <col min="15893" max="16128" width="8.875" style="2827"/>
    <col min="16129" max="16129" width="9.5" style="2827" customWidth="1"/>
    <col min="16130" max="16130" width="8.875" style="2827"/>
    <col min="16131" max="16133" width="12.875" style="2827" customWidth="1"/>
    <col min="16134" max="16134" width="47.5" style="2827" customWidth="1"/>
    <col min="16135" max="16135" width="13" style="2827" customWidth="1"/>
    <col min="16136" max="16137" width="8.875" style="2827"/>
    <col min="16138" max="16138" width="5.75" style="2827" customWidth="1"/>
    <col min="16139" max="16139" width="11.75" style="2827" customWidth="1"/>
    <col min="16140" max="16141" width="10.75" style="2827" customWidth="1"/>
    <col min="16142" max="16142" width="10" style="2827" customWidth="1"/>
    <col min="16143" max="16144" width="10.5" style="2827" bestFit="1" customWidth="1"/>
    <col min="16145" max="16145" width="10" style="2827" customWidth="1"/>
    <col min="16146" max="16146" width="10.125" style="2827" customWidth="1"/>
    <col min="16147" max="16147" width="10" style="2827" customWidth="1"/>
    <col min="16148" max="16148" width="26.125" style="2827" customWidth="1"/>
    <col min="16149" max="16384" width="8.875" style="2827"/>
  </cols>
  <sheetData>
    <row r="1" spans="1:22" ht="21" customHeight="1">
      <c r="A1" s="2816" t="s">
        <v>2438</v>
      </c>
      <c r="B1" s="2817"/>
      <c r="C1" s="2830"/>
      <c r="D1" s="2830"/>
      <c r="E1" s="2818"/>
      <c r="F1" s="2819"/>
      <c r="G1" s="2820"/>
      <c r="J1" s="2823" t="s">
        <v>2295</v>
      </c>
      <c r="K1" s="2824"/>
      <c r="L1" s="2824"/>
      <c r="M1" s="2824"/>
      <c r="N1" s="2824"/>
      <c r="O1" s="2824"/>
      <c r="P1" s="2824"/>
      <c r="Q1" s="2824"/>
      <c r="R1" s="2825"/>
      <c r="S1" s="2826"/>
      <c r="T1" s="2826"/>
      <c r="U1" s="2826"/>
    </row>
    <row r="2" spans="1:22" s="2839" customFormat="1" ht="13.15" customHeight="1">
      <c r="A2" s="2828" t="s">
        <v>2296</v>
      </c>
      <c r="B2" s="2829" t="e">
        <f>C40</f>
        <v>#DIV/0!</v>
      </c>
      <c r="C2" s="2830" t="s">
        <v>2297</v>
      </c>
      <c r="D2" s="2830"/>
      <c r="E2" s="2831"/>
      <c r="F2" s="2832"/>
      <c r="G2" s="2833"/>
      <c r="H2" s="2834"/>
      <c r="I2" s="2835"/>
      <c r="J2" s="3696" t="s">
        <v>2298</v>
      </c>
      <c r="K2" s="3697"/>
      <c r="L2" s="2836" t="s">
        <v>2299</v>
      </c>
      <c r="M2" s="2836" t="s">
        <v>2300</v>
      </c>
      <c r="N2" s="2836" t="s">
        <v>2301</v>
      </c>
      <c r="O2" s="2836" t="s">
        <v>2302</v>
      </c>
      <c r="P2" s="2836" t="s">
        <v>2303</v>
      </c>
      <c r="Q2" s="2837" t="s">
        <v>2304</v>
      </c>
      <c r="R2" s="2838" t="s">
        <v>2305</v>
      </c>
      <c r="S2" s="2826"/>
      <c r="T2" s="2826"/>
      <c r="U2" s="2826"/>
      <c r="V2" s="2835"/>
    </row>
    <row r="3" spans="1:22" s="2839" customFormat="1" ht="13.15" customHeight="1">
      <c r="A3" s="2840" t="s">
        <v>2306</v>
      </c>
      <c r="B3" s="2841" t="e">
        <f>ROUND(B2*10000/B4,0)</f>
        <v>#DIV/0!</v>
      </c>
      <c r="C3" s="2830" t="s">
        <v>2307</v>
      </c>
      <c r="D3" s="2830"/>
      <c r="E3" s="2831"/>
      <c r="F3" s="2832"/>
      <c r="G3" s="2833"/>
      <c r="H3" s="2834"/>
      <c r="I3" s="2835"/>
      <c r="J3" s="3698" t="s">
        <v>2308</v>
      </c>
      <c r="K3" s="3699"/>
      <c r="L3" s="2842"/>
      <c r="M3" s="2842"/>
      <c r="N3" s="2842"/>
      <c r="O3" s="2842"/>
      <c r="P3" s="2842"/>
      <c r="Q3" s="2843"/>
      <c r="R3" s="2844">
        <f>SUM(L3:Q3)</f>
        <v>0</v>
      </c>
      <c r="S3" s="2826"/>
      <c r="T3" s="2826"/>
      <c r="U3" s="2826"/>
      <c r="V3" s="2835"/>
    </row>
    <row r="4" spans="1:22" s="2839" customFormat="1" ht="13.15" customHeight="1">
      <c r="A4" s="2845" t="s">
        <v>2309</v>
      </c>
      <c r="B4" s="2846"/>
      <c r="C4" s="2830"/>
      <c r="D4" s="2830"/>
      <c r="E4" s="2831"/>
      <c r="F4" s="2832"/>
      <c r="G4" s="2833"/>
      <c r="H4" s="2834"/>
      <c r="I4" s="2835"/>
      <c r="J4" s="3698" t="s">
        <v>2310</v>
      </c>
      <c r="K4" s="3699"/>
      <c r="L4" s="2847"/>
      <c r="M4" s="2847"/>
      <c r="N4" s="2847"/>
      <c r="O4" s="2847"/>
      <c r="P4" s="2847"/>
      <c r="Q4" s="2848"/>
      <c r="R4" s="2849">
        <f>SUM(L4:Q4)</f>
        <v>0</v>
      </c>
      <c r="S4" s="2826"/>
      <c r="T4" s="2826"/>
      <c r="U4" s="2826"/>
      <c r="V4" s="2835"/>
    </row>
    <row r="5" spans="1:22" s="2839" customFormat="1" ht="13.15" customHeight="1" thickBot="1">
      <c r="A5" s="2850" t="s">
        <v>2311</v>
      </c>
      <c r="B5" s="2851"/>
      <c r="C5" s="2830"/>
      <c r="D5" s="2852"/>
      <c r="E5" s="2832"/>
      <c r="F5" s="2832"/>
      <c r="G5" s="2833"/>
      <c r="H5" s="2834"/>
      <c r="I5" s="2835"/>
      <c r="J5" s="2853" t="s">
        <v>2312</v>
      </c>
      <c r="K5" s="2854"/>
      <c r="L5" s="2854"/>
      <c r="M5" s="2855"/>
      <c r="N5" s="2855"/>
      <c r="O5" s="2855"/>
      <c r="P5" s="2855"/>
      <c r="Q5" s="2855"/>
      <c r="R5" s="2838">
        <f>SUM(R14,R19,R24,R25,R27,R28)</f>
        <v>0</v>
      </c>
      <c r="S5" s="2826"/>
      <c r="T5" s="2826" t="s">
        <v>2313</v>
      </c>
      <c r="U5" s="2826" t="e">
        <f>ROUND(R5*10000/365/R3,1)</f>
        <v>#DIV/0!</v>
      </c>
      <c r="V5" s="2835"/>
    </row>
    <row r="6" spans="1:22" s="2839" customFormat="1" ht="13.15" customHeight="1" thickBot="1">
      <c r="A6" s="3704" t="s">
        <v>2314</v>
      </c>
      <c r="B6" s="3705"/>
      <c r="C6" s="3706"/>
      <c r="D6" s="2856"/>
      <c r="E6" s="2857"/>
      <c r="F6" s="2858"/>
      <c r="G6" s="2859"/>
      <c r="H6" s="2834"/>
      <c r="I6" s="2835"/>
      <c r="J6" s="3690">
        <v>1</v>
      </c>
      <c r="K6" s="3691" t="s">
        <v>2315</v>
      </c>
      <c r="L6" s="2860" t="s">
        <v>2316</v>
      </c>
      <c r="M6" s="2861" t="s">
        <v>2317</v>
      </c>
      <c r="N6" s="2861" t="s">
        <v>2318</v>
      </c>
      <c r="O6" s="2861" t="s">
        <v>2319</v>
      </c>
      <c r="P6" s="2861" t="s">
        <v>2320</v>
      </c>
      <c r="Q6" s="2861" t="s">
        <v>2321</v>
      </c>
      <c r="R6" s="2844" t="s">
        <v>2322</v>
      </c>
      <c r="S6" s="2826"/>
      <c r="T6" s="2826" t="s">
        <v>2323</v>
      </c>
      <c r="U6" s="2826"/>
      <c r="V6" s="2835"/>
    </row>
    <row r="7" spans="1:22" s="2839" customFormat="1" ht="13.15" customHeight="1">
      <c r="A7" s="2862" t="s">
        <v>2324</v>
      </c>
      <c r="B7" s="2863"/>
      <c r="C7" s="2864"/>
      <c r="D7" s="2865">
        <f>SUM(D9,D10,D11,D17,0)</f>
        <v>0</v>
      </c>
      <c r="E7" s="2866" t="e">
        <f>E9+E10+E11+E17</f>
        <v>#DIV/0!</v>
      </c>
      <c r="F7" s="2867"/>
      <c r="G7" s="2868"/>
      <c r="H7" s="2834"/>
      <c r="I7" s="2835"/>
      <c r="J7" s="3690"/>
      <c r="K7" s="3692"/>
      <c r="L7" s="2869" t="s">
        <v>2325</v>
      </c>
      <c r="M7" s="2870"/>
      <c r="N7" s="2846"/>
      <c r="O7" s="2871"/>
      <c r="P7" s="2871"/>
      <c r="Q7" s="2872">
        <v>365</v>
      </c>
      <c r="R7" s="2873">
        <f>ROUND(M7*N7*O7*P7*Q7/10000,0)</f>
        <v>0</v>
      </c>
      <c r="S7" s="2826"/>
      <c r="T7" s="2826" t="s">
        <v>2326</v>
      </c>
      <c r="U7" s="2826"/>
      <c r="V7" s="2835"/>
    </row>
    <row r="8" spans="1:22" s="2839" customFormat="1" ht="13.15" customHeight="1">
      <c r="A8" s="2874" t="s">
        <v>2327</v>
      </c>
      <c r="B8" s="3707" t="s">
        <v>2328</v>
      </c>
      <c r="C8" s="3708"/>
      <c r="D8" s="2875" t="s">
        <v>2329</v>
      </c>
      <c r="E8" s="2876" t="s">
        <v>2330</v>
      </c>
      <c r="F8" s="2877" t="s">
        <v>2331</v>
      </c>
      <c r="G8" s="2878"/>
      <c r="H8" s="2834"/>
      <c r="I8" s="2835"/>
      <c r="J8" s="3690"/>
      <c r="K8" s="3692"/>
      <c r="L8" s="2869" t="s">
        <v>2332</v>
      </c>
      <c r="M8" s="2870"/>
      <c r="N8" s="2846"/>
      <c r="O8" s="2871"/>
      <c r="P8" s="2871"/>
      <c r="Q8" s="2872">
        <v>365</v>
      </c>
      <c r="R8" s="2873">
        <f t="shared" ref="R8:R13" si="0">ROUND(M8*N8*O8*P8*Q8/10000,0)</f>
        <v>0</v>
      </c>
      <c r="S8" s="2826"/>
      <c r="T8" s="2826" t="s">
        <v>2333</v>
      </c>
      <c r="U8" s="2826"/>
      <c r="V8" s="2835"/>
    </row>
    <row r="9" spans="1:22" s="2839" customFormat="1" ht="13.15" customHeight="1">
      <c r="A9" s="2874">
        <v>1</v>
      </c>
      <c r="B9" s="3707" t="s">
        <v>2334</v>
      </c>
      <c r="C9" s="3708"/>
      <c r="D9" s="2875">
        <f>ROUND(D6*E9,0)</f>
        <v>0</v>
      </c>
      <c r="E9" s="2879"/>
      <c r="F9" s="2880" t="s">
        <v>2335</v>
      </c>
      <c r="G9" s="2859"/>
      <c r="H9" s="2834"/>
      <c r="I9" s="2835"/>
      <c r="J9" s="3690"/>
      <c r="K9" s="3692"/>
      <c r="L9" s="2869" t="s">
        <v>2336</v>
      </c>
      <c r="M9" s="2870"/>
      <c r="N9" s="2846"/>
      <c r="O9" s="2871"/>
      <c r="P9" s="2871"/>
      <c r="Q9" s="2872">
        <v>365</v>
      </c>
      <c r="R9" s="2873">
        <f t="shared" si="0"/>
        <v>0</v>
      </c>
      <c r="S9" s="2826"/>
      <c r="T9" s="2826"/>
      <c r="U9" s="2826"/>
      <c r="V9" s="2835"/>
    </row>
    <row r="10" spans="1:22" s="2839" customFormat="1" ht="13.15" customHeight="1">
      <c r="A10" s="2874">
        <v>2</v>
      </c>
      <c r="B10" s="3707" t="s">
        <v>2337</v>
      </c>
      <c r="C10" s="3708"/>
      <c r="D10" s="2875">
        <f>ROUND(D6*E10,0)</f>
        <v>0</v>
      </c>
      <c r="E10" s="2879"/>
      <c r="F10" s="2880" t="s">
        <v>2338</v>
      </c>
      <c r="G10" s="2859"/>
      <c r="H10" s="2834"/>
      <c r="I10" s="2835"/>
      <c r="J10" s="3690"/>
      <c r="K10" s="3692"/>
      <c r="L10" s="2869" t="s">
        <v>2339</v>
      </c>
      <c r="M10" s="2870"/>
      <c r="N10" s="2846"/>
      <c r="O10" s="2871"/>
      <c r="P10" s="2871"/>
      <c r="Q10" s="2872">
        <v>365</v>
      </c>
      <c r="R10" s="2873">
        <f t="shared" si="0"/>
        <v>0</v>
      </c>
      <c r="S10" s="2826"/>
      <c r="T10" s="2826"/>
      <c r="U10" s="2826"/>
      <c r="V10" s="2835"/>
    </row>
    <row r="11" spans="1:22" s="2839" customFormat="1" ht="13.15" customHeight="1">
      <c r="A11" s="2874">
        <v>3</v>
      </c>
      <c r="B11" s="3707" t="s">
        <v>2340</v>
      </c>
      <c r="C11" s="3708"/>
      <c r="D11" s="2875">
        <f>D12+D14+D15+D16</f>
        <v>0</v>
      </c>
      <c r="E11" s="2881" t="e">
        <f>D11/D6</f>
        <v>#DIV/0!</v>
      </c>
      <c r="F11" s="2877"/>
      <c r="G11" s="2878"/>
      <c r="H11" s="2834"/>
      <c r="I11" s="2835"/>
      <c r="J11" s="3690"/>
      <c r="K11" s="3692"/>
      <c r="L11" s="2869" t="s">
        <v>2341</v>
      </c>
      <c r="M11" s="2870"/>
      <c r="N11" s="2846"/>
      <c r="O11" s="2871"/>
      <c r="P11" s="2871"/>
      <c r="Q11" s="2872">
        <v>365</v>
      </c>
      <c r="R11" s="2873">
        <f t="shared" si="0"/>
        <v>0</v>
      </c>
      <c r="S11" s="2826"/>
      <c r="T11" s="2826"/>
      <c r="U11" s="2826"/>
      <c r="V11" s="2835"/>
    </row>
    <row r="12" spans="1:22" s="2839" customFormat="1" ht="13.15" customHeight="1">
      <c r="A12" s="2882" t="s">
        <v>2342</v>
      </c>
      <c r="B12" s="3700" t="s">
        <v>2343</v>
      </c>
      <c r="C12" s="3701"/>
      <c r="D12" s="2883">
        <f>ROUND(D13*1.2%*(1-30%),0)</f>
        <v>0</v>
      </c>
      <c r="E12" s="2884">
        <v>1.2E-2</v>
      </c>
      <c r="F12" s="2877" t="s">
        <v>2344</v>
      </c>
      <c r="G12" s="2878"/>
      <c r="H12" s="2834"/>
      <c r="I12" s="2835"/>
      <c r="J12" s="3690"/>
      <c r="K12" s="3692"/>
      <c r="L12" s="2869" t="s">
        <v>2345</v>
      </c>
      <c r="M12" s="2870"/>
      <c r="N12" s="2846"/>
      <c r="O12" s="2871"/>
      <c r="P12" s="2871"/>
      <c r="Q12" s="2872">
        <v>365</v>
      </c>
      <c r="R12" s="2873">
        <f t="shared" si="0"/>
        <v>0</v>
      </c>
      <c r="S12" s="2826"/>
      <c r="T12" s="2826"/>
      <c r="U12" s="2826"/>
      <c r="V12" s="2835"/>
    </row>
    <row r="13" spans="1:22" s="2839" customFormat="1" ht="13.15" customHeight="1">
      <c r="A13" s="2882"/>
      <c r="B13" s="2885"/>
      <c r="C13" s="2886" t="s">
        <v>2346</v>
      </c>
      <c r="D13" s="2887"/>
      <c r="E13" s="2888"/>
      <c r="F13" s="2877"/>
      <c r="G13" s="2878"/>
      <c r="H13" s="2834"/>
      <c r="I13" s="2835"/>
      <c r="J13" s="3690"/>
      <c r="K13" s="3692"/>
      <c r="L13" s="2869" t="s">
        <v>2347</v>
      </c>
      <c r="M13" s="2870"/>
      <c r="N13" s="2846"/>
      <c r="O13" s="2871"/>
      <c r="P13" s="2871"/>
      <c r="Q13" s="2872">
        <v>365</v>
      </c>
      <c r="R13" s="2873">
        <f t="shared" si="0"/>
        <v>0</v>
      </c>
      <c r="S13" s="2826"/>
      <c r="T13" s="2826"/>
      <c r="U13" s="2826"/>
      <c r="V13" s="2835"/>
    </row>
    <row r="14" spans="1:22" s="2839" customFormat="1" ht="13.15" customHeight="1">
      <c r="A14" s="2882" t="s">
        <v>2348</v>
      </c>
      <c r="B14" s="3700" t="s">
        <v>2349</v>
      </c>
      <c r="C14" s="3701"/>
      <c r="D14" s="2883">
        <f>ROUND(E14*B5/10000,0)</f>
        <v>0</v>
      </c>
      <c r="E14" s="2872"/>
      <c r="F14" s="2877" t="s">
        <v>2350</v>
      </c>
      <c r="G14" s="2878"/>
      <c r="H14" s="2834"/>
      <c r="I14" s="2835"/>
      <c r="J14" s="3690"/>
      <c r="K14" s="3693"/>
      <c r="L14" s="2889" t="s">
        <v>2351</v>
      </c>
      <c r="M14" s="2890">
        <f>SUM(M7:M13)</f>
        <v>0</v>
      </c>
      <c r="N14" s="2890" t="e">
        <f>ROUND((N7*M7+N8*M8+N9*M9+N10*M10+N11*M11+N12*M12+N13*M13)/M14,0)</f>
        <v>#DIV/0!</v>
      </c>
      <c r="O14" s="2891"/>
      <c r="P14" s="2891"/>
      <c r="Q14" s="2892"/>
      <c r="R14" s="2838">
        <f>SUM(R7:R13)</f>
        <v>0</v>
      </c>
      <c r="S14" s="2826"/>
      <c r="T14" s="2826"/>
      <c r="U14" s="2826"/>
      <c r="V14" s="2835"/>
    </row>
    <row r="15" spans="1:22" s="2839" customFormat="1" ht="13.15" customHeight="1">
      <c r="A15" s="2882" t="s">
        <v>2352</v>
      </c>
      <c r="B15" s="3700" t="s">
        <v>2353</v>
      </c>
      <c r="C15" s="3701"/>
      <c r="D15" s="2883">
        <f>ROUND(D6*E15,0)</f>
        <v>0</v>
      </c>
      <c r="E15" s="2884">
        <v>5.5E-2</v>
      </c>
      <c r="F15" s="2877" t="s">
        <v>2354</v>
      </c>
      <c r="G15" s="2859"/>
      <c r="H15" s="2834"/>
      <c r="I15" s="2835"/>
      <c r="J15" s="3690">
        <v>2</v>
      </c>
      <c r="K15" s="3691" t="s">
        <v>2355</v>
      </c>
      <c r="L15" s="2869" t="s">
        <v>2356</v>
      </c>
      <c r="M15" s="2870" t="s">
        <v>2357</v>
      </c>
      <c r="N15" s="2870" t="s">
        <v>2358</v>
      </c>
      <c r="O15" s="2871" t="s">
        <v>2359</v>
      </c>
      <c r="P15" s="2871" t="s">
        <v>2360</v>
      </c>
      <c r="Q15" s="2846" t="s">
        <v>2361</v>
      </c>
      <c r="R15" s="2893" t="s">
        <v>2362</v>
      </c>
      <c r="S15" s="2826"/>
      <c r="T15" s="2826"/>
      <c r="U15" s="2826"/>
      <c r="V15" s="2835"/>
    </row>
    <row r="16" spans="1:22" s="2839" customFormat="1" ht="13.15" customHeight="1">
      <c r="A16" s="2882" t="s">
        <v>2363</v>
      </c>
      <c r="B16" s="3700" t="s">
        <v>2364</v>
      </c>
      <c r="C16" s="3701"/>
      <c r="D16" s="2894">
        <f>D6*E16</f>
        <v>0</v>
      </c>
      <c r="E16" s="2895"/>
      <c r="F16" s="2880" t="s">
        <v>2365</v>
      </c>
      <c r="G16" s="2859"/>
      <c r="H16" s="2834"/>
      <c r="I16" s="2835"/>
      <c r="J16" s="3690"/>
      <c r="K16" s="3692"/>
      <c r="L16" s="2869" t="s">
        <v>2366</v>
      </c>
      <c r="M16" s="2870"/>
      <c r="N16" s="2870"/>
      <c r="O16" s="2871"/>
      <c r="P16" s="2872">
        <v>365</v>
      </c>
      <c r="Q16" s="2846"/>
      <c r="R16" s="2893">
        <f>ROUND(M16*N16*O16*P16/10000,0)</f>
        <v>0</v>
      </c>
      <c r="S16" s="2826"/>
      <c r="T16" s="2826"/>
      <c r="U16" s="2826"/>
      <c r="V16" s="2835"/>
    </row>
    <row r="17" spans="1:22" s="2839" customFormat="1" ht="13.15" customHeight="1" thickBot="1">
      <c r="A17" s="2896">
        <v>4</v>
      </c>
      <c r="B17" s="3702" t="s">
        <v>2367</v>
      </c>
      <c r="C17" s="3703"/>
      <c r="D17" s="2897">
        <f>ROUND(D6*E17,0)</f>
        <v>0</v>
      </c>
      <c r="E17" s="2898"/>
      <c r="F17" s="2899" t="s">
        <v>2368</v>
      </c>
      <c r="G17" s="2859"/>
      <c r="H17" s="2834"/>
      <c r="I17" s="2835"/>
      <c r="J17" s="3690"/>
      <c r="K17" s="3692"/>
      <c r="L17" s="2869" t="s">
        <v>2369</v>
      </c>
      <c r="M17" s="2870"/>
      <c r="N17" s="2870"/>
      <c r="O17" s="2871"/>
      <c r="P17" s="2872">
        <v>365</v>
      </c>
      <c r="Q17" s="2846"/>
      <c r="R17" s="2893">
        <f>ROUND(M17*N17*O17*P17/10000,0)</f>
        <v>0</v>
      </c>
      <c r="S17" s="2826"/>
      <c r="T17" s="2826"/>
      <c r="U17" s="2826"/>
      <c r="V17" s="2835"/>
    </row>
    <row r="18" spans="1:22" s="2839" customFormat="1" ht="13.15" customHeight="1" thickBot="1">
      <c r="A18" s="2862" t="s">
        <v>2370</v>
      </c>
      <c r="B18" s="2863"/>
      <c r="C18" s="2863"/>
      <c r="D18" s="2900">
        <f>ROUND(D6*E18,0)</f>
        <v>0</v>
      </c>
      <c r="E18" s="2901"/>
      <c r="F18" s="2902" t="s">
        <v>2371</v>
      </c>
      <c r="G18" s="2859"/>
      <c r="H18" s="2834"/>
      <c r="I18" s="2835"/>
      <c r="J18" s="3690"/>
      <c r="K18" s="3692"/>
      <c r="L18" s="2869" t="s">
        <v>2372</v>
      </c>
      <c r="M18" s="2870"/>
      <c r="N18" s="2870"/>
      <c r="O18" s="2871"/>
      <c r="P18" s="2872">
        <v>365</v>
      </c>
      <c r="Q18" s="2846"/>
      <c r="R18" s="2893">
        <f>ROUND(M18*N18*O18*P18/10000,0)</f>
        <v>0</v>
      </c>
      <c r="S18" s="2826"/>
      <c r="T18" s="2826"/>
      <c r="U18" s="2826"/>
      <c r="V18" s="2835"/>
    </row>
    <row r="19" spans="1:22" s="2839" customFormat="1" ht="13.15" customHeight="1" thickBot="1">
      <c r="A19" s="2903" t="s">
        <v>2373</v>
      </c>
      <c r="B19" s="2857"/>
      <c r="C19" s="2857"/>
      <c r="D19" s="2857"/>
      <c r="E19" s="2857"/>
      <c r="F19" s="2858"/>
      <c r="G19" s="2878"/>
      <c r="H19" s="2834"/>
      <c r="I19" s="2835"/>
      <c r="J19" s="3690"/>
      <c r="K19" s="3693"/>
      <c r="L19" s="2889" t="s">
        <v>2351</v>
      </c>
      <c r="M19" s="2890"/>
      <c r="N19" s="2890">
        <f>SUM(N16:N18)</f>
        <v>0</v>
      </c>
      <c r="O19" s="2891"/>
      <c r="P19" s="2904" t="s">
        <v>2439</v>
      </c>
      <c r="Q19" s="2871"/>
      <c r="R19" s="2905">
        <f>ROUND(IF(P19="按比例",R14*Q19,SUM(R16:R18)),0)</f>
        <v>0</v>
      </c>
      <c r="S19" s="2826"/>
      <c r="T19" s="2826"/>
      <c r="U19" s="2826"/>
      <c r="V19" s="2835"/>
    </row>
    <row r="20" spans="1:22" s="2839" customFormat="1" ht="13.15" customHeight="1">
      <c r="A20" s="2862"/>
      <c r="B20" s="2863"/>
      <c r="C20" s="2863"/>
      <c r="D20" s="2863"/>
      <c r="E20" s="2863"/>
      <c r="F20" s="2906"/>
      <c r="G20" s="2878"/>
      <c r="H20" s="2834"/>
      <c r="I20" s="2835"/>
      <c r="J20" s="3690">
        <v>3</v>
      </c>
      <c r="K20" s="3691" t="s">
        <v>2374</v>
      </c>
      <c r="L20" s="2869" t="s">
        <v>2375</v>
      </c>
      <c r="M20" s="2870" t="s">
        <v>2376</v>
      </c>
      <c r="N20" s="2907" t="s">
        <v>2377</v>
      </c>
      <c r="O20" s="2871" t="s">
        <v>2378</v>
      </c>
      <c r="P20" s="2872" t="s">
        <v>2379</v>
      </c>
      <c r="Q20" s="2846" t="s">
        <v>2380</v>
      </c>
      <c r="R20" s="2893" t="s">
        <v>2322</v>
      </c>
      <c r="S20" s="2826"/>
      <c r="T20" s="2826"/>
      <c r="U20" s="2826"/>
      <c r="V20" s="2835"/>
    </row>
    <row r="21" spans="1:22" s="2839" customFormat="1" ht="13.15" customHeight="1">
      <c r="A21" s="2862"/>
      <c r="B21" s="2863"/>
      <c r="C21" s="2908" t="s">
        <v>2381</v>
      </c>
      <c r="D21" s="2909" t="s">
        <v>2382</v>
      </c>
      <c r="E21" s="2910" t="s">
        <v>2383</v>
      </c>
      <c r="F21" s="2906"/>
      <c r="G21" s="2878"/>
      <c r="H21" s="2834"/>
      <c r="I21" s="2835"/>
      <c r="J21" s="3690"/>
      <c r="K21" s="3692"/>
      <c r="L21" s="2869" t="s">
        <v>2384</v>
      </c>
      <c r="M21" s="2870"/>
      <c r="N21" s="2870"/>
      <c r="O21" s="2871"/>
      <c r="P21" s="2872">
        <v>365</v>
      </c>
      <c r="Q21" s="2846"/>
      <c r="R21" s="2911">
        <f>ROUND(M21*N21*O21*P21/10000,0)</f>
        <v>0</v>
      </c>
      <c r="S21" s="2826"/>
      <c r="T21" s="2826"/>
      <c r="U21" s="2826"/>
      <c r="V21" s="2835"/>
    </row>
    <row r="22" spans="1:22" s="2839" customFormat="1" ht="13.15" customHeight="1">
      <c r="A22" s="2862"/>
      <c r="B22" s="2863"/>
      <c r="C22" s="2912" t="s">
        <v>2385</v>
      </c>
      <c r="D22" s="2913" t="s">
        <v>2386</v>
      </c>
      <c r="E22" s="2914" t="s">
        <v>2387</v>
      </c>
      <c r="F22" s="2906"/>
      <c r="G22" s="2826"/>
      <c r="H22" s="2834"/>
      <c r="I22" s="2835"/>
      <c r="J22" s="3690"/>
      <c r="K22" s="3692"/>
      <c r="L22" s="2869" t="s">
        <v>2388</v>
      </c>
      <c r="M22" s="2870"/>
      <c r="N22" s="2870"/>
      <c r="O22" s="2871"/>
      <c r="P22" s="2872">
        <v>365</v>
      </c>
      <c r="Q22" s="2846"/>
      <c r="R22" s="2911">
        <f>ROUND(M22*N22*O22*P22/10000,0)</f>
        <v>0</v>
      </c>
      <c r="S22" s="2826"/>
      <c r="T22" s="2826"/>
      <c r="U22" s="2826"/>
      <c r="V22" s="2835"/>
    </row>
    <row r="23" spans="1:22" s="2839" customFormat="1" ht="13.15" customHeight="1">
      <c r="A23" s="2915">
        <v>1</v>
      </c>
      <c r="B23" s="2916" t="s">
        <v>2389</v>
      </c>
      <c r="C23" s="2917">
        <f>D6</f>
        <v>0</v>
      </c>
      <c r="D23" s="2918">
        <f>C23*(1+D24)</f>
        <v>0</v>
      </c>
      <c r="E23" s="2919">
        <f>D23*(1+E24)</f>
        <v>0</v>
      </c>
      <c r="F23" s="2920"/>
      <c r="G23" s="2921"/>
      <c r="H23" s="2834"/>
      <c r="I23" s="2835"/>
      <c r="J23" s="3690"/>
      <c r="K23" s="3692"/>
      <c r="L23" s="2869" t="s">
        <v>2390</v>
      </c>
      <c r="M23" s="2870"/>
      <c r="N23" s="2870"/>
      <c r="O23" s="2871"/>
      <c r="P23" s="2872">
        <v>365</v>
      </c>
      <c r="Q23" s="2846"/>
      <c r="R23" s="2911">
        <f>ROUND(M23*N23*O23*P23/10000,0)</f>
        <v>0</v>
      </c>
      <c r="S23" s="2826"/>
      <c r="T23" s="2826"/>
      <c r="U23" s="2826"/>
      <c r="V23" s="2835"/>
    </row>
    <row r="24" spans="1:22" s="2839" customFormat="1" ht="13.15" customHeight="1">
      <c r="A24" s="2922"/>
      <c r="B24" s="2923" t="s">
        <v>2391</v>
      </c>
      <c r="C24" s="2924"/>
      <c r="D24" s="2925"/>
      <c r="E24" s="2926"/>
      <c r="F24" s="2927"/>
      <c r="G24" s="2921"/>
      <c r="H24" s="2834"/>
      <c r="I24" s="2835"/>
      <c r="J24" s="3690"/>
      <c r="K24" s="3693"/>
      <c r="L24" s="2889" t="s">
        <v>2351</v>
      </c>
      <c r="M24" s="2890">
        <f>SUM(M21:M23)</f>
        <v>0</v>
      </c>
      <c r="N24" s="2890"/>
      <c r="O24" s="2891"/>
      <c r="P24" s="2904" t="s">
        <v>2439</v>
      </c>
      <c r="Q24" s="2871"/>
      <c r="R24" s="2905">
        <f>ROUND(IF(P24="按比例",R14*Q24,SUM(R21:R23)),0)</f>
        <v>0</v>
      </c>
      <c r="S24" s="2826"/>
      <c r="T24" s="2826"/>
      <c r="U24" s="2826"/>
      <c r="V24" s="2835"/>
    </row>
    <row r="25" spans="1:22" s="2934" customFormat="1" ht="13.15" customHeight="1">
      <c r="A25" s="2922"/>
      <c r="B25" s="2923"/>
      <c r="C25" s="2924"/>
      <c r="D25" s="2925"/>
      <c r="E25" s="2926"/>
      <c r="F25" s="2927"/>
      <c r="G25" s="2826"/>
      <c r="H25" s="2834"/>
      <c r="I25" s="2835"/>
      <c r="J25" s="2928">
        <v>4</v>
      </c>
      <c r="K25" s="2929" t="s">
        <v>2392</v>
      </c>
      <c r="L25" s="2930"/>
      <c r="M25" s="2930"/>
      <c r="N25" s="2930"/>
      <c r="O25" s="2930"/>
      <c r="P25" s="2931"/>
      <c r="Q25" s="2932"/>
      <c r="R25" s="2905">
        <f>ROUND(R14*Q25,0)</f>
        <v>0</v>
      </c>
      <c r="S25" s="2826"/>
      <c r="T25" s="2826"/>
      <c r="U25" s="2826"/>
      <c r="V25" s="2933"/>
    </row>
    <row r="26" spans="1:22" s="2934" customFormat="1" ht="13.15" customHeight="1">
      <c r="A26" s="2915">
        <v>2</v>
      </c>
      <c r="B26" s="2916" t="s">
        <v>2393</v>
      </c>
      <c r="C26" s="2917">
        <f>D7</f>
        <v>0</v>
      </c>
      <c r="D26" s="2918">
        <f>D23*D27</f>
        <v>0</v>
      </c>
      <c r="E26" s="2919">
        <f>E23*E27</f>
        <v>0</v>
      </c>
      <c r="F26" s="2920"/>
      <c r="G26" s="2921"/>
      <c r="H26" s="2834"/>
      <c r="I26" s="2835"/>
      <c r="J26" s="3694">
        <v>5</v>
      </c>
      <c r="K26" s="2935" t="s">
        <v>2394</v>
      </c>
      <c r="L26" s="2936"/>
      <c r="M26" s="2937"/>
      <c r="N26" s="2938" t="s">
        <v>2395</v>
      </c>
      <c r="O26" s="2938" t="s">
        <v>2396</v>
      </c>
      <c r="P26" s="2939" t="s">
        <v>2397</v>
      </c>
      <c r="Q26" s="2939" t="s">
        <v>2398</v>
      </c>
      <c r="R26" s="2844" t="s">
        <v>2399</v>
      </c>
      <c r="S26" s="2878"/>
      <c r="T26" s="2878"/>
      <c r="U26" s="2878"/>
      <c r="V26" s="2933"/>
    </row>
    <row r="27" spans="1:22" s="2839" customFormat="1" ht="13.15" customHeight="1">
      <c r="A27" s="2922"/>
      <c r="B27" s="2923" t="s">
        <v>2400</v>
      </c>
      <c r="C27" s="2940" t="e">
        <f>E7</f>
        <v>#DIV/0!</v>
      </c>
      <c r="D27" s="2925"/>
      <c r="E27" s="2926"/>
      <c r="F27" s="2927"/>
      <c r="G27" s="2921"/>
      <c r="H27" s="2941"/>
      <c r="I27" s="2933"/>
      <c r="J27" s="3695"/>
      <c r="K27" s="2942"/>
      <c r="L27" s="2943"/>
      <c r="M27" s="2944"/>
      <c r="N27" s="2945"/>
      <c r="O27" s="2945"/>
      <c r="P27" s="2945"/>
      <c r="Q27" s="2946"/>
      <c r="R27" s="2905">
        <f>ROUND(O27*N27*P27*(1-Q27)/10000,0)</f>
        <v>0</v>
      </c>
      <c r="S27" s="2826"/>
      <c r="T27" s="2826"/>
      <c r="U27" s="2826"/>
      <c r="V27" s="2835"/>
    </row>
    <row r="28" spans="1:22" s="2934" customFormat="1" ht="13.15" customHeight="1" thickBot="1">
      <c r="A28" s="2922"/>
      <c r="B28" s="2923"/>
      <c r="C28" s="2940"/>
      <c r="D28" s="2925"/>
      <c r="E28" s="2926" t="s">
        <v>2401</v>
      </c>
      <c r="F28" s="2927"/>
      <c r="G28" s="2826"/>
      <c r="H28" s="2941"/>
      <c r="I28" s="2933"/>
      <c r="J28" s="2947">
        <v>6</v>
      </c>
      <c r="K28" s="2948" t="s">
        <v>2402</v>
      </c>
      <c r="L28" s="2949" t="s">
        <v>2403</v>
      </c>
      <c r="M28" s="2950"/>
      <c r="N28" s="2949" t="s">
        <v>2404</v>
      </c>
      <c r="O28" s="2951"/>
      <c r="P28" s="2949" t="s">
        <v>2405</v>
      </c>
      <c r="Q28" s="2952">
        <v>1.4999999999999999E-2</v>
      </c>
      <c r="R28" s="2953"/>
      <c r="S28" s="2826"/>
      <c r="T28" s="2826"/>
      <c r="U28" s="2826"/>
      <c r="V28" s="2933"/>
    </row>
    <row r="29" spans="1:22" s="2934" customFormat="1" ht="13.15" customHeight="1">
      <c r="A29" s="2915">
        <v>3</v>
      </c>
      <c r="B29" s="2916" t="s">
        <v>2406</v>
      </c>
      <c r="C29" s="2917">
        <f>C23*C30</f>
        <v>0</v>
      </c>
      <c r="D29" s="2918">
        <f>D23*C30</f>
        <v>0</v>
      </c>
      <c r="E29" s="2919">
        <f>E23*C30</f>
        <v>0</v>
      </c>
      <c r="F29" s="2920"/>
      <c r="G29" s="2921"/>
      <c r="H29" s="2834"/>
      <c r="I29" s="2835"/>
      <c r="J29" s="2826"/>
      <c r="K29" s="2826"/>
      <c r="L29" s="2826"/>
      <c r="M29" s="2826"/>
      <c r="N29" s="2826"/>
      <c r="O29" s="2826"/>
      <c r="P29" s="2826"/>
      <c r="Q29" s="2826"/>
      <c r="R29" s="2826"/>
      <c r="S29" s="2826"/>
      <c r="T29" s="2826"/>
      <c r="U29" s="2826"/>
      <c r="V29" s="2933"/>
    </row>
    <row r="30" spans="1:22" s="2839" customFormat="1" ht="13.15" customHeight="1" thickBot="1">
      <c r="A30" s="2922"/>
      <c r="B30" s="2923" t="s">
        <v>2407</v>
      </c>
      <c r="C30" s="2940">
        <f>E18</f>
        <v>0</v>
      </c>
      <c r="D30" s="2954"/>
      <c r="E30" s="2888"/>
      <c r="F30" s="2927"/>
      <c r="G30" s="2921"/>
      <c r="H30" s="2941"/>
      <c r="I30" s="2933"/>
      <c r="J30" s="2826"/>
      <c r="K30" s="2826"/>
      <c r="L30" s="2826"/>
      <c r="M30" s="2826"/>
      <c r="N30" s="2826"/>
      <c r="O30" s="2826"/>
      <c r="P30" s="2826"/>
      <c r="Q30" s="2826"/>
      <c r="R30" s="2826"/>
      <c r="S30" s="2826"/>
      <c r="T30" s="2826"/>
      <c r="U30" s="2826"/>
      <c r="V30" s="2835"/>
    </row>
    <row r="31" spans="1:22" s="2934" customFormat="1" ht="13.15" customHeight="1">
      <c r="A31" s="2922"/>
      <c r="B31" s="2923"/>
      <c r="C31" s="2955"/>
      <c r="D31" s="2954"/>
      <c r="E31" s="2888"/>
      <c r="F31" s="2927"/>
      <c r="G31" s="2826"/>
      <c r="H31" s="2941"/>
      <c r="I31" s="2933"/>
      <c r="J31" s="2823" t="s">
        <v>2408</v>
      </c>
      <c r="K31" s="2824"/>
      <c r="L31" s="2824"/>
      <c r="M31" s="2824"/>
      <c r="N31" s="2824"/>
      <c r="O31" s="2824"/>
      <c r="P31" s="2824"/>
      <c r="Q31" s="2824"/>
      <c r="R31" s="2825"/>
      <c r="S31" s="2826"/>
      <c r="T31" s="2826"/>
      <c r="U31" s="2826"/>
      <c r="V31" s="2933"/>
    </row>
    <row r="32" spans="1:22" s="2934" customFormat="1" ht="13.15" customHeight="1">
      <c r="A32" s="2915">
        <v>4</v>
      </c>
      <c r="B32" s="2916" t="s">
        <v>2409</v>
      </c>
      <c r="C32" s="2917">
        <f>C23-C26-C29</f>
        <v>0</v>
      </c>
      <c r="D32" s="2918">
        <f>D23-D26-D29</f>
        <v>0</v>
      </c>
      <c r="E32" s="2919">
        <f>E23-E26-E29</f>
        <v>0</v>
      </c>
      <c r="F32" s="2920"/>
      <c r="G32" s="2826"/>
      <c r="H32" s="2834"/>
      <c r="I32" s="2835"/>
      <c r="J32" s="3696" t="s">
        <v>2410</v>
      </c>
      <c r="K32" s="3697"/>
      <c r="L32" s="2836" t="s">
        <v>2411</v>
      </c>
      <c r="M32" s="2836" t="s">
        <v>2300</v>
      </c>
      <c r="N32" s="2836" t="s">
        <v>2301</v>
      </c>
      <c r="O32" s="2836" t="s">
        <v>2302</v>
      </c>
      <c r="P32" s="2836" t="s">
        <v>2303</v>
      </c>
      <c r="Q32" s="2837" t="s">
        <v>2412</v>
      </c>
      <c r="R32" s="2956" t="s">
        <v>2413</v>
      </c>
      <c r="S32" s="2826"/>
      <c r="T32" s="2826"/>
      <c r="U32" s="2826"/>
      <c r="V32" s="2933"/>
    </row>
    <row r="33" spans="1:23" s="2839" customFormat="1" ht="13.15" customHeight="1">
      <c r="A33" s="2915"/>
      <c r="B33" s="2916"/>
      <c r="C33" s="2917"/>
      <c r="D33" s="2957"/>
      <c r="E33" s="2958"/>
      <c r="F33" s="2920"/>
      <c r="G33" s="2826"/>
      <c r="H33" s="2941"/>
      <c r="I33" s="2933"/>
      <c r="J33" s="3698" t="s">
        <v>2414</v>
      </c>
      <c r="K33" s="3699"/>
      <c r="L33" s="2842"/>
      <c r="M33" s="2842"/>
      <c r="N33" s="2842"/>
      <c r="O33" s="2842"/>
      <c r="P33" s="2842"/>
      <c r="Q33" s="2843"/>
      <c r="R33" s="2959">
        <f>SUM(L33:Q33)</f>
        <v>0</v>
      </c>
      <c r="S33" s="2826"/>
      <c r="T33" s="2826"/>
      <c r="U33" s="2826"/>
      <c r="V33" s="2835"/>
    </row>
    <row r="34" spans="1:23" s="2839" customFormat="1" ht="13.15" customHeight="1">
      <c r="A34" s="2915">
        <v>5</v>
      </c>
      <c r="B34" s="2916" t="s">
        <v>2415</v>
      </c>
      <c r="C34" s="2960"/>
      <c r="D34" s="2961"/>
      <c r="E34" s="2962"/>
      <c r="F34" s="2920"/>
      <c r="G34" s="2826"/>
      <c r="H34" s="2941"/>
      <c r="I34" s="2933"/>
      <c r="J34" s="3698" t="s">
        <v>2416</v>
      </c>
      <c r="K34" s="3699"/>
      <c r="L34" s="2847"/>
      <c r="M34" s="2847"/>
      <c r="N34" s="2847"/>
      <c r="O34" s="2847"/>
      <c r="P34" s="2847"/>
      <c r="Q34" s="2848"/>
      <c r="R34" s="2963">
        <f>SUM(L34:Q34)</f>
        <v>0</v>
      </c>
      <c r="S34" s="2826"/>
      <c r="T34" s="2826"/>
      <c r="U34" s="2826" t="e">
        <f>ROUND(R35*10000/365/R33,1)</f>
        <v>#DIV/0!</v>
      </c>
      <c r="V34" s="2835"/>
    </row>
    <row r="35" spans="1:23" s="2839" customFormat="1" ht="13.15" customHeight="1">
      <c r="A35" s="2915">
        <v>6</v>
      </c>
      <c r="B35" s="2916" t="s">
        <v>2417</v>
      </c>
      <c r="C35" s="2964"/>
      <c r="D35" s="2965"/>
      <c r="E35" s="2966"/>
      <c r="F35" s="2920"/>
      <c r="G35" s="2967"/>
      <c r="H35" s="2834"/>
      <c r="I35" s="2933"/>
      <c r="J35" s="2853" t="s">
        <v>2418</v>
      </c>
      <c r="K35" s="2854"/>
      <c r="L35" s="2854"/>
      <c r="M35" s="2855"/>
      <c r="N35" s="2855"/>
      <c r="O35" s="2855"/>
      <c r="P35" s="2855"/>
      <c r="Q35" s="2855"/>
      <c r="R35" s="2968">
        <f>R40+R41+R43</f>
        <v>0</v>
      </c>
      <c r="S35" s="2826"/>
      <c r="T35" s="2826" t="s">
        <v>2419</v>
      </c>
      <c r="U35" s="2826"/>
      <c r="V35" s="2835"/>
    </row>
    <row r="36" spans="1:23" s="2839" customFormat="1" ht="13.15" customHeight="1" thickBot="1">
      <c r="A36" s="2915">
        <v>7</v>
      </c>
      <c r="B36" s="2969" t="s">
        <v>2420</v>
      </c>
      <c r="C36" s="2970"/>
      <c r="D36" s="2971"/>
      <c r="E36" s="2972"/>
      <c r="F36" s="2973">
        <f>C36+D36+E36</f>
        <v>0</v>
      </c>
      <c r="G36" s="2826"/>
      <c r="H36" s="2834"/>
      <c r="I36" s="2835"/>
      <c r="J36" s="3690">
        <v>1</v>
      </c>
      <c r="K36" s="3691" t="s">
        <v>2421</v>
      </c>
      <c r="L36" s="2860"/>
      <c r="M36" s="2861"/>
      <c r="N36" s="2861"/>
      <c r="O36" s="2861"/>
      <c r="P36" s="2861"/>
      <c r="Q36" s="2861"/>
      <c r="R36" s="2844" t="s">
        <v>2322</v>
      </c>
      <c r="S36" s="2826"/>
      <c r="T36" s="2826" t="s">
        <v>2323</v>
      </c>
      <c r="U36" s="2826"/>
      <c r="V36" s="2835"/>
    </row>
    <row r="37" spans="1:23" s="2839" customFormat="1" ht="13.15" customHeight="1">
      <c r="A37" s="2915"/>
      <c r="B37" s="2916"/>
      <c r="C37" s="2916"/>
      <c r="D37" s="2916"/>
      <c r="E37" s="2916"/>
      <c r="F37" s="2920"/>
      <c r="G37" s="2826"/>
      <c r="H37" s="2834"/>
      <c r="I37" s="2835"/>
      <c r="J37" s="3690"/>
      <c r="K37" s="3692"/>
      <c r="L37" s="2869"/>
      <c r="M37" s="2870"/>
      <c r="N37" s="2846"/>
      <c r="O37" s="2871"/>
      <c r="P37" s="2871"/>
      <c r="Q37" s="2872"/>
      <c r="R37" s="2873"/>
      <c r="S37" s="2826"/>
      <c r="T37" s="2826" t="s">
        <v>2326</v>
      </c>
      <c r="U37" s="2826"/>
      <c r="V37" s="2835"/>
    </row>
    <row r="38" spans="1:23" s="2839" customFormat="1" ht="13.15" customHeight="1">
      <c r="A38" s="2915">
        <v>8</v>
      </c>
      <c r="B38" s="2916"/>
      <c r="C38" s="2875" t="e">
        <f>ROUND(C32*(1-((1+C35)/(1+C34))^C36)/(C34-C35),0)</f>
        <v>#DIV/0!</v>
      </c>
      <c r="D38" s="2875">
        <f>IF(D23=0,0,ROUND(D32*(1-((1+D35)/(1+D34))^D36)/(D34-D35),0))</f>
        <v>0</v>
      </c>
      <c r="E38" s="2875">
        <f>IF(E23=0,0,ROUND(E32*(1-((1+E35)/(1+E34))^E36)/(E34-E35),0))</f>
        <v>0</v>
      </c>
      <c r="F38" s="2920"/>
      <c r="G38" s="2826"/>
      <c r="H38" s="2834"/>
      <c r="I38" s="2835"/>
      <c r="J38" s="3690"/>
      <c r="K38" s="3692"/>
      <c r="L38" s="2869"/>
      <c r="M38" s="2870"/>
      <c r="N38" s="2846"/>
      <c r="O38" s="2871"/>
      <c r="P38" s="2871"/>
      <c r="Q38" s="2872"/>
      <c r="R38" s="2873"/>
      <c r="S38" s="2826"/>
      <c r="T38" s="2826" t="s">
        <v>2333</v>
      </c>
      <c r="U38" s="2826"/>
      <c r="V38" s="2835"/>
    </row>
    <row r="39" spans="1:23" s="2839" customFormat="1" ht="13.15" customHeight="1">
      <c r="A39" s="2915">
        <v>9</v>
      </c>
      <c r="B39" s="2916" t="s">
        <v>2422</v>
      </c>
      <c r="C39" s="2883" t="e">
        <f>C38</f>
        <v>#DIV/0!</v>
      </c>
      <c r="D39" s="2916">
        <f>D38/(1+D34)^C36</f>
        <v>0</v>
      </c>
      <c r="E39" s="2916">
        <f>E38/(1+E34)^(C36+D36)</f>
        <v>0</v>
      </c>
      <c r="F39" s="2920"/>
      <c r="G39" s="2835"/>
      <c r="H39" s="2834"/>
      <c r="I39" s="2835"/>
      <c r="J39" s="3690"/>
      <c r="K39" s="3692"/>
      <c r="L39" s="2869"/>
      <c r="M39" s="2870"/>
      <c r="N39" s="2846"/>
      <c r="O39" s="2871"/>
      <c r="P39" s="2871"/>
      <c r="Q39" s="2872"/>
      <c r="R39" s="2873"/>
      <c r="S39" s="2826"/>
      <c r="T39" s="2826"/>
      <c r="U39" s="2826"/>
      <c r="V39" s="2835"/>
    </row>
    <row r="40" spans="1:23" s="2839" customFormat="1" ht="13.15" customHeight="1">
      <c r="A40" s="2974">
        <v>10</v>
      </c>
      <c r="B40" s="2916" t="s">
        <v>2423</v>
      </c>
      <c r="C40" s="2975" t="e">
        <f>C39+D39+E39</f>
        <v>#DIV/0!</v>
      </c>
      <c r="D40" s="2976"/>
      <c r="E40" s="2976"/>
      <c r="F40" s="2977"/>
      <c r="G40" s="2826"/>
      <c r="H40" s="2834"/>
      <c r="I40" s="2835"/>
      <c r="J40" s="3690"/>
      <c r="K40" s="3693"/>
      <c r="L40" s="2889" t="s">
        <v>2424</v>
      </c>
      <c r="M40" s="2890"/>
      <c r="N40" s="2890"/>
      <c r="O40" s="2891"/>
      <c r="P40" s="2891"/>
      <c r="Q40" s="2892"/>
      <c r="R40" s="2838">
        <f>SUM(R37:R39)</f>
        <v>0</v>
      </c>
      <c r="S40" s="2826"/>
      <c r="T40" s="2826"/>
      <c r="U40" s="2826"/>
      <c r="V40" s="2835"/>
    </row>
    <row r="41" spans="1:23" s="2839" customFormat="1" ht="13.15" customHeight="1" thickBot="1">
      <c r="A41" s="2978">
        <v>11</v>
      </c>
      <c r="B41" s="2979" t="s">
        <v>2425</v>
      </c>
      <c r="C41" s="2979" t="e">
        <f>ROUND(C40*10000/B4,0)</f>
        <v>#DIV/0!</v>
      </c>
      <c r="D41" s="2980"/>
      <c r="E41" s="2980"/>
      <c r="F41" s="2981"/>
      <c r="G41" s="2834"/>
      <c r="H41" s="2834"/>
      <c r="I41" s="2835"/>
      <c r="J41" s="2928">
        <v>2</v>
      </c>
      <c r="K41" s="2929" t="s">
        <v>2426</v>
      </c>
      <c r="L41" s="2930"/>
      <c r="M41" s="2930"/>
      <c r="N41" s="2930"/>
      <c r="O41" s="2930"/>
      <c r="P41" s="2931"/>
      <c r="Q41" s="2932"/>
      <c r="R41" s="2905">
        <f>ROUND(R40*Q41,0)</f>
        <v>0</v>
      </c>
      <c r="S41" s="2826"/>
      <c r="T41" s="2826"/>
      <c r="U41" s="2878"/>
      <c r="V41" s="2835"/>
    </row>
    <row r="42" spans="1:23" s="2839" customFormat="1" ht="13.15" customHeight="1">
      <c r="G42" s="2834"/>
      <c r="H42" s="2834"/>
      <c r="I42" s="2835"/>
      <c r="J42" s="3694">
        <v>3</v>
      </c>
      <c r="K42" s="2935" t="s">
        <v>2427</v>
      </c>
      <c r="L42" s="2936"/>
      <c r="M42" s="2937"/>
      <c r="N42" s="2938" t="s">
        <v>2428</v>
      </c>
      <c r="O42" s="2938" t="s">
        <v>2429</v>
      </c>
      <c r="P42" s="2939" t="s">
        <v>2430</v>
      </c>
      <c r="Q42" s="2939" t="s">
        <v>2431</v>
      </c>
      <c r="R42" s="2844" t="s">
        <v>2432</v>
      </c>
      <c r="S42" s="2878"/>
      <c r="T42" s="2878"/>
      <c r="U42" s="2826"/>
      <c r="V42" s="2835"/>
    </row>
    <row r="43" spans="1:23" ht="13.15" customHeight="1">
      <c r="A43" s="2839"/>
      <c r="B43" s="2839"/>
      <c r="C43" s="2839"/>
      <c r="D43" s="2839"/>
      <c r="E43" s="2839"/>
      <c r="F43" s="2839"/>
      <c r="I43" s="2821"/>
      <c r="J43" s="3695"/>
      <c r="K43" s="2942"/>
      <c r="L43" s="2943"/>
      <c r="M43" s="2944"/>
      <c r="N43" s="2870"/>
      <c r="O43" s="2870"/>
      <c r="P43" s="2870"/>
      <c r="Q43" s="2932"/>
      <c r="R43" s="2905">
        <f>ROUND(O43*N43*P43*(1-Q43)/10000,0)</f>
        <v>0</v>
      </c>
      <c r="S43" s="2826"/>
      <c r="T43" s="2826"/>
      <c r="V43" s="2982"/>
      <c r="W43" s="2983"/>
    </row>
    <row r="44" spans="1:23" ht="13.15" customHeight="1" thickBot="1">
      <c r="J44" s="2947">
        <v>6</v>
      </c>
      <c r="K44" s="2948" t="s">
        <v>2433</v>
      </c>
      <c r="L44" s="2984" t="s">
        <v>2434</v>
      </c>
      <c r="M44" s="2950"/>
      <c r="N44" s="2984" t="s">
        <v>2435</v>
      </c>
      <c r="O44" s="2950"/>
      <c r="P44" s="2984" t="s">
        <v>2436</v>
      </c>
      <c r="Q44" s="2952">
        <v>1.4999999999999999E-2</v>
      </c>
      <c r="R44" s="295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1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100-000001000000}">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785" customWidth="1"/>
    <col min="2" max="2" width="26.625" style="1786" customWidth="1"/>
    <col min="3" max="3" width="11.125" style="1786" customWidth="1"/>
    <col min="4" max="5" width="11.125" style="1787" customWidth="1"/>
    <col min="6" max="6" width="9.5" style="1786" customWidth="1"/>
    <col min="7" max="7" width="31.875" style="1786" customWidth="1"/>
    <col min="8" max="25" width="9" style="1788" customWidth="1"/>
    <col min="26" max="254" width="9" style="1786" customWidth="1"/>
    <col min="255" max="16384" width="8.375" style="1786"/>
  </cols>
  <sheetData>
    <row r="1" spans="1:25" s="1672" customFormat="1" ht="20.25">
      <c r="A1" s="391" t="s">
        <v>551</v>
      </c>
      <c r="B1" s="679"/>
      <c r="C1" s="1782"/>
      <c r="D1" s="1782"/>
      <c r="E1" s="1782"/>
      <c r="F1" s="1782"/>
      <c r="G1" s="1716"/>
    </row>
    <row r="2" spans="1:25" s="1672" customFormat="1" ht="18" customHeight="1">
      <c r="A2" s="393" t="s">
        <v>427</v>
      </c>
      <c r="B2" s="395">
        <f ca="1">C23</f>
        <v>0</v>
      </c>
      <c r="C2" s="2768"/>
      <c r="D2" s="2768"/>
      <c r="E2" s="2768"/>
      <c r="F2" s="2768"/>
      <c r="G2" s="2768"/>
    </row>
    <row r="3" spans="1:25" s="1672" customFormat="1" ht="18" customHeight="1">
      <c r="A3" s="1170" t="s">
        <v>1218</v>
      </c>
      <c r="B3" s="395">
        <f ca="1">ROUND(B2*10000/'数据-汇总表'!E3,0)</f>
        <v>0</v>
      </c>
      <c r="C3" s="2768"/>
      <c r="D3" s="2768"/>
      <c r="E3" s="2768"/>
      <c r="F3" s="2768"/>
      <c r="G3" s="2768"/>
    </row>
    <row r="4" spans="1:25" s="1672" customFormat="1" ht="18" customHeight="1">
      <c r="A4" s="396" t="s">
        <v>428</v>
      </c>
      <c r="B4" s="397">
        <f ca="1">ROUND(B2*10000/'数据-汇总表'!D3,0)</f>
        <v>0</v>
      </c>
      <c r="C4" s="2728"/>
      <c r="D4" s="2768"/>
      <c r="E4" s="2768"/>
      <c r="F4" s="2768"/>
      <c r="G4" s="2768"/>
    </row>
    <row r="5" spans="1:25" s="1672" customFormat="1" ht="18" customHeight="1" thickBot="1">
      <c r="A5" s="399"/>
      <c r="B5" s="400">
        <f ca="1">ROUND(B2/('数据-汇总表'!D3/666.67),0)</f>
        <v>0</v>
      </c>
      <c r="C5" s="401" t="s">
        <v>429</v>
      </c>
      <c r="D5" s="2768"/>
      <c r="E5" s="2768"/>
      <c r="F5" s="2768"/>
      <c r="G5" s="2768"/>
    </row>
    <row r="6" spans="1:25" s="1783" customFormat="1" ht="13.5" customHeight="1">
      <c r="A6" s="680"/>
      <c r="B6" s="681" t="s">
        <v>552</v>
      </c>
      <c r="C6" s="682" t="s">
        <v>553</v>
      </c>
      <c r="D6" s="682" t="s">
        <v>554</v>
      </c>
      <c r="E6" s="683" t="s">
        <v>555</v>
      </c>
      <c r="F6" s="683" t="s">
        <v>556</v>
      </c>
      <c r="G6" s="2767" t="s">
        <v>2280</v>
      </c>
    </row>
    <row r="7" spans="1:25" s="1783" customFormat="1" ht="13.5" customHeight="1">
      <c r="A7" s="1981">
        <v>1</v>
      </c>
      <c r="B7" s="684" t="s">
        <v>557</v>
      </c>
      <c r="C7" s="685">
        <f>C8+C9</f>
        <v>0</v>
      </c>
      <c r="D7" s="685"/>
      <c r="E7" s="686"/>
      <c r="F7" s="686"/>
      <c r="G7" s="1990"/>
    </row>
    <row r="8" spans="1:25" s="1783" customFormat="1" ht="13.5" customHeight="1">
      <c r="A8" s="1981" t="s">
        <v>1786</v>
      </c>
      <c r="B8" s="1984" t="s">
        <v>1788</v>
      </c>
      <c r="C8" s="2771">
        <f>ROUND(D8*E8/10000,0)</f>
        <v>0</v>
      </c>
      <c r="D8" s="2771">
        <v>0</v>
      </c>
      <c r="E8" s="2772">
        <v>0</v>
      </c>
      <c r="F8" s="686"/>
      <c r="G8" s="687"/>
    </row>
    <row r="9" spans="1:25" s="1783" customFormat="1" ht="13.5" customHeight="1">
      <c r="A9" s="1981" t="s">
        <v>1787</v>
      </c>
      <c r="B9" s="1984" t="s">
        <v>1789</v>
      </c>
      <c r="C9" s="2771">
        <f>ROUND(D9*E9/10000,0)</f>
        <v>0</v>
      </c>
      <c r="D9" s="2771">
        <v>0</v>
      </c>
      <c r="E9" s="2772">
        <v>0</v>
      </c>
      <c r="F9" s="686"/>
      <c r="G9" s="687"/>
    </row>
    <row r="10" spans="1:25" s="1783" customFormat="1" ht="36">
      <c r="A10" s="1981">
        <v>2</v>
      </c>
      <c r="B10" s="684" t="s">
        <v>561</v>
      </c>
      <c r="C10" s="685">
        <f>C11+C14+C15</f>
        <v>0</v>
      </c>
      <c r="D10" s="695"/>
      <c r="E10" s="685"/>
      <c r="F10" s="696"/>
      <c r="G10" s="694" t="s">
        <v>562</v>
      </c>
    </row>
    <row r="11" spans="1:25" s="1783" customFormat="1" ht="13.5" customHeight="1">
      <c r="A11" s="1981" t="s">
        <v>1786</v>
      </c>
      <c r="B11" s="688" t="s">
        <v>558</v>
      </c>
      <c r="C11" s="689">
        <f>'数据-取费表'!B29</f>
        <v>0</v>
      </c>
      <c r="D11" s="690"/>
      <c r="E11" s="689"/>
      <c r="F11" s="691"/>
      <c r="G11" s="1989" t="s">
        <v>1797</v>
      </c>
    </row>
    <row r="12" spans="1:25" s="1783" customFormat="1" ht="13.5" customHeight="1">
      <c r="A12" s="1987" t="s">
        <v>1794</v>
      </c>
      <c r="B12" s="692" t="s">
        <v>559</v>
      </c>
      <c r="C12" s="693">
        <f>ROUND(D12*E12/10000,0)</f>
        <v>0</v>
      </c>
      <c r="D12" s="2771">
        <f>'数据-汇总表'!E5</f>
        <v>0</v>
      </c>
      <c r="E12" s="2771">
        <f>'数据-取费表'!B27</f>
        <v>0</v>
      </c>
      <c r="F12" s="691"/>
      <c r="G12" s="694"/>
    </row>
    <row r="13" spans="1:25" s="1783" customFormat="1" ht="13.5" customHeight="1">
      <c r="A13" s="1987" t="s">
        <v>1793</v>
      </c>
      <c r="B13" s="692" t="s">
        <v>560</v>
      </c>
      <c r="C13" s="693">
        <f>ROUND(D13*E13/10000,0)</f>
        <v>3179</v>
      </c>
      <c r="D13" s="2771">
        <f>'数据-汇总表'!E6</f>
        <v>302725.5</v>
      </c>
      <c r="E13" s="2771">
        <f>'数据-取费表'!B28</f>
        <v>105</v>
      </c>
      <c r="F13" s="691"/>
      <c r="G13" s="694"/>
    </row>
    <row r="14" spans="1:25" s="1783" customFormat="1" ht="13.5" customHeight="1">
      <c r="A14" s="1981" t="s">
        <v>1787</v>
      </c>
      <c r="B14" s="1986" t="s">
        <v>1790</v>
      </c>
      <c r="C14" s="2773">
        <f>ROUND(D14*E14/10000,0)</f>
        <v>0</v>
      </c>
      <c r="D14" s="2771">
        <v>0</v>
      </c>
      <c r="E14" s="2772">
        <v>0</v>
      </c>
      <c r="F14" s="1985"/>
      <c r="G14" s="1988" t="s">
        <v>1795</v>
      </c>
    </row>
    <row r="15" spans="1:25" s="1783" customFormat="1" ht="13.5" customHeight="1">
      <c r="A15" s="1981" t="s">
        <v>1792</v>
      </c>
      <c r="B15" s="1986" t="s">
        <v>1791</v>
      </c>
      <c r="C15" s="2773">
        <f>ROUND(D15*E15/10000,0)</f>
        <v>0</v>
      </c>
      <c r="D15" s="2771">
        <v>0</v>
      </c>
      <c r="E15" s="2772">
        <v>0</v>
      </c>
      <c r="F15" s="1985"/>
      <c r="G15" s="1988" t="s">
        <v>1796</v>
      </c>
    </row>
    <row r="16" spans="1:25" s="1784" customFormat="1" ht="48">
      <c r="A16" s="1981">
        <v>3</v>
      </c>
      <c r="B16" s="684" t="s">
        <v>563</v>
      </c>
      <c r="C16" s="2773">
        <f>ROUND(D16*E16/10000,0)</f>
        <v>0</v>
      </c>
      <c r="D16" s="2771">
        <v>0</v>
      </c>
      <c r="E16" s="2772">
        <v>0</v>
      </c>
      <c r="F16" s="696"/>
      <c r="G16" s="694" t="s">
        <v>1798</v>
      </c>
      <c r="H16" s="1783"/>
      <c r="I16" s="1783"/>
      <c r="J16" s="1783"/>
      <c r="K16" s="1783"/>
      <c r="L16" s="1783"/>
      <c r="M16" s="1783"/>
      <c r="N16" s="1783"/>
      <c r="O16" s="1783"/>
      <c r="P16" s="1783"/>
      <c r="Q16" s="1783"/>
      <c r="R16" s="1783"/>
      <c r="S16" s="1783"/>
      <c r="T16" s="1783"/>
      <c r="U16" s="1783"/>
      <c r="V16" s="1783"/>
      <c r="W16" s="1783"/>
      <c r="X16" s="1783"/>
      <c r="Y16" s="1783"/>
    </row>
    <row r="17" spans="1:25" s="1784" customFormat="1" ht="25.5">
      <c r="A17" s="1982">
        <v>4</v>
      </c>
      <c r="B17" s="684" t="s">
        <v>564</v>
      </c>
      <c r="C17" s="2046">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2"/>
      <c r="I17" s="1783"/>
      <c r="J17" s="1783"/>
      <c r="K17" s="1783"/>
      <c r="L17" s="1783"/>
      <c r="M17" s="1783"/>
      <c r="N17" s="1783"/>
      <c r="O17" s="1783"/>
      <c r="P17" s="1783"/>
      <c r="Q17" s="1783"/>
      <c r="R17" s="1783"/>
      <c r="S17" s="1783"/>
      <c r="T17" s="1783"/>
      <c r="U17" s="1783"/>
      <c r="V17" s="1783"/>
      <c r="W17" s="1783"/>
      <c r="X17" s="1783"/>
      <c r="Y17" s="1783"/>
    </row>
    <row r="18" spans="1:25" s="1784" customFormat="1" ht="13.5" customHeight="1">
      <c r="A18" s="1982">
        <v>5</v>
      </c>
      <c r="B18" s="684" t="s">
        <v>565</v>
      </c>
      <c r="C18" s="685">
        <f>ROUND((C7+C10+C16)*F18,0)</f>
        <v>0</v>
      </c>
      <c r="D18" s="697"/>
      <c r="E18" s="698"/>
      <c r="F18" s="1142"/>
      <c r="G18" s="700" t="s">
        <v>566</v>
      </c>
      <c r="H18" s="1783"/>
      <c r="I18" s="1783"/>
      <c r="J18" s="1783"/>
      <c r="K18" s="1783"/>
      <c r="L18" s="1783"/>
      <c r="M18" s="1783"/>
      <c r="N18" s="1783"/>
      <c r="O18" s="1783"/>
      <c r="P18" s="1783"/>
      <c r="Q18" s="1783"/>
      <c r="R18" s="1783"/>
      <c r="S18" s="1783"/>
      <c r="T18" s="1783"/>
      <c r="U18" s="1783"/>
      <c r="V18" s="1783"/>
      <c r="W18" s="1783"/>
      <c r="X18" s="1783"/>
      <c r="Y18" s="1783"/>
    </row>
    <row r="19" spans="1:25" s="1784" customFormat="1" ht="13.5" customHeight="1">
      <c r="A19" s="1981">
        <v>6</v>
      </c>
      <c r="B19" s="684" t="s">
        <v>567</v>
      </c>
      <c r="C19" s="685">
        <f ca="1">C7+C10+C16+C17+C18</f>
        <v>0</v>
      </c>
      <c r="D19" s="695"/>
      <c r="E19" s="685"/>
      <c r="F19" s="696"/>
      <c r="G19" s="700" t="s">
        <v>568</v>
      </c>
      <c r="H19" s="1783"/>
      <c r="I19" s="1783"/>
      <c r="J19" s="1783"/>
      <c r="K19" s="1783"/>
      <c r="L19" s="1783"/>
      <c r="M19" s="1783"/>
      <c r="N19" s="1783"/>
      <c r="O19" s="1783"/>
      <c r="P19" s="1783"/>
      <c r="Q19" s="1783"/>
      <c r="R19" s="1783"/>
      <c r="S19" s="1783"/>
      <c r="T19" s="1783"/>
      <c r="U19" s="1783"/>
      <c r="V19" s="1783"/>
      <c r="W19" s="1783"/>
      <c r="X19" s="1783"/>
      <c r="Y19" s="1783"/>
    </row>
    <row r="20" spans="1:25" s="1784" customFormat="1" ht="24.75">
      <c r="A20" s="1981">
        <v>7</v>
      </c>
      <c r="B20" s="684" t="s">
        <v>569</v>
      </c>
      <c r="C20" s="685">
        <f ca="1">ROUND(C19*F20,0)</f>
        <v>0</v>
      </c>
      <c r="D20" s="695"/>
      <c r="E20" s="685"/>
      <c r="F20" s="1142"/>
      <c r="G20" s="700" t="s">
        <v>570</v>
      </c>
      <c r="H20" s="1783"/>
      <c r="I20" s="1783"/>
      <c r="J20" s="1783"/>
      <c r="K20" s="1783"/>
      <c r="L20" s="1783"/>
      <c r="M20" s="1783"/>
      <c r="N20" s="1783"/>
      <c r="O20" s="1783"/>
      <c r="P20" s="1783"/>
      <c r="Q20" s="1783"/>
      <c r="R20" s="1783"/>
      <c r="S20" s="1783"/>
      <c r="T20" s="1783"/>
      <c r="U20" s="1783"/>
      <c r="V20" s="1783"/>
      <c r="W20" s="1783"/>
      <c r="X20" s="1783"/>
      <c r="Y20" s="1783"/>
    </row>
    <row r="21" spans="1:25" s="1784" customFormat="1">
      <c r="A21" s="1981">
        <v>8</v>
      </c>
      <c r="B21" s="684" t="s">
        <v>571</v>
      </c>
      <c r="C21" s="685">
        <f ca="1">C19+C20</f>
        <v>0</v>
      </c>
      <c r="D21" s="695"/>
      <c r="E21" s="685"/>
      <c r="F21" s="696"/>
      <c r="G21" s="700" t="s">
        <v>572</v>
      </c>
      <c r="H21" s="1783"/>
      <c r="I21" s="1783"/>
      <c r="J21" s="1783"/>
      <c r="K21" s="1783"/>
      <c r="L21" s="1783"/>
      <c r="M21" s="1783"/>
      <c r="N21" s="1783"/>
      <c r="O21" s="1783"/>
      <c r="P21" s="1783"/>
      <c r="Q21" s="1783"/>
      <c r="R21" s="1783"/>
      <c r="S21" s="1783"/>
      <c r="T21" s="1783"/>
      <c r="U21" s="1783"/>
      <c r="V21" s="1783"/>
      <c r="W21" s="1783"/>
      <c r="X21" s="1783"/>
      <c r="Y21" s="1783"/>
    </row>
    <row r="22" spans="1:25" s="1784" customFormat="1" ht="13.5" customHeight="1">
      <c r="A22" s="1981">
        <v>9</v>
      </c>
      <c r="B22" s="684" t="s">
        <v>573</v>
      </c>
      <c r="C22" s="685">
        <f ca="1">ROUND(C21*F22,0)</f>
        <v>0</v>
      </c>
      <c r="D22" s="695"/>
      <c r="E22" s="685"/>
      <c r="F22" s="701">
        <f>'数据-取费表'!AP16</f>
        <v>0.77500000000000002</v>
      </c>
      <c r="G22" s="700" t="s">
        <v>574</v>
      </c>
      <c r="H22" s="1783"/>
      <c r="I22" s="1783"/>
      <c r="J22" s="1783"/>
      <c r="K22" s="1783"/>
      <c r="L22" s="1783"/>
      <c r="M22" s="1783"/>
      <c r="N22" s="1783"/>
      <c r="O22" s="1783"/>
      <c r="P22" s="1783"/>
      <c r="Q22" s="1783"/>
      <c r="R22" s="1783"/>
      <c r="S22" s="1783"/>
      <c r="T22" s="1783"/>
      <c r="U22" s="1783"/>
      <c r="V22" s="1783"/>
      <c r="W22" s="1783"/>
      <c r="X22" s="1783"/>
      <c r="Y22" s="1783"/>
    </row>
    <row r="23" spans="1:25" s="1784" customFormat="1" ht="13.15" customHeight="1" thickBot="1">
      <c r="A23" s="1983">
        <v>10</v>
      </c>
      <c r="B23" s="702" t="s">
        <v>575</v>
      </c>
      <c r="C23" s="703">
        <f ca="1">C22</f>
        <v>0</v>
      </c>
      <c r="D23" s="704"/>
      <c r="E23" s="703"/>
      <c r="F23" s="705"/>
      <c r="G23" s="706"/>
      <c r="H23" s="1783"/>
      <c r="I23" s="1783"/>
      <c r="J23" s="1783"/>
      <c r="K23" s="1783"/>
      <c r="L23" s="1783"/>
      <c r="M23" s="1783"/>
      <c r="N23" s="1783"/>
      <c r="O23" s="1783"/>
      <c r="P23" s="1783"/>
      <c r="Q23" s="1783"/>
      <c r="R23" s="1783"/>
      <c r="S23" s="1783"/>
      <c r="T23" s="1783"/>
      <c r="U23" s="1783"/>
      <c r="V23" s="1783"/>
      <c r="W23" s="1783"/>
      <c r="X23" s="1783"/>
      <c r="Y23" s="1783"/>
    </row>
    <row r="24" spans="1:25" s="2770" customFormat="1">
      <c r="A24" s="2769"/>
      <c r="D24" s="1628"/>
      <c r="E24" s="1628"/>
    </row>
    <row r="25" spans="1:25" s="2770" customFormat="1">
      <c r="A25" s="2769"/>
      <c r="D25" s="1628"/>
      <c r="E25" s="1628"/>
    </row>
    <row r="26" spans="1:25" s="2770" customFormat="1">
      <c r="A26" s="2769"/>
      <c r="D26" s="1628"/>
      <c r="E26" s="1628"/>
    </row>
    <row r="27" spans="1:25" s="2770" customFormat="1">
      <c r="A27" s="2769"/>
      <c r="D27" s="1628"/>
      <c r="E27" s="1628"/>
    </row>
    <row r="28" spans="1:25" s="2770" customFormat="1">
      <c r="A28" s="2769"/>
      <c r="D28" s="1628"/>
      <c r="E28" s="1628"/>
    </row>
    <row r="29" spans="1:25" s="2770" customFormat="1">
      <c r="A29" s="2769"/>
      <c r="D29" s="1628"/>
      <c r="E29" s="1628"/>
    </row>
    <row r="30" spans="1:25" s="2770" customFormat="1">
      <c r="A30" s="2769"/>
      <c r="D30" s="1628"/>
      <c r="E30" s="1628"/>
    </row>
    <row r="31" spans="1:25" s="2770" customFormat="1">
      <c r="A31" s="2769"/>
      <c r="D31" s="1628"/>
      <c r="E31" s="1628"/>
    </row>
    <row r="32" spans="1:25" s="2770" customFormat="1">
      <c r="A32" s="2769"/>
      <c r="D32" s="1628"/>
      <c r="E32" s="1628"/>
    </row>
    <row r="33" spans="1:5" s="2770" customFormat="1">
      <c r="A33" s="2769"/>
      <c r="D33" s="1628"/>
      <c r="E33" s="1628"/>
    </row>
    <row r="34" spans="1:5" s="2770" customFormat="1">
      <c r="A34" s="2769"/>
      <c r="D34" s="1628"/>
      <c r="E34" s="1628"/>
    </row>
    <row r="35" spans="1:5" s="2770" customFormat="1">
      <c r="A35" s="2769"/>
      <c r="D35" s="1628"/>
      <c r="E35" s="1628"/>
    </row>
    <row r="36" spans="1:5" s="2770" customFormat="1">
      <c r="A36" s="2769"/>
      <c r="D36" s="1628"/>
      <c r="E36" s="1628"/>
    </row>
    <row r="37" spans="1:5" s="2770" customFormat="1">
      <c r="A37" s="2769"/>
      <c r="D37" s="1628"/>
      <c r="E37" s="1628"/>
    </row>
    <row r="38" spans="1:5" s="2770" customFormat="1">
      <c r="A38" s="2769"/>
      <c r="D38" s="1628"/>
      <c r="E38" s="1628"/>
    </row>
    <row r="39" spans="1:5" s="2770" customFormat="1">
      <c r="A39" s="2769"/>
      <c r="D39" s="1628"/>
      <c r="E39" s="1628"/>
    </row>
    <row r="40" spans="1:5" s="2770" customFormat="1">
      <c r="A40" s="2769"/>
      <c r="D40" s="1628"/>
      <c r="E40" s="1628"/>
    </row>
    <row r="41" spans="1:5" s="2770" customFormat="1">
      <c r="A41" s="2769"/>
      <c r="D41" s="1628"/>
      <c r="E41" s="1628"/>
    </row>
    <row r="42" spans="1:5" s="2770" customFormat="1">
      <c r="A42" s="2769"/>
      <c r="D42" s="1628"/>
      <c r="E42" s="1628"/>
    </row>
    <row r="43" spans="1:5" s="2770" customFormat="1">
      <c r="A43" s="2769"/>
      <c r="D43" s="1628"/>
      <c r="E43" s="1628"/>
    </row>
    <row r="44" spans="1:5" s="2770" customFormat="1">
      <c r="A44" s="2769"/>
      <c r="D44" s="1628"/>
      <c r="E44" s="1628"/>
    </row>
    <row r="45" spans="1:5" s="2770" customFormat="1">
      <c r="A45" s="2769"/>
      <c r="D45" s="1628"/>
      <c r="E45" s="1628"/>
    </row>
    <row r="46" spans="1:5" s="2770" customFormat="1">
      <c r="A46" s="2769"/>
      <c r="D46" s="1628"/>
      <c r="E46" s="1628"/>
    </row>
    <row r="47" spans="1:5" s="2770" customFormat="1">
      <c r="A47" s="2769"/>
      <c r="D47" s="1628"/>
      <c r="E47" s="1628"/>
    </row>
    <row r="48" spans="1:5" s="2770" customFormat="1">
      <c r="A48" s="2769"/>
      <c r="D48" s="1628"/>
      <c r="E48" s="1628"/>
    </row>
    <row r="49" spans="1:5" s="2770" customFormat="1">
      <c r="A49" s="2769"/>
      <c r="D49" s="1628"/>
      <c r="E49" s="1628"/>
    </row>
    <row r="50" spans="1:5" s="2770" customFormat="1">
      <c r="A50" s="2769"/>
      <c r="D50" s="1628"/>
      <c r="E50" s="1628"/>
    </row>
    <row r="51" spans="1:5" s="2770" customFormat="1">
      <c r="A51" s="2769"/>
      <c r="D51" s="1628"/>
      <c r="E51" s="1628"/>
    </row>
    <row r="52" spans="1:5" s="2770" customFormat="1">
      <c r="A52" s="2769"/>
      <c r="D52" s="1628"/>
      <c r="E52" s="1628"/>
    </row>
    <row r="53" spans="1:5" s="2770" customFormat="1">
      <c r="A53" s="2769"/>
      <c r="D53" s="1628"/>
      <c r="E53" s="1628"/>
    </row>
    <row r="54" spans="1:5" s="2770" customFormat="1">
      <c r="A54" s="2769"/>
      <c r="D54" s="1628"/>
      <c r="E54" s="1628"/>
    </row>
    <row r="55" spans="1:5" s="2770" customFormat="1">
      <c r="A55" s="2769"/>
      <c r="D55" s="1628"/>
      <c r="E55" s="1628"/>
    </row>
    <row r="56" spans="1:5" s="2770" customFormat="1">
      <c r="A56" s="2769"/>
      <c r="D56" s="1628"/>
      <c r="E56" s="1628"/>
    </row>
    <row r="57" spans="1:5" s="2770" customFormat="1">
      <c r="A57" s="2769"/>
      <c r="D57" s="1628"/>
      <c r="E57" s="1628"/>
    </row>
    <row r="58" spans="1:5" s="2770" customFormat="1">
      <c r="A58" s="2769"/>
      <c r="D58" s="1628"/>
      <c r="E58" s="1628"/>
    </row>
    <row r="59" spans="1:5" s="2770" customFormat="1">
      <c r="A59" s="2769"/>
      <c r="D59" s="1628"/>
      <c r="E59" s="1628"/>
    </row>
    <row r="60" spans="1:5" s="2770" customFormat="1">
      <c r="A60" s="2769"/>
      <c r="D60" s="1628"/>
      <c r="E60" s="1628"/>
    </row>
    <row r="61" spans="1:5" s="2770" customFormat="1">
      <c r="A61" s="2769"/>
      <c r="D61" s="1628"/>
      <c r="E61" s="1628"/>
    </row>
    <row r="62" spans="1:5" s="2770" customFormat="1">
      <c r="A62" s="2769"/>
      <c r="D62" s="1628"/>
      <c r="E62" s="1628"/>
    </row>
    <row r="63" spans="1:5" s="2770" customFormat="1">
      <c r="A63" s="2769"/>
      <c r="D63" s="1628"/>
      <c r="E63" s="1628"/>
    </row>
  </sheetData>
  <sheetProtection password="CEE9" sheet="1" objects="1" scenarios="1" formatCells="0" formatColumns="0" formatRows="0"/>
  <phoneticPr fontId="15" type="noConversion"/>
  <dataValidations count="1">
    <dataValidation type="list" allowBlank="1" showInputMessage="1" showErrorMessage="1" sqref="G7" xr:uid="{00000000-0002-0000-22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31" customWidth="1"/>
    <col min="2" max="2" width="15.75" style="1131" customWidth="1"/>
    <col min="3" max="3" width="15.12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2078" t="s">
        <v>666</v>
      </c>
      <c r="C1" s="2079" t="s">
        <v>667</v>
      </c>
      <c r="D1" s="2080"/>
      <c r="E1" s="1735"/>
      <c r="F1" s="2118"/>
      <c r="G1" s="1328" t="s">
        <v>668</v>
      </c>
      <c r="H1" s="457"/>
      <c r="I1" s="457"/>
      <c r="J1" s="457"/>
      <c r="K1" s="458"/>
      <c r="L1" s="2718"/>
      <c r="M1" s="2719"/>
      <c r="N1" s="2719"/>
      <c r="O1" s="2719"/>
      <c r="P1" s="455"/>
      <c r="Q1" s="455"/>
      <c r="R1" s="455"/>
      <c r="S1" s="455"/>
      <c r="T1" s="455"/>
      <c r="U1" s="455"/>
      <c r="V1" s="455"/>
      <c r="W1" s="455"/>
      <c r="X1" s="455"/>
      <c r="Y1" s="455"/>
      <c r="Z1" s="455"/>
      <c r="AA1" s="455"/>
      <c r="AB1" s="455"/>
      <c r="AC1" s="398"/>
    </row>
    <row r="2" spans="1:29" s="1155" customFormat="1" ht="28.5" customHeight="1">
      <c r="A2" s="393" t="s">
        <v>427</v>
      </c>
      <c r="B2" s="2077" t="e">
        <f>ROUND(B3*D3/10000,0)</f>
        <v>#DIV/0!</v>
      </c>
      <c r="C2" s="1735"/>
      <c r="D2" s="1735"/>
      <c r="E2" s="1735"/>
      <c r="F2" s="1799"/>
      <c r="G2" s="1735"/>
      <c r="H2" s="1735"/>
      <c r="I2" s="1735"/>
      <c r="J2" s="1735"/>
      <c r="K2" s="1800"/>
      <c r="L2" s="1801"/>
      <c r="M2" s="1802"/>
      <c r="N2" s="1802"/>
      <c r="O2" s="1802"/>
      <c r="P2" s="1329"/>
      <c r="Q2" s="1329"/>
      <c r="R2" s="1329"/>
      <c r="S2" s="1329"/>
      <c r="T2" s="1329"/>
      <c r="U2" s="1329"/>
      <c r="V2" s="1329"/>
      <c r="W2" s="1329"/>
      <c r="X2" s="1329"/>
      <c r="Y2" s="1329"/>
      <c r="Z2" s="1329"/>
      <c r="AA2" s="1329"/>
      <c r="AB2" s="1329"/>
      <c r="AC2" s="1330"/>
    </row>
    <row r="3" spans="1:29" s="1155" customFormat="1" ht="28.5" customHeight="1" thickBot="1">
      <c r="A3" s="460" t="s">
        <v>468</v>
      </c>
      <c r="B3" s="785" t="e">
        <f>C49</f>
        <v>#DIV/0!</v>
      </c>
      <c r="C3" s="786" t="s">
        <v>669</v>
      </c>
      <c r="D3" s="785">
        <f>SUMIF('数据-汇总表'!$C19:$C33,D1,'数据-汇总表'!$E19:$E33)</f>
        <v>0</v>
      </c>
      <c r="E3" s="1735"/>
      <c r="F3" s="1799"/>
      <c r="G3" s="1735"/>
      <c r="H3" s="1735"/>
      <c r="I3" s="1735"/>
      <c r="J3" s="1735"/>
      <c r="K3" s="1800"/>
      <c r="L3" s="1801"/>
      <c r="M3" s="1802"/>
      <c r="N3" s="1802"/>
      <c r="O3" s="1802"/>
      <c r="P3" s="1329"/>
      <c r="Q3" s="1329"/>
      <c r="R3" s="1329"/>
      <c r="S3" s="1329"/>
      <c r="T3" s="1329"/>
      <c r="U3" s="1329"/>
      <c r="V3" s="1329"/>
      <c r="W3" s="1329"/>
      <c r="X3" s="1329"/>
      <c r="Y3" s="1329"/>
      <c r="Z3" s="1329"/>
      <c r="AA3" s="1329"/>
      <c r="AB3" s="1329"/>
      <c r="AC3" s="1330"/>
    </row>
    <row r="4" spans="1:29" ht="15">
      <c r="A4" s="463" t="s">
        <v>470</v>
      </c>
      <c r="B4" s="464"/>
      <c r="C4" s="3602" t="s">
        <v>471</v>
      </c>
      <c r="D4" s="3603"/>
      <c r="E4" s="3628" t="s">
        <v>472</v>
      </c>
      <c r="F4" s="3629"/>
      <c r="G4" s="3602" t="s">
        <v>473</v>
      </c>
      <c r="H4" s="3603"/>
      <c r="I4" s="3602" t="s">
        <v>474</v>
      </c>
      <c r="J4" s="3603"/>
      <c r="K4" s="787" t="s">
        <v>475</v>
      </c>
      <c r="L4" s="1741"/>
      <c r="M4" s="1742"/>
      <c r="N4" s="1742"/>
      <c r="O4" s="1742"/>
      <c r="P4" s="3604" t="s">
        <v>476</v>
      </c>
      <c r="Q4" s="3605"/>
      <c r="R4" s="3588" t="s">
        <v>472</v>
      </c>
      <c r="S4" s="3589"/>
      <c r="T4" s="3588" t="s">
        <v>473</v>
      </c>
      <c r="U4" s="3589"/>
      <c r="V4" s="3610" t="s">
        <v>474</v>
      </c>
      <c r="W4" s="3610"/>
      <c r="X4" s="1302"/>
      <c r="Y4" s="3588" t="s">
        <v>476</v>
      </c>
      <c r="Z4" s="3589"/>
      <c r="AA4" s="3583" t="s">
        <v>472</v>
      </c>
      <c r="AB4" s="3583" t="s">
        <v>473</v>
      </c>
      <c r="AC4" s="3583" t="s">
        <v>474</v>
      </c>
    </row>
    <row r="5" spans="1:29" ht="15">
      <c r="A5" s="466"/>
      <c r="B5" s="467"/>
      <c r="C5" s="3613" t="s">
        <v>2187</v>
      </c>
      <c r="D5" s="3614"/>
      <c r="E5" s="3630" t="s">
        <v>2188</v>
      </c>
      <c r="F5" s="3631"/>
      <c r="G5" s="3613" t="s">
        <v>2189</v>
      </c>
      <c r="H5" s="3614"/>
      <c r="I5" s="3613" t="s">
        <v>2190</v>
      </c>
      <c r="J5" s="3614"/>
      <c r="K5" s="788"/>
      <c r="L5" s="1741"/>
      <c r="M5" s="1742"/>
      <c r="N5" s="1742"/>
      <c r="O5" s="1742"/>
      <c r="P5" s="3606"/>
      <c r="Q5" s="3607"/>
      <c r="R5" s="3590"/>
      <c r="S5" s="3591"/>
      <c r="T5" s="3590"/>
      <c r="U5" s="3591"/>
      <c r="V5" s="3610"/>
      <c r="W5" s="3610"/>
      <c r="X5" s="1302"/>
      <c r="Y5" s="3590"/>
      <c r="Z5" s="3591"/>
      <c r="AA5" s="3584"/>
      <c r="AB5" s="3584"/>
      <c r="AC5" s="3584"/>
    </row>
    <row r="6" spans="1:29" ht="15.75" thickBot="1">
      <c r="A6" s="468"/>
      <c r="B6" s="469"/>
      <c r="C6" s="3611" t="s">
        <v>2191</v>
      </c>
      <c r="D6" s="3612"/>
      <c r="E6" s="3632" t="s">
        <v>2191</v>
      </c>
      <c r="F6" s="3633"/>
      <c r="G6" s="3611" t="s">
        <v>2191</v>
      </c>
      <c r="H6" s="3612"/>
      <c r="I6" s="3611" t="s">
        <v>2191</v>
      </c>
      <c r="J6" s="3612"/>
      <c r="K6" s="788" t="s">
        <v>477</v>
      </c>
      <c r="L6" s="1741"/>
      <c r="M6" s="1742"/>
      <c r="N6" s="1742"/>
      <c r="O6" s="1742"/>
      <c r="P6" s="3608"/>
      <c r="Q6" s="3609"/>
      <c r="R6" s="3590"/>
      <c r="S6" s="3591"/>
      <c r="T6" s="3592"/>
      <c r="U6" s="3593"/>
      <c r="V6" s="3610"/>
      <c r="W6" s="3610"/>
      <c r="X6" s="1302"/>
      <c r="Y6" s="3592"/>
      <c r="Z6" s="3593"/>
      <c r="AA6" s="3585"/>
      <c r="AB6" s="3585"/>
      <c r="AC6" s="3585"/>
    </row>
    <row r="7" spans="1:29" s="1059" customFormat="1" ht="15.75" thickBot="1">
      <c r="A7" s="2209"/>
      <c r="B7" s="2216" t="s">
        <v>478</v>
      </c>
      <c r="C7" s="470">
        <f>'数据-取费表'!B2</f>
        <v>45057</v>
      </c>
      <c r="D7" s="471">
        <v>100</v>
      </c>
      <c r="E7" s="472"/>
      <c r="F7" s="473">
        <f>SUMIF(58:58,YEAR(E7)&amp;"-"&amp;MONTH(E7),59:59)</f>
        <v>0</v>
      </c>
      <c r="G7" s="474"/>
      <c r="H7" s="471">
        <f>SUMIF(58:58,YEAR(G7)&amp;"-"&amp;MONTH(G7),59:59)</f>
        <v>0</v>
      </c>
      <c r="I7" s="474"/>
      <c r="J7" s="471">
        <f>SUMIF(58:58,YEAR(I7)&amp;"-"&amp;MONTH(I7),59:59)</f>
        <v>0</v>
      </c>
      <c r="K7" s="789"/>
      <c r="L7" s="1743"/>
      <c r="M7" s="1640"/>
      <c r="N7" s="1640"/>
      <c r="O7" s="1640"/>
      <c r="P7" s="3586" t="s">
        <v>479</v>
      </c>
      <c r="Q7" s="3595"/>
      <c r="R7" s="1303" t="s">
        <v>10</v>
      </c>
      <c r="S7" s="1304">
        <f t="shared" ref="S7:S15" si="0">F7</f>
        <v>0</v>
      </c>
      <c r="T7" s="1303" t="s">
        <v>10</v>
      </c>
      <c r="U7" s="1304">
        <f t="shared" ref="U7:U15" si="1">H7</f>
        <v>0</v>
      </c>
      <c r="V7" s="1303" t="s">
        <v>10</v>
      </c>
      <c r="W7" s="1304">
        <f t="shared" ref="W7:W15" si="2">J7</f>
        <v>0</v>
      </c>
      <c r="X7" s="1305"/>
      <c r="Y7" s="3586" t="s">
        <v>479</v>
      </c>
      <c r="Z7" s="3587"/>
      <c r="AA7" s="996" t="e">
        <f>D7/F7</f>
        <v>#DIV/0!</v>
      </c>
      <c r="AB7" s="996" t="e">
        <f>D7/H7</f>
        <v>#DIV/0!</v>
      </c>
      <c r="AC7" s="996" t="e">
        <f>D7/J7</f>
        <v>#DIV/0!</v>
      </c>
    </row>
    <row r="8" spans="1:29" s="1059" customFormat="1" ht="15.75" thickBot="1">
      <c r="A8" s="2210"/>
      <c r="B8" s="2217" t="s">
        <v>480</v>
      </c>
      <c r="C8" s="475" t="s">
        <v>524</v>
      </c>
      <c r="D8" s="471">
        <v>100</v>
      </c>
      <c r="E8" s="790"/>
      <c r="F8" s="473">
        <f>SUMIF(61:61,E8,62:62)-SUMIF(61:61,C8,62:62)+100</f>
        <v>0</v>
      </c>
      <c r="G8" s="475"/>
      <c r="H8" s="471">
        <f>SUMIF(61:61,G8,62:62)-SUMIF(61:61,C8,62:62)+100</f>
        <v>0</v>
      </c>
      <c r="I8" s="790"/>
      <c r="J8" s="471">
        <f>SUMIF(61:61,I8,62:62)-SUMIF(61:61,C8,62:62)+100</f>
        <v>0</v>
      </c>
      <c r="K8" s="789"/>
      <c r="L8" s="1743"/>
      <c r="M8" s="1640"/>
      <c r="N8" s="1640"/>
      <c r="O8" s="1640"/>
      <c r="P8" s="3586" t="s">
        <v>482</v>
      </c>
      <c r="Q8" s="3587"/>
      <c r="R8" s="1303" t="s">
        <v>10</v>
      </c>
      <c r="S8" s="1304">
        <f t="shared" si="0"/>
        <v>0</v>
      </c>
      <c r="T8" s="1303" t="s">
        <v>10</v>
      </c>
      <c r="U8" s="1304">
        <f t="shared" si="1"/>
        <v>0</v>
      </c>
      <c r="V8" s="1303" t="s">
        <v>10</v>
      </c>
      <c r="W8" s="1304">
        <f t="shared" si="2"/>
        <v>0</v>
      </c>
      <c r="X8" s="1305"/>
      <c r="Y8" s="3586" t="s">
        <v>482</v>
      </c>
      <c r="Z8" s="3587"/>
      <c r="AA8" s="996" t="e">
        <f t="shared" ref="AA8:AA46" si="3">D8/F8</f>
        <v>#DIV/0!</v>
      </c>
      <c r="AB8" s="996" t="e">
        <f t="shared" ref="AB8:AB46" si="4">D8/H8</f>
        <v>#DIV/0!</v>
      </c>
      <c r="AC8" s="996" t="e">
        <f t="shared" ref="AC8:AC46" si="5">D8/J8</f>
        <v>#DIV/0!</v>
      </c>
    </row>
    <row r="9" spans="1:29" s="1059" customFormat="1" ht="15">
      <c r="A9" s="2211"/>
      <c r="B9" s="2218" t="s">
        <v>2038</v>
      </c>
      <c r="C9" s="791"/>
      <c r="D9" s="154">
        <v>100</v>
      </c>
      <c r="E9" s="792"/>
      <c r="F9" s="156">
        <f>SUMIF(63:63,E9,64:64)-SUMIF(63:63,C9,64:64)+100</f>
        <v>100</v>
      </c>
      <c r="G9" s="793"/>
      <c r="H9" s="154">
        <f>SUMIF(63:63,G9,64:64)-SUMIF(63:63,C9,64:64)+100</f>
        <v>100</v>
      </c>
      <c r="I9" s="793"/>
      <c r="J9" s="154">
        <f>SUMIF(63:63,I9,64:64)-SUMIF(63:63,C9,64:64)+100</f>
        <v>100</v>
      </c>
      <c r="K9" s="789"/>
      <c r="L9" s="1743"/>
      <c r="M9" s="1640"/>
      <c r="N9" s="1640"/>
      <c r="O9" s="1744"/>
      <c r="P9" s="3594" t="s">
        <v>484</v>
      </c>
      <c r="Q9" s="818" t="str">
        <f t="shared" ref="Q9:Q15" si="6">B9</f>
        <v>用途</v>
      </c>
      <c r="R9" s="1303" t="s">
        <v>5</v>
      </c>
      <c r="S9" s="1304">
        <f t="shared" si="0"/>
        <v>100</v>
      </c>
      <c r="T9" s="1303" t="s">
        <v>5</v>
      </c>
      <c r="U9" s="1304">
        <f t="shared" si="1"/>
        <v>100</v>
      </c>
      <c r="V9" s="1303" t="s">
        <v>5</v>
      </c>
      <c r="W9" s="1304">
        <f t="shared" si="2"/>
        <v>100</v>
      </c>
      <c r="X9" s="1305"/>
      <c r="Y9" s="3546" t="s">
        <v>485</v>
      </c>
      <c r="Z9" s="996" t="str">
        <f t="shared" ref="Z9:Z15" si="7">Q9</f>
        <v>用途</v>
      </c>
      <c r="AA9" s="996">
        <f t="shared" si="3"/>
        <v>1</v>
      </c>
      <c r="AB9" s="996">
        <f t="shared" si="4"/>
        <v>1</v>
      </c>
      <c r="AC9" s="996">
        <f t="shared" si="5"/>
        <v>1</v>
      </c>
    </row>
    <row r="10" spans="1:29" s="1132" customFormat="1" ht="27">
      <c r="A10" s="2212"/>
      <c r="B10" s="2217" t="s">
        <v>2039</v>
      </c>
      <c r="C10" s="3387"/>
      <c r="D10" s="235">
        <v>100</v>
      </c>
      <c r="E10" s="3388"/>
      <c r="F10" s="477">
        <f>SUMIF(65:65,E10,66:66)-SUMIF(65:65,C10,66:66)+100</f>
        <v>100</v>
      </c>
      <c r="G10" s="3387"/>
      <c r="H10" s="235">
        <f>SUMIF(65:65,G10,66:66)-SUMIF(65:65,C10,66:66)+100</f>
        <v>100</v>
      </c>
      <c r="I10" s="3387"/>
      <c r="J10" s="235">
        <f>SUMIF(65:65,I10,66:66)-SUMIF(65:65,C10,66:66)+100</f>
        <v>100</v>
      </c>
      <c r="K10" s="789"/>
      <c r="L10" s="1745"/>
      <c r="M10" s="1778"/>
      <c r="N10" s="1778"/>
      <c r="O10" s="1746"/>
      <c r="P10" s="3594"/>
      <c r="Q10" s="818" t="str">
        <f t="shared" si="6"/>
        <v>土地使用年限（年）</v>
      </c>
      <c r="R10" s="1303" t="s">
        <v>5</v>
      </c>
      <c r="S10" s="1304">
        <f t="shared" si="0"/>
        <v>100</v>
      </c>
      <c r="T10" s="1303" t="s">
        <v>5</v>
      </c>
      <c r="U10" s="1304">
        <f t="shared" si="1"/>
        <v>100</v>
      </c>
      <c r="V10" s="1303" t="s">
        <v>5</v>
      </c>
      <c r="W10" s="1304">
        <f t="shared" si="2"/>
        <v>100</v>
      </c>
      <c r="X10" s="1305"/>
      <c r="Y10" s="3546"/>
      <c r="Z10" s="996" t="str">
        <f t="shared" si="7"/>
        <v>土地使用年限（年）</v>
      </c>
      <c r="AA10" s="996">
        <f t="shared" si="3"/>
        <v>1</v>
      </c>
      <c r="AB10" s="996">
        <f t="shared" si="4"/>
        <v>1</v>
      </c>
      <c r="AC10" s="996">
        <f t="shared" si="5"/>
        <v>1</v>
      </c>
    </row>
    <row r="11" spans="1:29" ht="15">
      <c r="A11" s="2213"/>
      <c r="B11" s="2217" t="s">
        <v>2040</v>
      </c>
      <c r="C11" s="483"/>
      <c r="D11" s="235">
        <v>100</v>
      </c>
      <c r="E11" s="484"/>
      <c r="F11" s="477" t="e">
        <f>LOOKUP(E11,68:68,69:69)-LOOKUP(C11,68:68,69:69)+100</f>
        <v>#N/A</v>
      </c>
      <c r="G11" s="483"/>
      <c r="H11" s="235" t="e">
        <f>LOOKUP(G11,68:68,69:69)-LOOKUP(C11,68:68,69:69)+100</f>
        <v>#N/A</v>
      </c>
      <c r="I11" s="483"/>
      <c r="J11" s="235" t="e">
        <f>LOOKUP(I11,68:68,69:69)-LOOKUP(C11,68:68,69:69)+100</f>
        <v>#N/A</v>
      </c>
      <c r="K11" s="794"/>
      <c r="L11" s="1747"/>
      <c r="M11" s="1742"/>
      <c r="N11" s="1742"/>
      <c r="O11" s="1748"/>
      <c r="P11" s="3594"/>
      <c r="Q11" s="818" t="str">
        <f t="shared" si="6"/>
        <v>容积率</v>
      </c>
      <c r="R11" s="1303" t="s">
        <v>8</v>
      </c>
      <c r="S11" s="1304" t="e">
        <f t="shared" si="0"/>
        <v>#N/A</v>
      </c>
      <c r="T11" s="1303" t="s">
        <v>8</v>
      </c>
      <c r="U11" s="1304" t="e">
        <f t="shared" si="1"/>
        <v>#N/A</v>
      </c>
      <c r="V11" s="1303" t="s">
        <v>8</v>
      </c>
      <c r="W11" s="1304" t="e">
        <f t="shared" si="2"/>
        <v>#N/A</v>
      </c>
      <c r="X11" s="1305"/>
      <c r="Y11" s="3546"/>
      <c r="Z11" s="996" t="str">
        <f t="shared" si="7"/>
        <v>容积率</v>
      </c>
      <c r="AA11" s="996" t="e">
        <f t="shared" si="3"/>
        <v>#N/A</v>
      </c>
      <c r="AB11" s="996" t="e">
        <f t="shared" si="4"/>
        <v>#N/A</v>
      </c>
      <c r="AC11" s="996" t="e">
        <f t="shared" si="5"/>
        <v>#N/A</v>
      </c>
    </row>
    <row r="12" spans="1:29" s="1059" customFormat="1" ht="15">
      <c r="A12" s="2214"/>
      <c r="B12" s="2220">
        <v>111</v>
      </c>
      <c r="C12" s="478"/>
      <c r="D12" s="488">
        <v>100</v>
      </c>
      <c r="E12" s="478"/>
      <c r="F12" s="477">
        <f>SUMIF(70:70,E12,71:71)-SUMIF(70:70,C12,71:71)+100</f>
        <v>100</v>
      </c>
      <c r="G12" s="478"/>
      <c r="H12" s="235">
        <f>SUMIF(70:70,G12,71:71)-SUMIF(70:70,C12,71:71)+100</f>
        <v>100</v>
      </c>
      <c r="I12" s="478"/>
      <c r="J12" s="235">
        <f>SUMIF(70:70,I12,71:71)-SUMIF(70:70,C12,71:71)+100</f>
        <v>100</v>
      </c>
      <c r="K12" s="795"/>
      <c r="L12" s="1743"/>
      <c r="M12" s="1640"/>
      <c r="N12" s="1640"/>
      <c r="O12" s="1744"/>
      <c r="P12" s="3594"/>
      <c r="Q12" s="818">
        <f t="shared" si="6"/>
        <v>111</v>
      </c>
      <c r="R12" s="1303" t="s">
        <v>8</v>
      </c>
      <c r="S12" s="1304">
        <f t="shared" si="0"/>
        <v>100</v>
      </c>
      <c r="T12" s="1303" t="s">
        <v>8</v>
      </c>
      <c r="U12" s="1304">
        <f t="shared" si="1"/>
        <v>100</v>
      </c>
      <c r="V12" s="1303" t="s">
        <v>8</v>
      </c>
      <c r="W12" s="1304">
        <f t="shared" si="2"/>
        <v>100</v>
      </c>
      <c r="X12" s="1305"/>
      <c r="Y12" s="3546"/>
      <c r="Z12" s="996">
        <f t="shared" si="7"/>
        <v>111</v>
      </c>
      <c r="AA12" s="996">
        <f>D12/F12</f>
        <v>1</v>
      </c>
      <c r="AB12" s="996">
        <f>D12/H12</f>
        <v>1</v>
      </c>
      <c r="AC12" s="996">
        <f>D12/J12</f>
        <v>1</v>
      </c>
    </row>
    <row r="13" spans="1:29" ht="15">
      <c r="A13" s="2214"/>
      <c r="B13" s="2220">
        <v>111</v>
      </c>
      <c r="C13" s="489"/>
      <c r="D13" s="490">
        <v>100</v>
      </c>
      <c r="E13" s="489"/>
      <c r="F13" s="477">
        <f>SUMIF(72:72,E13,73:73)-SUMIF(72:72,C13,73:73)+100</f>
        <v>100</v>
      </c>
      <c r="G13" s="489"/>
      <c r="H13" s="490">
        <f>SUMIF(72:72,G13,73:73)-SUMIF(72:72,C13,73:73)+100</f>
        <v>100</v>
      </c>
      <c r="I13" s="489"/>
      <c r="J13" s="490">
        <f>SUMIF(72:72,I13,73:73)-SUMIF(72:72,C13,73:73)+100</f>
        <v>100</v>
      </c>
      <c r="K13" s="795"/>
      <c r="L13" s="1749"/>
      <c r="M13" s="1742"/>
      <c r="N13" s="1742"/>
      <c r="O13" s="1748"/>
      <c r="P13" s="3594"/>
      <c r="Q13" s="818">
        <f t="shared" si="6"/>
        <v>111</v>
      </c>
      <c r="R13" s="1303" t="s">
        <v>8</v>
      </c>
      <c r="S13" s="1304">
        <f t="shared" si="0"/>
        <v>100</v>
      </c>
      <c r="T13" s="1303" t="s">
        <v>8</v>
      </c>
      <c r="U13" s="1304">
        <f t="shared" si="1"/>
        <v>100</v>
      </c>
      <c r="V13" s="1303" t="s">
        <v>8</v>
      </c>
      <c r="W13" s="1304">
        <f t="shared" si="2"/>
        <v>100</v>
      </c>
      <c r="X13" s="1305"/>
      <c r="Y13" s="3546"/>
      <c r="Z13" s="996">
        <f t="shared" si="7"/>
        <v>111</v>
      </c>
      <c r="AA13" s="996">
        <f t="shared" si="3"/>
        <v>1</v>
      </c>
      <c r="AB13" s="996">
        <f t="shared" si="4"/>
        <v>1</v>
      </c>
      <c r="AC13" s="996">
        <f t="shared" si="5"/>
        <v>1</v>
      </c>
    </row>
    <row r="14" spans="1:29" ht="15.75" thickBot="1">
      <c r="A14" s="2215"/>
      <c r="B14" s="2221">
        <v>111</v>
      </c>
      <c r="C14" s="495"/>
      <c r="D14" s="496">
        <v>100</v>
      </c>
      <c r="E14" s="495"/>
      <c r="F14" s="796">
        <f>SUMIF(74:74,E14,75:75)-SUMIF(74:74,C14,75:75)+100</f>
        <v>100</v>
      </c>
      <c r="G14" s="495"/>
      <c r="H14" s="496">
        <f>SUMIF(74:74,G14,75:75)-SUMIF(74:74,C14,75:75)+100</f>
        <v>100</v>
      </c>
      <c r="I14" s="495"/>
      <c r="J14" s="496">
        <f>SUMIF(74:74,I14,75:75)-SUMIF(74:74,C14,75:75)+100</f>
        <v>100</v>
      </c>
      <c r="K14" s="795"/>
      <c r="L14" s="1749"/>
      <c r="M14" s="1742"/>
      <c r="N14" s="1742"/>
      <c r="O14" s="1748"/>
      <c r="P14" s="3594"/>
      <c r="Q14" s="818">
        <f t="shared" si="6"/>
        <v>111</v>
      </c>
      <c r="R14" s="1303" t="s">
        <v>8</v>
      </c>
      <c r="S14" s="1304">
        <f t="shared" si="0"/>
        <v>100</v>
      </c>
      <c r="T14" s="1303" t="s">
        <v>8</v>
      </c>
      <c r="U14" s="1304">
        <f t="shared" si="1"/>
        <v>100</v>
      </c>
      <c r="V14" s="1303" t="s">
        <v>8</v>
      </c>
      <c r="W14" s="1304">
        <f t="shared" si="2"/>
        <v>100</v>
      </c>
      <c r="X14" s="1305"/>
      <c r="Y14" s="3546"/>
      <c r="Z14" s="996">
        <f t="shared" si="7"/>
        <v>111</v>
      </c>
      <c r="AA14" s="996">
        <f t="shared" si="3"/>
        <v>1</v>
      </c>
      <c r="AB14" s="996">
        <f t="shared" si="4"/>
        <v>1</v>
      </c>
      <c r="AC14" s="996">
        <f t="shared" si="5"/>
        <v>1</v>
      </c>
    </row>
    <row r="15" spans="1:29" ht="15">
      <c r="A15" s="2207" t="s">
        <v>2036</v>
      </c>
      <c r="B15" s="150" t="s">
        <v>261</v>
      </c>
      <c r="C15" s="797">
        <f>估价对象房地状况!C3</f>
        <v>0</v>
      </c>
      <c r="D15" s="499">
        <v>100</v>
      </c>
      <c r="E15" s="500"/>
      <c r="F15" s="501">
        <f>SUMIF(76:76,E16,77:77)-SUMIF(76:76,C16,77:77)+100</f>
        <v>100</v>
      </c>
      <c r="G15" s="502"/>
      <c r="H15" s="499">
        <f>SUMIF(76:76,G16,77:77)-SUMIF(76:76,C16,77:77)+100</f>
        <v>100</v>
      </c>
      <c r="I15" s="500"/>
      <c r="J15" s="499">
        <f>SUMIF(76:76,I16,77:77)-SUMIF(76:76,C16,77:77)+100</f>
        <v>100</v>
      </c>
      <c r="K15" s="798"/>
      <c r="L15" s="1749"/>
      <c r="M15" s="1742"/>
      <c r="N15" s="1742"/>
      <c r="O15" s="1748"/>
      <c r="P15" s="3596" t="s">
        <v>489</v>
      </c>
      <c r="Q15" s="1306" t="str">
        <f t="shared" si="6"/>
        <v>居住社区成熟度</v>
      </c>
      <c r="R15" s="1307" t="s">
        <v>8</v>
      </c>
      <c r="S15" s="1308">
        <f t="shared" si="0"/>
        <v>100</v>
      </c>
      <c r="T15" s="1307" t="s">
        <v>8</v>
      </c>
      <c r="U15" s="1308">
        <f t="shared" si="1"/>
        <v>100</v>
      </c>
      <c r="V15" s="1307" t="s">
        <v>8</v>
      </c>
      <c r="W15" s="1308">
        <f t="shared" si="2"/>
        <v>100</v>
      </c>
      <c r="X15" s="1302"/>
      <c r="Y15" s="3596" t="s">
        <v>489</v>
      </c>
      <c r="Z15" s="1309" t="str">
        <f t="shared" si="7"/>
        <v>居住社区成熟度</v>
      </c>
      <c r="AA15" s="1309">
        <f t="shared" si="3"/>
        <v>1</v>
      </c>
      <c r="AB15" s="1309">
        <f t="shared" si="4"/>
        <v>1</v>
      </c>
      <c r="AC15" s="1309">
        <f t="shared" si="5"/>
        <v>1</v>
      </c>
    </row>
    <row r="16" spans="1:29" ht="15">
      <c r="A16" s="482"/>
      <c r="B16" s="799"/>
      <c r="C16" s="526"/>
      <c r="D16" s="505"/>
      <c r="E16" s="506"/>
      <c r="F16" s="507"/>
      <c r="G16" s="508"/>
      <c r="H16" s="509"/>
      <c r="I16" s="506"/>
      <c r="J16" s="505"/>
      <c r="K16" s="800"/>
      <c r="L16" s="1749"/>
      <c r="M16" s="1742"/>
      <c r="N16" s="1742"/>
      <c r="O16" s="1748"/>
      <c r="P16" s="3597"/>
      <c r="Q16" s="1306"/>
      <c r="R16" s="1307"/>
      <c r="S16" s="1308"/>
      <c r="T16" s="1307"/>
      <c r="U16" s="1308"/>
      <c r="V16" s="1307"/>
      <c r="W16" s="1308"/>
      <c r="X16" s="1302"/>
      <c r="Y16" s="3597"/>
      <c r="Z16" s="1309"/>
      <c r="AA16" s="1309">
        <v>1</v>
      </c>
      <c r="AB16" s="1309">
        <v>1</v>
      </c>
      <c r="AC16" s="1309">
        <v>1</v>
      </c>
    </row>
    <row r="17" spans="1:29" ht="114">
      <c r="A17" s="482"/>
      <c r="B17" s="677" t="s">
        <v>262</v>
      </c>
      <c r="C17" s="801" t="str">
        <f>估价对象房地状况!C6</f>
        <v>估价对象周边道路状况一般、公共交通通达情况较差，有5、122路经过、停车便捷程度，综合评价交通便捷度一般</v>
      </c>
      <c r="D17" s="509">
        <v>100</v>
      </c>
      <c r="E17" s="512"/>
      <c r="F17" s="513">
        <f>SUMIF(78:78,E18,79:79)-SUMIF(78:78,C18,79:79)+100</f>
        <v>100</v>
      </c>
      <c r="G17" s="514"/>
      <c r="H17" s="515">
        <f>SUMIF(78:78,G18,79:79)-SUMIF(78:78,C18,79:79)+100</f>
        <v>100</v>
      </c>
      <c r="I17" s="512"/>
      <c r="J17" s="515">
        <f>SUMIF(78:78,I18,79:79)-SUMIF(78:78,C18,79:79)+100</f>
        <v>100</v>
      </c>
      <c r="K17" s="798"/>
      <c r="L17" s="1749"/>
      <c r="M17" s="1742"/>
      <c r="N17" s="1742"/>
      <c r="O17" s="1748"/>
      <c r="P17" s="3597"/>
      <c r="Q17" s="1306" t="str">
        <f>B17</f>
        <v>交通便捷度</v>
      </c>
      <c r="R17" s="1307" t="s">
        <v>8</v>
      </c>
      <c r="S17" s="1308">
        <f>F17</f>
        <v>100</v>
      </c>
      <c r="T17" s="1307" t="s">
        <v>8</v>
      </c>
      <c r="U17" s="1308">
        <f>H17</f>
        <v>100</v>
      </c>
      <c r="V17" s="1307" t="s">
        <v>8</v>
      </c>
      <c r="W17" s="1308">
        <f>J17</f>
        <v>100</v>
      </c>
      <c r="X17" s="1302"/>
      <c r="Y17" s="3597"/>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00"/>
      <c r="L18" s="1749"/>
      <c r="M18" s="1742"/>
      <c r="N18" s="1742"/>
      <c r="O18" s="1748"/>
      <c r="P18" s="3597"/>
      <c r="Q18" s="1306"/>
      <c r="R18" s="1307"/>
      <c r="S18" s="1308"/>
      <c r="T18" s="1307"/>
      <c r="U18" s="1308"/>
      <c r="V18" s="1307"/>
      <c r="W18" s="1308"/>
      <c r="X18" s="1302"/>
      <c r="Y18" s="3597"/>
      <c r="Z18" s="1309"/>
      <c r="AA18" s="1309">
        <v>1</v>
      </c>
      <c r="AB18" s="1309">
        <v>1</v>
      </c>
      <c r="AC18" s="1309">
        <v>1</v>
      </c>
    </row>
    <row r="19" spans="1:29" ht="42.75">
      <c r="A19" s="482"/>
      <c r="B19" s="2059" t="s">
        <v>1829</v>
      </c>
      <c r="C19" s="801" t="str">
        <f>估价对象房地状况!C7</f>
        <v>估价对象所在区域公共配套设施齐备情况较差</v>
      </c>
      <c r="D19" s="515">
        <v>100</v>
      </c>
      <c r="E19" s="520"/>
      <c r="F19" s="521">
        <f>SUMIF(80:80,E20,81:81)-SUMIF(80:80,C20,81:81)+100</f>
        <v>100</v>
      </c>
      <c r="G19" s="522"/>
      <c r="H19" s="509">
        <f>SUMIF(80:80,G20,81:81)-SUMIF(80:80,C20,81:81)+100</f>
        <v>100</v>
      </c>
      <c r="I19" s="520"/>
      <c r="J19" s="509">
        <f>SUMIF(80:80,I20,81:81)-SUMIF(80:80,C20,81:81)+100</f>
        <v>100</v>
      </c>
      <c r="K19" s="798"/>
      <c r="L19" s="1749"/>
      <c r="M19" s="1742"/>
      <c r="N19" s="1742"/>
      <c r="O19" s="1748"/>
      <c r="P19" s="3597"/>
      <c r="Q19" s="1306" t="str">
        <f>B19</f>
        <v>公共配套设施</v>
      </c>
      <c r="R19" s="1307" t="s">
        <v>8</v>
      </c>
      <c r="S19" s="1308">
        <f>F19</f>
        <v>100</v>
      </c>
      <c r="T19" s="1307" t="s">
        <v>8</v>
      </c>
      <c r="U19" s="1308">
        <f>H19</f>
        <v>100</v>
      </c>
      <c r="V19" s="1307" t="s">
        <v>8</v>
      </c>
      <c r="W19" s="1308">
        <f>J19</f>
        <v>100</v>
      </c>
      <c r="X19" s="1302"/>
      <c r="Y19" s="3597"/>
      <c r="Z19" s="1309" t="str">
        <f>Q19</f>
        <v>公共配套设施</v>
      </c>
      <c r="AA19" s="1309">
        <f t="shared" si="3"/>
        <v>1</v>
      </c>
      <c r="AB19" s="1309">
        <f t="shared" si="4"/>
        <v>1</v>
      </c>
      <c r="AC19" s="1309">
        <f t="shared" si="5"/>
        <v>1</v>
      </c>
    </row>
    <row r="20" spans="1:29" ht="15">
      <c r="A20" s="482"/>
      <c r="B20" s="544"/>
      <c r="C20" s="526"/>
      <c r="D20" s="505"/>
      <c r="E20" s="506"/>
      <c r="F20" s="507"/>
      <c r="G20" s="508"/>
      <c r="H20" s="505"/>
      <c r="I20" s="506"/>
      <c r="J20" s="505"/>
      <c r="K20" s="800"/>
      <c r="L20" s="1749"/>
      <c r="M20" s="1742"/>
      <c r="N20" s="1742"/>
      <c r="O20" s="1748"/>
      <c r="P20" s="3597"/>
      <c r="Q20" s="1306"/>
      <c r="R20" s="1307"/>
      <c r="S20" s="1308"/>
      <c r="T20" s="1307"/>
      <c r="U20" s="1308"/>
      <c r="V20" s="1307"/>
      <c r="W20" s="1308"/>
      <c r="X20" s="1302"/>
      <c r="Y20" s="3597"/>
      <c r="Z20" s="1309"/>
      <c r="AA20" s="1309">
        <v>1</v>
      </c>
      <c r="AB20" s="1309">
        <v>1</v>
      </c>
      <c r="AC20" s="1309">
        <v>1</v>
      </c>
    </row>
    <row r="21" spans="1:29" ht="15">
      <c r="A21" s="482"/>
      <c r="B21" s="2052" t="s">
        <v>1841</v>
      </c>
      <c r="C21" s="801" t="str">
        <f>估价对象房地状况!C8</f>
        <v>六通</v>
      </c>
      <c r="D21" s="515">
        <v>100</v>
      </c>
      <c r="E21" s="522"/>
      <c r="F21" s="521">
        <f>SUMIF(82:82,E22,83:83)-SUMIF(82:82,C22,83:83)+100</f>
        <v>100</v>
      </c>
      <c r="G21" s="522"/>
      <c r="H21" s="515">
        <f>SUMIF(82:82,G22,83:83)-SUMIF(82:82,C22,83:83)+100</f>
        <v>100</v>
      </c>
      <c r="I21" s="520"/>
      <c r="J21" s="515">
        <f>SUMIF(82:82,I22,83:83)-SUMIF(82:82,C22,83:83)+100</f>
        <v>100</v>
      </c>
      <c r="K21" s="798"/>
      <c r="L21" s="1749"/>
      <c r="M21" s="1742"/>
      <c r="N21" s="1742"/>
      <c r="O21" s="1748"/>
      <c r="P21" s="3597"/>
      <c r="Q21" s="1306" t="str">
        <f>B21</f>
        <v>基础设施水平</v>
      </c>
      <c r="R21" s="1307" t="s">
        <v>8</v>
      </c>
      <c r="S21" s="1308">
        <f>F21</f>
        <v>100</v>
      </c>
      <c r="T21" s="1307" t="s">
        <v>8</v>
      </c>
      <c r="U21" s="1308">
        <f>H21</f>
        <v>100</v>
      </c>
      <c r="V21" s="1307" t="s">
        <v>8</v>
      </c>
      <c r="W21" s="1308">
        <f>J21</f>
        <v>100</v>
      </c>
      <c r="X21" s="1302"/>
      <c r="Y21" s="3597"/>
      <c r="Z21" s="1309" t="str">
        <f>Q21</f>
        <v>基础设施水平</v>
      </c>
      <c r="AA21" s="1309">
        <f>D21/F21</f>
        <v>1</v>
      </c>
      <c r="AB21" s="1309">
        <f>D21/H21</f>
        <v>1</v>
      </c>
      <c r="AC21" s="1309">
        <f>D21/J21</f>
        <v>1</v>
      </c>
    </row>
    <row r="22" spans="1:29" ht="15">
      <c r="A22" s="482"/>
      <c r="B22" s="843"/>
      <c r="C22" s="802"/>
      <c r="D22" s="505"/>
      <c r="E22" s="526"/>
      <c r="F22" s="507"/>
      <c r="G22" s="526"/>
      <c r="H22" s="505"/>
      <c r="I22" s="526"/>
      <c r="J22" s="505"/>
      <c r="K22" s="2058"/>
      <c r="L22" s="1749"/>
      <c r="M22" s="1742"/>
      <c r="N22" s="1742"/>
      <c r="O22" s="1748"/>
      <c r="P22" s="3597"/>
      <c r="Q22" s="1306"/>
      <c r="R22" s="1307"/>
      <c r="S22" s="1308"/>
      <c r="T22" s="1307"/>
      <c r="U22" s="1308"/>
      <c r="V22" s="1307"/>
      <c r="W22" s="1308"/>
      <c r="X22" s="1302"/>
      <c r="Y22" s="3597"/>
      <c r="Z22" s="1309"/>
      <c r="AA22" s="1309">
        <v>1</v>
      </c>
      <c r="AB22" s="1309">
        <v>1</v>
      </c>
      <c r="AC22" s="1309">
        <v>1</v>
      </c>
    </row>
    <row r="23" spans="1:29" ht="57">
      <c r="A23" s="482"/>
      <c r="B23" s="677" t="s">
        <v>263</v>
      </c>
      <c r="C23" s="801" t="str">
        <f>估价对象房地状况!C9</f>
        <v>区域自然环境：；人文环境；综合评价环境状况较好</v>
      </c>
      <c r="D23" s="509">
        <v>100</v>
      </c>
      <c r="E23" s="512"/>
      <c r="F23" s="513">
        <f>SUMIF(84:84,E24,85:85)-SUMIF(84:84,C24,85:85)+100</f>
        <v>100</v>
      </c>
      <c r="G23" s="514"/>
      <c r="H23" s="509">
        <f>SUMIF(84:84,G24,85:85)-SUMIF(84:84,C24,85:85)+100</f>
        <v>100</v>
      </c>
      <c r="I23" s="512"/>
      <c r="J23" s="509">
        <f>SUMIF(84:84,I24,85:85)-SUMIF(84:84,C24,85:85)+100</f>
        <v>100</v>
      </c>
      <c r="K23" s="798"/>
      <c r="L23" s="1749"/>
      <c r="M23" s="1742"/>
      <c r="N23" s="1742"/>
      <c r="O23" s="1748"/>
      <c r="P23" s="3597"/>
      <c r="Q23" s="1306" t="str">
        <f>B23</f>
        <v>自然及人文环境</v>
      </c>
      <c r="R23" s="1307" t="s">
        <v>8</v>
      </c>
      <c r="S23" s="1308">
        <f>F23</f>
        <v>100</v>
      </c>
      <c r="T23" s="1307" t="s">
        <v>8</v>
      </c>
      <c r="U23" s="1308">
        <f>H23</f>
        <v>100</v>
      </c>
      <c r="V23" s="1307" t="s">
        <v>8</v>
      </c>
      <c r="W23" s="1308">
        <f>J23</f>
        <v>100</v>
      </c>
      <c r="X23" s="1302"/>
      <c r="Y23" s="3597"/>
      <c r="Z23" s="1309" t="str">
        <f>Q23</f>
        <v>自然及人文环境</v>
      </c>
      <c r="AA23" s="1309">
        <f t="shared" si="3"/>
        <v>1</v>
      </c>
      <c r="AB23" s="1309">
        <f t="shared" si="4"/>
        <v>1</v>
      </c>
      <c r="AC23" s="1309">
        <f t="shared" si="5"/>
        <v>1</v>
      </c>
    </row>
    <row r="24" spans="1:29" ht="15">
      <c r="A24" s="482"/>
      <c r="B24" s="544"/>
      <c r="C24" s="526"/>
      <c r="D24" s="505"/>
      <c r="E24" s="506"/>
      <c r="F24" s="507"/>
      <c r="G24" s="508"/>
      <c r="H24" s="505"/>
      <c r="I24" s="506"/>
      <c r="J24" s="505"/>
      <c r="K24" s="800"/>
      <c r="L24" s="1749"/>
      <c r="M24" s="1742"/>
      <c r="N24" s="1742"/>
      <c r="O24" s="1748"/>
      <c r="P24" s="3597"/>
      <c r="Q24" s="1306"/>
      <c r="R24" s="1307"/>
      <c r="S24" s="1308"/>
      <c r="T24" s="1307"/>
      <c r="U24" s="1308"/>
      <c r="V24" s="1307"/>
      <c r="W24" s="1308"/>
      <c r="X24" s="1302"/>
      <c r="Y24" s="3597"/>
      <c r="Z24" s="1309"/>
      <c r="AA24" s="1309">
        <v>1</v>
      </c>
      <c r="AB24" s="1309">
        <v>1</v>
      </c>
      <c r="AC24" s="1309">
        <v>1</v>
      </c>
    </row>
    <row r="25" spans="1:29" ht="15">
      <c r="A25" s="482"/>
      <c r="B25" s="1554" t="s">
        <v>1615</v>
      </c>
      <c r="C25" s="524"/>
      <c r="D25" s="490">
        <v>100</v>
      </c>
      <c r="E25" s="803"/>
      <c r="F25" s="525">
        <f>SUMIF(86:86,E25,87:87)-SUMIF(86:86,C25,87:87)+100</f>
        <v>100</v>
      </c>
      <c r="G25" s="548"/>
      <c r="H25" s="490">
        <f>SUMIF(86:86,G25,87:87)-SUMIF(86:86,C25,87:87)+100</f>
        <v>100</v>
      </c>
      <c r="I25" s="803"/>
      <c r="J25" s="490">
        <f>SUMIF(86:86,I25,87:87)-SUMIF(86:86,C25,87:87)+100</f>
        <v>100</v>
      </c>
      <c r="K25" s="794"/>
      <c r="L25" s="1749"/>
      <c r="M25" s="1742"/>
      <c r="N25" s="1742"/>
      <c r="O25" s="1748"/>
      <c r="P25" s="3597"/>
      <c r="Q25" s="1306" t="str">
        <f t="shared" ref="Q25:Q46" si="8">B25</f>
        <v>楼层-1</v>
      </c>
      <c r="R25" s="1307" t="s">
        <v>8</v>
      </c>
      <c r="S25" s="1308">
        <f>F25</f>
        <v>100</v>
      </c>
      <c r="T25" s="1307" t="s">
        <v>8</v>
      </c>
      <c r="U25" s="1308">
        <f>H25</f>
        <v>100</v>
      </c>
      <c r="V25" s="1307" t="s">
        <v>8</v>
      </c>
      <c r="W25" s="1308">
        <f>J25</f>
        <v>100</v>
      </c>
      <c r="X25" s="1302"/>
      <c r="Y25" s="3597"/>
      <c r="Z25" s="1309" t="str">
        <f>Q25</f>
        <v>楼层-1</v>
      </c>
      <c r="AA25" s="1309">
        <f t="shared" si="3"/>
        <v>1</v>
      </c>
      <c r="AB25" s="1309">
        <f t="shared" si="4"/>
        <v>1</v>
      </c>
      <c r="AC25" s="1309">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9"/>
      <c r="M26" s="1742"/>
      <c r="N26" s="1742"/>
      <c r="O26" s="1748"/>
      <c r="P26" s="3597"/>
      <c r="Q26" s="1306" t="str">
        <f t="shared" si="8"/>
        <v>朝向</v>
      </c>
      <c r="R26" s="1307" t="s">
        <v>8</v>
      </c>
      <c r="S26" s="1308">
        <f>F26</f>
        <v>100</v>
      </c>
      <c r="T26" s="1307" t="s">
        <v>8</v>
      </c>
      <c r="U26" s="1308">
        <f>H26</f>
        <v>100</v>
      </c>
      <c r="V26" s="1307" t="s">
        <v>8</v>
      </c>
      <c r="W26" s="1308">
        <f>J26</f>
        <v>100</v>
      </c>
      <c r="X26" s="1302"/>
      <c r="Y26" s="3597"/>
      <c r="Z26" s="1309" t="str">
        <f>Q26</f>
        <v>朝向</v>
      </c>
      <c r="AA26" s="1309">
        <f t="shared" si="3"/>
        <v>1</v>
      </c>
      <c r="AB26" s="1309">
        <f t="shared" si="4"/>
        <v>1</v>
      </c>
      <c r="AC26" s="1309">
        <f t="shared" si="5"/>
        <v>1</v>
      </c>
    </row>
    <row r="27" spans="1:29" s="1059"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3"/>
      <c r="M27" s="1640"/>
      <c r="N27" s="1640"/>
      <c r="O27" s="1744"/>
      <c r="P27" s="3597"/>
      <c r="Q27" s="818" t="str">
        <f t="shared" si="8"/>
        <v>道路级别</v>
      </c>
      <c r="R27" s="1303" t="s">
        <v>8</v>
      </c>
      <c r="S27" s="1304">
        <f>F27</f>
        <v>100</v>
      </c>
      <c r="T27" s="1303" t="s">
        <v>8</v>
      </c>
      <c r="U27" s="1304">
        <f>H27</f>
        <v>100</v>
      </c>
      <c r="V27" s="1303" t="s">
        <v>8</v>
      </c>
      <c r="W27" s="1304">
        <f>J27</f>
        <v>100</v>
      </c>
      <c r="X27" s="1305"/>
      <c r="Y27" s="3597"/>
      <c r="Z27" s="996" t="str">
        <f>Q27</f>
        <v>道路级别</v>
      </c>
      <c r="AA27" s="1309">
        <f>D27/F27</f>
        <v>1</v>
      </c>
      <c r="AB27" s="1309">
        <f>D27/H27</f>
        <v>1</v>
      </c>
      <c r="AC27" s="1309">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9"/>
      <c r="M28" s="1742"/>
      <c r="N28" s="1742"/>
      <c r="O28" s="1748"/>
      <c r="P28" s="3597"/>
      <c r="Q28" s="1306">
        <f t="shared" si="8"/>
        <v>111</v>
      </c>
      <c r="R28" s="1307" t="s">
        <v>8</v>
      </c>
      <c r="S28" s="1308">
        <f t="shared" ref="S28:S46" si="9">F28</f>
        <v>100</v>
      </c>
      <c r="T28" s="1307" t="s">
        <v>8</v>
      </c>
      <c r="U28" s="1308">
        <f t="shared" ref="U28:U46" si="10">H28</f>
        <v>100</v>
      </c>
      <c r="V28" s="1307" t="s">
        <v>8</v>
      </c>
      <c r="W28" s="1308">
        <f t="shared" ref="W28:W46" si="11">J28</f>
        <v>100</v>
      </c>
      <c r="X28" s="1302"/>
      <c r="Y28" s="3597"/>
      <c r="Z28" s="1309">
        <f t="shared" ref="Z28:Z46" si="12">Q28</f>
        <v>111</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9"/>
      <c r="M29" s="1742"/>
      <c r="N29" s="1742"/>
      <c r="O29" s="1748"/>
      <c r="P29" s="3597"/>
      <c r="Q29" s="1306">
        <f t="shared" si="8"/>
        <v>111</v>
      </c>
      <c r="R29" s="1307" t="s">
        <v>8</v>
      </c>
      <c r="S29" s="1308">
        <f t="shared" si="9"/>
        <v>100</v>
      </c>
      <c r="T29" s="1307" t="s">
        <v>8</v>
      </c>
      <c r="U29" s="1308">
        <f t="shared" si="10"/>
        <v>100</v>
      </c>
      <c r="V29" s="1307" t="s">
        <v>8</v>
      </c>
      <c r="W29" s="1308">
        <f t="shared" si="11"/>
        <v>100</v>
      </c>
      <c r="X29" s="1302"/>
      <c r="Y29" s="3597"/>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9"/>
      <c r="M30" s="1742"/>
      <c r="N30" s="1742"/>
      <c r="O30" s="1748"/>
      <c r="P30" s="3597"/>
      <c r="Q30" s="1306">
        <f t="shared" si="8"/>
        <v>111</v>
      </c>
      <c r="R30" s="1307" t="s">
        <v>8</v>
      </c>
      <c r="S30" s="1308">
        <f t="shared" si="9"/>
        <v>100</v>
      </c>
      <c r="T30" s="1307" t="s">
        <v>8</v>
      </c>
      <c r="U30" s="1308">
        <f t="shared" si="10"/>
        <v>100</v>
      </c>
      <c r="V30" s="1307" t="s">
        <v>8</v>
      </c>
      <c r="W30" s="1308">
        <f t="shared" si="11"/>
        <v>100</v>
      </c>
      <c r="X30" s="1302"/>
      <c r="Y30" s="3597"/>
      <c r="Z30" s="1309">
        <f t="shared" si="12"/>
        <v>111</v>
      </c>
      <c r="AA30" s="1309">
        <f t="shared" si="3"/>
        <v>1</v>
      </c>
      <c r="AB30" s="1309">
        <f t="shared" si="4"/>
        <v>1</v>
      </c>
      <c r="AC30" s="1309">
        <f t="shared" si="5"/>
        <v>1</v>
      </c>
    </row>
    <row r="31" spans="1:29" ht="15.75"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9"/>
      <c r="M31" s="1742"/>
      <c r="N31" s="1742"/>
      <c r="O31" s="1748"/>
      <c r="P31" s="3597"/>
      <c r="Q31" s="1306">
        <f t="shared" si="8"/>
        <v>111</v>
      </c>
      <c r="R31" s="1307" t="s">
        <v>8</v>
      </c>
      <c r="S31" s="1308">
        <f t="shared" si="9"/>
        <v>100</v>
      </c>
      <c r="T31" s="1307" t="s">
        <v>8</v>
      </c>
      <c r="U31" s="1308">
        <f t="shared" si="10"/>
        <v>100</v>
      </c>
      <c r="V31" s="1307" t="s">
        <v>8</v>
      </c>
      <c r="W31" s="1308">
        <f t="shared" si="11"/>
        <v>100</v>
      </c>
      <c r="X31" s="1302"/>
      <c r="Y31" s="3597"/>
      <c r="Z31" s="1309">
        <f t="shared" si="12"/>
        <v>111</v>
      </c>
      <c r="AA31" s="1309">
        <f t="shared" si="3"/>
        <v>1</v>
      </c>
      <c r="AB31" s="1309">
        <f t="shared" si="4"/>
        <v>1</v>
      </c>
      <c r="AC31" s="1309">
        <f t="shared" si="5"/>
        <v>1</v>
      </c>
    </row>
    <row r="32" spans="1:29" ht="15">
      <c r="A32" s="2204" t="s">
        <v>2037</v>
      </c>
      <c r="B32" s="156" t="s">
        <v>672</v>
      </c>
      <c r="C32" s="804"/>
      <c r="D32" s="546">
        <v>100</v>
      </c>
      <c r="E32" s="805"/>
      <c r="F32" s="525">
        <f>SUMIF(100:100,E32,101:101)-SUMIF(100:100,C32,101:101)+100</f>
        <v>100</v>
      </c>
      <c r="G32" s="804"/>
      <c r="H32" s="546">
        <f>SUMIF(100:100,G32,101:101)-SUMIF(100:100,C32,101:101)+100</f>
        <v>100</v>
      </c>
      <c r="I32" s="805"/>
      <c r="J32" s="490">
        <f>SUMIF(100:100,I32,101:101)-SUMIF(100:100,C32,101:101)+100</f>
        <v>100</v>
      </c>
      <c r="K32" s="794"/>
      <c r="L32" s="1749"/>
      <c r="M32" s="1742"/>
      <c r="N32" s="1742"/>
      <c r="O32" s="1748"/>
      <c r="P32" s="3598" t="s">
        <v>499</v>
      </c>
      <c r="Q32" s="1306" t="str">
        <f t="shared" si="8"/>
        <v>建筑类型</v>
      </c>
      <c r="R32" s="1307" t="s">
        <v>8</v>
      </c>
      <c r="S32" s="1308">
        <f t="shared" si="9"/>
        <v>100</v>
      </c>
      <c r="T32" s="1307" t="s">
        <v>8</v>
      </c>
      <c r="U32" s="1308">
        <f t="shared" si="10"/>
        <v>100</v>
      </c>
      <c r="V32" s="1307" t="s">
        <v>8</v>
      </c>
      <c r="W32" s="1308">
        <f t="shared" si="11"/>
        <v>100</v>
      </c>
      <c r="X32" s="1302"/>
      <c r="Y32" s="3599" t="s">
        <v>499</v>
      </c>
      <c r="Z32" s="1309" t="str">
        <f t="shared" si="12"/>
        <v>建筑类型</v>
      </c>
      <c r="AA32" s="1309">
        <f t="shared" si="3"/>
        <v>1</v>
      </c>
      <c r="AB32" s="1309">
        <f t="shared" si="4"/>
        <v>1</v>
      </c>
      <c r="AC32" s="1309">
        <f t="shared" si="5"/>
        <v>1</v>
      </c>
    </row>
    <row r="33" spans="1:29" s="1133" customFormat="1" ht="15">
      <c r="A33" s="552"/>
      <c r="B33" s="477" t="s">
        <v>673</v>
      </c>
      <c r="C33" s="806"/>
      <c r="D33" s="235">
        <v>100</v>
      </c>
      <c r="E33" s="484"/>
      <c r="F33" s="477" t="e">
        <f>LOOKUP(E33,103:103,104:104)-LOOKUP(C33,103:103,104:104)+100</f>
        <v>#N/A</v>
      </c>
      <c r="G33" s="483"/>
      <c r="H33" s="235" t="e">
        <f>LOOKUP(G33,103:103,104:104)-LOOKUP(C33,103:103,104:104)+100</f>
        <v>#N/A</v>
      </c>
      <c r="I33" s="484"/>
      <c r="J33" s="235" t="e">
        <f>LOOKUP(I33,103:103,104:104)-LOOKUP(C33,103:103,104:104)+100</f>
        <v>#N/A</v>
      </c>
      <c r="K33" s="795"/>
      <c r="L33" s="1747"/>
      <c r="M33" s="1771"/>
      <c r="N33" s="1771"/>
      <c r="O33" s="1750"/>
      <c r="P33" s="3599"/>
      <c r="Q33" s="819" t="str">
        <f t="shared" si="8"/>
        <v>项目建筑规模</v>
      </c>
      <c r="R33" s="1310" t="s">
        <v>8</v>
      </c>
      <c r="S33" s="1311" t="e">
        <f t="shared" si="9"/>
        <v>#N/A</v>
      </c>
      <c r="T33" s="1310" t="s">
        <v>8</v>
      </c>
      <c r="U33" s="1311" t="e">
        <f t="shared" si="10"/>
        <v>#N/A</v>
      </c>
      <c r="V33" s="1310" t="s">
        <v>8</v>
      </c>
      <c r="W33" s="1311" t="e">
        <f t="shared" si="11"/>
        <v>#N/A</v>
      </c>
      <c r="X33" s="1312"/>
      <c r="Y33" s="3599"/>
      <c r="Z33" s="1313" t="str">
        <f t="shared" si="12"/>
        <v>项目建筑规模</v>
      </c>
      <c r="AA33" s="1309" t="e">
        <f t="shared" si="3"/>
        <v>#N/A</v>
      </c>
      <c r="AB33" s="1309" t="e">
        <f t="shared" si="4"/>
        <v>#N/A</v>
      </c>
      <c r="AC33" s="1309"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807"/>
      <c r="J34" s="490">
        <f>SUMIF(105:105,I34,106:106)-SUMIF(105:105,C34,106:106)+100</f>
        <v>100</v>
      </c>
      <c r="K34" s="794"/>
      <c r="L34" s="1749"/>
      <c r="M34" s="1742"/>
      <c r="N34" s="1742"/>
      <c r="O34" s="1748"/>
      <c r="P34" s="3599"/>
      <c r="Q34" s="1306" t="str">
        <f t="shared" si="8"/>
        <v>建筑结构</v>
      </c>
      <c r="R34" s="1307" t="s">
        <v>8</v>
      </c>
      <c r="S34" s="1308">
        <f t="shared" si="9"/>
        <v>100</v>
      </c>
      <c r="T34" s="1307" t="s">
        <v>8</v>
      </c>
      <c r="U34" s="1308">
        <f t="shared" si="10"/>
        <v>100</v>
      </c>
      <c r="V34" s="1307" t="s">
        <v>8</v>
      </c>
      <c r="W34" s="1308">
        <f t="shared" si="11"/>
        <v>100</v>
      </c>
      <c r="X34" s="1302"/>
      <c r="Y34" s="3599"/>
      <c r="Z34" s="1309" t="str">
        <f t="shared" si="12"/>
        <v>建筑结构</v>
      </c>
      <c r="AA34" s="1309">
        <f t="shared" si="3"/>
        <v>1</v>
      </c>
      <c r="AB34" s="1309">
        <f t="shared" si="4"/>
        <v>1</v>
      </c>
      <c r="AC34" s="1309">
        <f t="shared" si="5"/>
        <v>1</v>
      </c>
    </row>
    <row r="35" spans="1:29" ht="15">
      <c r="A35" s="543"/>
      <c r="B35" s="477" t="s">
        <v>675</v>
      </c>
      <c r="C35" s="548"/>
      <c r="D35" s="490">
        <v>100</v>
      </c>
      <c r="E35" s="803"/>
      <c r="F35" s="525">
        <f>SUMIF(107:107,E35,108:108)-SUMIF(107:107,C35,108:108)+100</f>
        <v>100</v>
      </c>
      <c r="G35" s="548"/>
      <c r="H35" s="490">
        <f>SUMIF(107:107,G35,108:108)-SUMIF(107:107,C35,108:108)+100</f>
        <v>100</v>
      </c>
      <c r="I35" s="803"/>
      <c r="J35" s="490">
        <f>SUMIF(107:107,I35,108:108)-SUMIF(107:107,C35,108:108)+100</f>
        <v>100</v>
      </c>
      <c r="K35" s="794"/>
      <c r="L35" s="1749"/>
      <c r="M35" s="1742"/>
      <c r="N35" s="1742"/>
      <c r="O35" s="1748"/>
      <c r="P35" s="3599"/>
      <c r="Q35" s="1306" t="str">
        <f t="shared" si="8"/>
        <v>建筑品质</v>
      </c>
      <c r="R35" s="1307" t="s">
        <v>8</v>
      </c>
      <c r="S35" s="1308">
        <f t="shared" si="9"/>
        <v>100</v>
      </c>
      <c r="T35" s="1307" t="s">
        <v>8</v>
      </c>
      <c r="U35" s="1308">
        <f t="shared" si="10"/>
        <v>100</v>
      </c>
      <c r="V35" s="1307" t="s">
        <v>8</v>
      </c>
      <c r="W35" s="1308">
        <f t="shared" si="11"/>
        <v>100</v>
      </c>
      <c r="X35" s="1302"/>
      <c r="Y35" s="3599"/>
      <c r="Z35" s="1309" t="str">
        <f t="shared" si="12"/>
        <v>建筑品质</v>
      </c>
      <c r="AA35" s="1309">
        <f t="shared" si="3"/>
        <v>1</v>
      </c>
      <c r="AB35" s="1309">
        <f t="shared" si="4"/>
        <v>1</v>
      </c>
      <c r="AC35" s="1309">
        <f t="shared" si="5"/>
        <v>1</v>
      </c>
    </row>
    <row r="36" spans="1:29" ht="15">
      <c r="A36" s="543"/>
      <c r="B36" s="477" t="s">
        <v>676</v>
      </c>
      <c r="C36" s="548"/>
      <c r="D36" s="490">
        <v>100</v>
      </c>
      <c r="E36" s="803"/>
      <c r="F36" s="525">
        <f>SUMIF(109:109,E36,110:110)-SUMIF(109:109,C36,110:110)+100</f>
        <v>100</v>
      </c>
      <c r="G36" s="548"/>
      <c r="H36" s="490">
        <f>SUMIF(109:109,G36,110:110)-SUMIF(109:109,C36,110:110)+100</f>
        <v>100</v>
      </c>
      <c r="I36" s="803"/>
      <c r="J36" s="490">
        <f>SUMIF(109:109,I36,110:110)-SUMIF(109:109,C36,110:110)+100</f>
        <v>100</v>
      </c>
      <c r="K36" s="794"/>
      <c r="L36" s="1749"/>
      <c r="M36" s="1742"/>
      <c r="N36" s="1742"/>
      <c r="O36" s="1748"/>
      <c r="P36" s="3599"/>
      <c r="Q36" s="1306" t="str">
        <f t="shared" si="8"/>
        <v>公共部分装修</v>
      </c>
      <c r="R36" s="1307" t="s">
        <v>8</v>
      </c>
      <c r="S36" s="1308">
        <f t="shared" si="9"/>
        <v>100</v>
      </c>
      <c r="T36" s="1307" t="s">
        <v>8</v>
      </c>
      <c r="U36" s="1308">
        <f t="shared" si="10"/>
        <v>100</v>
      </c>
      <c r="V36" s="1307" t="s">
        <v>8</v>
      </c>
      <c r="W36" s="1308">
        <f t="shared" si="11"/>
        <v>100</v>
      </c>
      <c r="X36" s="1302"/>
      <c r="Y36" s="3599"/>
      <c r="Z36" s="1309" t="str">
        <f t="shared" si="12"/>
        <v>公共部分装修</v>
      </c>
      <c r="AA36" s="1309">
        <f t="shared" si="3"/>
        <v>1</v>
      </c>
      <c r="AB36" s="1309">
        <f t="shared" si="4"/>
        <v>1</v>
      </c>
      <c r="AC36" s="1309">
        <f t="shared" si="5"/>
        <v>1</v>
      </c>
    </row>
    <row r="37" spans="1:29" s="1059" customFormat="1" ht="15">
      <c r="A37" s="549"/>
      <c r="B37" s="477" t="s">
        <v>677</v>
      </c>
      <c r="C37" s="808"/>
      <c r="D37" s="235">
        <v>100</v>
      </c>
      <c r="E37" s="809"/>
      <c r="F37" s="477" t="e">
        <f>LOOKUP(E37,112:112,113:113)-LOOKUP(C37,112:112,113:113)+100</f>
        <v>#N/A</v>
      </c>
      <c r="G37" s="810"/>
      <c r="H37" s="235" t="e">
        <f>LOOKUP(G37,112:112,113:113)-LOOKUP(C37,112:112,113:113)+100</f>
        <v>#N/A</v>
      </c>
      <c r="I37" s="809"/>
      <c r="J37" s="235" t="e">
        <f>LOOKUP(I37,112:112,113:113)-LOOKUP(C37,112:112,113:113)+100</f>
        <v>#N/A</v>
      </c>
      <c r="K37" s="794"/>
      <c r="L37" s="1743"/>
      <c r="M37" s="1640"/>
      <c r="N37" s="1640"/>
      <c r="O37" s="1744"/>
      <c r="P37" s="3599"/>
      <c r="Q37" s="818" t="str">
        <f t="shared" si="8"/>
        <v>成新度</v>
      </c>
      <c r="R37" s="1303" t="s">
        <v>8</v>
      </c>
      <c r="S37" s="1304" t="e">
        <f t="shared" si="9"/>
        <v>#N/A</v>
      </c>
      <c r="T37" s="1303" t="s">
        <v>8</v>
      </c>
      <c r="U37" s="1304" t="e">
        <f t="shared" si="10"/>
        <v>#N/A</v>
      </c>
      <c r="V37" s="1303" t="s">
        <v>8</v>
      </c>
      <c r="W37" s="1304" t="e">
        <f t="shared" si="11"/>
        <v>#N/A</v>
      </c>
      <c r="X37" s="1305"/>
      <c r="Y37" s="3599"/>
      <c r="Z37" s="996" t="str">
        <f t="shared" si="12"/>
        <v>成新度</v>
      </c>
      <c r="AA37" s="996" t="e">
        <f t="shared" si="3"/>
        <v>#N/A</v>
      </c>
      <c r="AB37" s="996" t="e">
        <f t="shared" si="4"/>
        <v>#N/A</v>
      </c>
      <c r="AC37" s="996" t="e">
        <f t="shared" si="5"/>
        <v>#N/A</v>
      </c>
    </row>
    <row r="38" spans="1:29" ht="15">
      <c r="A38" s="543"/>
      <c r="B38" s="477" t="s">
        <v>678</v>
      </c>
      <c r="C38" s="548"/>
      <c r="D38" s="490">
        <v>100</v>
      </c>
      <c r="E38" s="803"/>
      <c r="F38" s="525">
        <f>SUMIF(114:114,E38,115:115)-SUMIF(114:114,C38,115:115)+100</f>
        <v>100</v>
      </c>
      <c r="G38" s="548"/>
      <c r="H38" s="490">
        <f>SUMIF(114:114,G38,115:115)-SUMIF(114:114,C38,115:115)+100</f>
        <v>100</v>
      </c>
      <c r="I38" s="803"/>
      <c r="J38" s="490">
        <f>SUMIF(114:114,I38,115:115)-SUMIF(114:114,C38,115:115)+100</f>
        <v>100</v>
      </c>
      <c r="K38" s="794"/>
      <c r="L38" s="1749"/>
      <c r="M38" s="1742"/>
      <c r="N38" s="1742"/>
      <c r="O38" s="1748"/>
      <c r="P38" s="3599" t="s">
        <v>499</v>
      </c>
      <c r="Q38" s="1306" t="str">
        <f t="shared" si="8"/>
        <v>物业管理</v>
      </c>
      <c r="R38" s="1307" t="s">
        <v>8</v>
      </c>
      <c r="S38" s="1308">
        <f t="shared" si="9"/>
        <v>100</v>
      </c>
      <c r="T38" s="1307" t="s">
        <v>8</v>
      </c>
      <c r="U38" s="1308">
        <f t="shared" si="10"/>
        <v>100</v>
      </c>
      <c r="V38" s="1307" t="s">
        <v>8</v>
      </c>
      <c r="W38" s="1308">
        <f t="shared" si="11"/>
        <v>100</v>
      </c>
      <c r="X38" s="1302"/>
      <c r="Y38" s="3599" t="s">
        <v>499</v>
      </c>
      <c r="Z38" s="1309" t="str">
        <f t="shared" si="12"/>
        <v>物业管理</v>
      </c>
      <c r="AA38" s="1309">
        <f t="shared" si="3"/>
        <v>1</v>
      </c>
      <c r="AB38" s="1309">
        <f t="shared" si="4"/>
        <v>1</v>
      </c>
      <c r="AC38" s="1309">
        <f t="shared" si="5"/>
        <v>1</v>
      </c>
    </row>
    <row r="39" spans="1:29" ht="15">
      <c r="A39" s="543"/>
      <c r="B39" s="1554" t="s">
        <v>1847</v>
      </c>
      <c r="C39" s="548"/>
      <c r="D39" s="490">
        <v>100</v>
      </c>
      <c r="E39" s="803"/>
      <c r="F39" s="525">
        <f>SUMIF(116:116,E39,117:117)-SUMIF(116:116,C39,117:117)+100</f>
        <v>100</v>
      </c>
      <c r="G39" s="548"/>
      <c r="H39" s="490">
        <f>SUMIF(116:116,G39,117:117)-SUMIF(116:116,C39,117:117)+100</f>
        <v>100</v>
      </c>
      <c r="I39" s="803"/>
      <c r="J39" s="490">
        <f>SUMIF(116:116,I39,117:117)-SUMIF(116:116,C39,117:117)+100</f>
        <v>100</v>
      </c>
      <c r="K39" s="794"/>
      <c r="L39" s="1749"/>
      <c r="M39" s="1742"/>
      <c r="N39" s="1742"/>
      <c r="O39" s="1748"/>
      <c r="P39" s="3599"/>
      <c r="Q39" s="1306" t="str">
        <f t="shared" si="8"/>
        <v>市政基础设施</v>
      </c>
      <c r="R39" s="1307" t="s">
        <v>8</v>
      </c>
      <c r="S39" s="1308">
        <f t="shared" si="9"/>
        <v>100</v>
      </c>
      <c r="T39" s="1307" t="s">
        <v>8</v>
      </c>
      <c r="U39" s="1308">
        <f t="shared" si="10"/>
        <v>100</v>
      </c>
      <c r="V39" s="1307" t="s">
        <v>8</v>
      </c>
      <c r="W39" s="1308">
        <f t="shared" si="11"/>
        <v>100</v>
      </c>
      <c r="X39" s="1302"/>
      <c r="Y39" s="3599"/>
      <c r="Z39" s="1309" t="str">
        <f t="shared" si="12"/>
        <v>市政基础设施</v>
      </c>
      <c r="AA39" s="1309">
        <f t="shared" si="3"/>
        <v>1</v>
      </c>
      <c r="AB39" s="1309">
        <f t="shared" si="4"/>
        <v>1</v>
      </c>
      <c r="AC39" s="1309">
        <f t="shared" si="5"/>
        <v>1</v>
      </c>
    </row>
    <row r="40" spans="1:29" ht="15">
      <c r="A40" s="543"/>
      <c r="B40" s="477" t="s">
        <v>679</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49"/>
      <c r="M40" s="1742"/>
      <c r="N40" s="1742"/>
      <c r="O40" s="1748"/>
      <c r="P40" s="3599"/>
      <c r="Q40" s="1306" t="str">
        <f t="shared" si="8"/>
        <v>房型</v>
      </c>
      <c r="R40" s="1307" t="s">
        <v>8</v>
      </c>
      <c r="S40" s="1308">
        <f t="shared" si="9"/>
        <v>100</v>
      </c>
      <c r="T40" s="1307" t="s">
        <v>8</v>
      </c>
      <c r="U40" s="1308">
        <f t="shared" si="10"/>
        <v>100</v>
      </c>
      <c r="V40" s="1307" t="s">
        <v>8</v>
      </c>
      <c r="W40" s="1308">
        <f t="shared" si="11"/>
        <v>100</v>
      </c>
      <c r="X40" s="1302"/>
      <c r="Y40" s="3599"/>
      <c r="Z40" s="1309" t="str">
        <f t="shared" si="12"/>
        <v>房型</v>
      </c>
      <c r="AA40" s="1309">
        <f t="shared" si="3"/>
        <v>1</v>
      </c>
      <c r="AB40" s="1309">
        <f t="shared" si="4"/>
        <v>1</v>
      </c>
      <c r="AC40" s="1309">
        <f t="shared" si="5"/>
        <v>1</v>
      </c>
    </row>
    <row r="41" spans="1:29" s="1133" customFormat="1" ht="28.5">
      <c r="A41" s="552"/>
      <c r="B41" s="477" t="s">
        <v>680</v>
      </c>
      <c r="C41" s="806"/>
      <c r="D41" s="235">
        <v>100</v>
      </c>
      <c r="E41" s="484"/>
      <c r="F41" s="477">
        <f>SUMIF(120:120,E41,121:121)-SUMIF(120:120,C41,121:121)+100</f>
        <v>100</v>
      </c>
      <c r="G41" s="483"/>
      <c r="H41" s="235">
        <f>SUMIF(120:120,G41,121:121)-SUMIF(120:120,C41,121:121)+100</f>
        <v>100</v>
      </c>
      <c r="I41" s="535"/>
      <c r="J41" s="490">
        <f>SUMIF(120:120,I41,121:121)-SUMIF(120:120,C41,121:121)+100</f>
        <v>100</v>
      </c>
      <c r="K41" s="795"/>
      <c r="L41" s="1747"/>
      <c r="M41" s="1771"/>
      <c r="N41" s="1771"/>
      <c r="O41" s="1750"/>
      <c r="P41" s="3599"/>
      <c r="Q41" s="819" t="str">
        <f t="shared" si="8"/>
        <v>单套/主力户型建筑面积</v>
      </c>
      <c r="R41" s="1310" t="s">
        <v>8</v>
      </c>
      <c r="S41" s="1311">
        <f t="shared" si="9"/>
        <v>100</v>
      </c>
      <c r="T41" s="1310" t="s">
        <v>8</v>
      </c>
      <c r="U41" s="1311">
        <f t="shared" si="10"/>
        <v>100</v>
      </c>
      <c r="V41" s="1310" t="s">
        <v>8</v>
      </c>
      <c r="W41" s="1311">
        <f t="shared" si="11"/>
        <v>100</v>
      </c>
      <c r="X41" s="1312"/>
      <c r="Y41" s="3599"/>
      <c r="Z41" s="1313" t="str">
        <f t="shared" si="12"/>
        <v>单套/主力户型建筑面积</v>
      </c>
      <c r="AA41" s="1309">
        <f t="shared" si="3"/>
        <v>1</v>
      </c>
      <c r="AB41" s="1309">
        <f t="shared" si="4"/>
        <v>1</v>
      </c>
      <c r="AC41" s="1309">
        <f t="shared" si="5"/>
        <v>1</v>
      </c>
    </row>
    <row r="42" spans="1:29" ht="15">
      <c r="A42" s="543"/>
      <c r="B42" s="477" t="s">
        <v>681</v>
      </c>
      <c r="C42" s="548"/>
      <c r="D42" s="490">
        <v>100</v>
      </c>
      <c r="E42" s="803"/>
      <c r="F42" s="525">
        <f>SUMIF(122:122,E42,123:123)-SUMIF(122:122,C42,123:123)+100</f>
        <v>100</v>
      </c>
      <c r="G42" s="548"/>
      <c r="H42" s="490">
        <f>SUMIF(122:122,G42,123:123)-SUMIF(122:122,C42,123:123)+100</f>
        <v>100</v>
      </c>
      <c r="I42" s="803"/>
      <c r="J42" s="490">
        <f>SUMIF(122:122,I42,123:123)-SUMIF(122:122,C42,123:123)+100</f>
        <v>100</v>
      </c>
      <c r="K42" s="794"/>
      <c r="L42" s="1749"/>
      <c r="M42" s="1742"/>
      <c r="N42" s="1742"/>
      <c r="O42" s="1748"/>
      <c r="P42" s="3599"/>
      <c r="Q42" s="1306" t="str">
        <f t="shared" si="8"/>
        <v>内部装修</v>
      </c>
      <c r="R42" s="1307" t="s">
        <v>8</v>
      </c>
      <c r="S42" s="1308">
        <f t="shared" si="9"/>
        <v>100</v>
      </c>
      <c r="T42" s="1307" t="s">
        <v>8</v>
      </c>
      <c r="U42" s="1308">
        <f t="shared" si="10"/>
        <v>100</v>
      </c>
      <c r="V42" s="1307" t="s">
        <v>8</v>
      </c>
      <c r="W42" s="1308">
        <f t="shared" si="11"/>
        <v>100</v>
      </c>
      <c r="X42" s="1302"/>
      <c r="Y42" s="3599"/>
      <c r="Z42" s="1309" t="str">
        <f t="shared" si="12"/>
        <v>内部装修</v>
      </c>
      <c r="AA42" s="1309">
        <f t="shared" si="3"/>
        <v>1</v>
      </c>
      <c r="AB42" s="1309">
        <f t="shared" si="4"/>
        <v>1</v>
      </c>
      <c r="AC42" s="1309">
        <f t="shared" si="5"/>
        <v>1</v>
      </c>
    </row>
    <row r="43" spans="1:29" ht="27">
      <c r="A43" s="543"/>
      <c r="B43" s="477" t="s">
        <v>682</v>
      </c>
      <c r="C43" s="548"/>
      <c r="D43" s="490">
        <v>100</v>
      </c>
      <c r="E43" s="803"/>
      <c r="F43" s="525">
        <f>SUMIF(124:124,E43,125:125)-SUMIF(124:124,C43,125:125)+100</f>
        <v>100</v>
      </c>
      <c r="G43" s="548"/>
      <c r="H43" s="490">
        <f>SUMIF(124:124,G43,125:125)-SUMIF(124:124,C43,125:125)+100</f>
        <v>100</v>
      </c>
      <c r="I43" s="803"/>
      <c r="J43" s="490">
        <f>SUMIF(124:124,I43,125:125)-SUMIF(124:124,C43,125:125)+100</f>
        <v>100</v>
      </c>
      <c r="K43" s="794"/>
      <c r="L43" s="1749"/>
      <c r="M43" s="1742"/>
      <c r="N43" s="1742"/>
      <c r="O43" s="1748"/>
      <c r="P43" s="3599"/>
      <c r="Q43" s="1306" t="str">
        <f t="shared" si="8"/>
        <v>内部装修维护情况</v>
      </c>
      <c r="R43" s="1307" t="s">
        <v>8</v>
      </c>
      <c r="S43" s="1308">
        <f t="shared" si="9"/>
        <v>100</v>
      </c>
      <c r="T43" s="1307" t="s">
        <v>8</v>
      </c>
      <c r="U43" s="1308">
        <f t="shared" si="10"/>
        <v>100</v>
      </c>
      <c r="V43" s="1307" t="s">
        <v>8</v>
      </c>
      <c r="W43" s="1308">
        <f t="shared" si="11"/>
        <v>100</v>
      </c>
      <c r="X43" s="1302"/>
      <c r="Y43" s="3599"/>
      <c r="Z43" s="1309" t="str">
        <f t="shared" si="12"/>
        <v>内部装修维护情况</v>
      </c>
      <c r="AA43" s="1309">
        <f t="shared" si="3"/>
        <v>1</v>
      </c>
      <c r="AB43" s="1309">
        <f t="shared" si="4"/>
        <v>1</v>
      </c>
      <c r="AC43" s="1309">
        <f t="shared" si="5"/>
        <v>1</v>
      </c>
    </row>
    <row r="44" spans="1:29" s="1059" customFormat="1" ht="15">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3"/>
      <c r="M44" s="1640"/>
      <c r="N44" s="1640"/>
      <c r="O44" s="1744"/>
      <c r="P44" s="3599"/>
      <c r="Q44" s="818">
        <f t="shared" si="8"/>
        <v>111</v>
      </c>
      <c r="R44" s="1303" t="s">
        <v>8</v>
      </c>
      <c r="S44" s="1304">
        <f t="shared" si="9"/>
        <v>100</v>
      </c>
      <c r="T44" s="1303" t="s">
        <v>8</v>
      </c>
      <c r="U44" s="1304">
        <f t="shared" si="10"/>
        <v>100</v>
      </c>
      <c r="V44" s="1303" t="s">
        <v>8</v>
      </c>
      <c r="W44" s="1304">
        <f t="shared" si="11"/>
        <v>100</v>
      </c>
      <c r="X44" s="1305"/>
      <c r="Y44" s="3599"/>
      <c r="Z44" s="996">
        <f t="shared" si="12"/>
        <v>111</v>
      </c>
      <c r="AA44" s="996">
        <f t="shared" si="3"/>
        <v>1</v>
      </c>
      <c r="AB44" s="996">
        <f t="shared" si="4"/>
        <v>1</v>
      </c>
      <c r="AC44" s="996">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9"/>
      <c r="M45" s="1742"/>
      <c r="N45" s="1742"/>
      <c r="O45" s="1748"/>
      <c r="P45" s="3599"/>
      <c r="Q45" s="1306">
        <f t="shared" si="8"/>
        <v>111</v>
      </c>
      <c r="R45" s="1307" t="s">
        <v>8</v>
      </c>
      <c r="S45" s="1308">
        <f t="shared" si="9"/>
        <v>100</v>
      </c>
      <c r="T45" s="1307" t="s">
        <v>8</v>
      </c>
      <c r="U45" s="1308">
        <f t="shared" si="10"/>
        <v>100</v>
      </c>
      <c r="V45" s="1307" t="s">
        <v>8</v>
      </c>
      <c r="W45" s="1308">
        <f t="shared" si="11"/>
        <v>100</v>
      </c>
      <c r="X45" s="1302"/>
      <c r="Y45" s="3599"/>
      <c r="Z45" s="1309">
        <f t="shared" si="12"/>
        <v>111</v>
      </c>
      <c r="AA45" s="1309">
        <f t="shared" si="3"/>
        <v>1</v>
      </c>
      <c r="AB45" s="1309">
        <f t="shared" si="4"/>
        <v>1</v>
      </c>
      <c r="AC45" s="1309">
        <f t="shared" si="5"/>
        <v>1</v>
      </c>
    </row>
    <row r="46" spans="1:29" ht="15.75" thickBot="1">
      <c r="A46" s="811"/>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9"/>
      <c r="M46" s="1742"/>
      <c r="N46" s="1742"/>
      <c r="O46" s="1748"/>
      <c r="P46" s="3710"/>
      <c r="Q46" s="1306">
        <f t="shared" si="8"/>
        <v>111</v>
      </c>
      <c r="R46" s="1307" t="s">
        <v>7</v>
      </c>
      <c r="S46" s="1308">
        <f t="shared" si="9"/>
        <v>100</v>
      </c>
      <c r="T46" s="1307" t="s">
        <v>7</v>
      </c>
      <c r="U46" s="1308">
        <f t="shared" si="10"/>
        <v>100</v>
      </c>
      <c r="V46" s="1307" t="s">
        <v>7</v>
      </c>
      <c r="W46" s="1308">
        <f t="shared" si="11"/>
        <v>100</v>
      </c>
      <c r="X46" s="1302"/>
      <c r="Y46" s="3710"/>
      <c r="Z46" s="1309">
        <f t="shared" si="12"/>
        <v>111</v>
      </c>
      <c r="AA46" s="1309">
        <f t="shared" si="3"/>
        <v>1</v>
      </c>
      <c r="AB46" s="1309">
        <f t="shared" si="4"/>
        <v>1</v>
      </c>
      <c r="AC46" s="1309">
        <f t="shared" si="5"/>
        <v>1</v>
      </c>
    </row>
    <row r="47" spans="1:29" ht="15">
      <c r="A47" s="556" t="s">
        <v>683</v>
      </c>
      <c r="B47" s="812"/>
      <c r="C47" s="2081" t="s">
        <v>6</v>
      </c>
      <c r="D47" s="559"/>
      <c r="E47" s="560"/>
      <c r="F47" s="561"/>
      <c r="G47" s="562"/>
      <c r="H47" s="563"/>
      <c r="I47" s="560"/>
      <c r="J47" s="563"/>
      <c r="K47" s="1331"/>
      <c r="L47" s="1751"/>
      <c r="M47" s="1742"/>
      <c r="N47" s="1742"/>
      <c r="O47" s="1742"/>
      <c r="P47" s="3594" t="str">
        <f>A47</f>
        <v>成交单价（元/平方米）</v>
      </c>
      <c r="Q47" s="3594"/>
      <c r="R47" s="3610">
        <f>E47</f>
        <v>0</v>
      </c>
      <c r="S47" s="3610"/>
      <c r="T47" s="3610">
        <f>G47</f>
        <v>0</v>
      </c>
      <c r="U47" s="3610"/>
      <c r="V47" s="3610">
        <f>I47</f>
        <v>0</v>
      </c>
      <c r="W47" s="3610"/>
      <c r="X47" s="799"/>
      <c r="Y47" s="1314"/>
      <c r="Z47" s="799"/>
      <c r="AA47" s="799"/>
      <c r="AB47" s="799"/>
      <c r="AC47" s="799"/>
    </row>
    <row r="48" spans="1:29" ht="15.75" thickBot="1">
      <c r="A48" s="564" t="s">
        <v>2042</v>
      </c>
      <c r="B48" s="813"/>
      <c r="C48" s="2082" t="e">
        <f>R49</f>
        <v>#DIV/0!</v>
      </c>
      <c r="D48" s="2550" t="s">
        <v>2256</v>
      </c>
      <c r="E48" s="2083" t="e">
        <f>R48</f>
        <v>#DIV/0!</v>
      </c>
      <c r="F48" s="2551"/>
      <c r="G48" s="2082" t="e">
        <f>T48</f>
        <v>#DIV/0!</v>
      </c>
      <c r="H48" s="2551"/>
      <c r="I48" s="2083" t="e">
        <f>V48</f>
        <v>#DIV/0!</v>
      </c>
      <c r="J48" s="2551"/>
      <c r="K48" s="2558">
        <f>F48+H48+J48</f>
        <v>0</v>
      </c>
      <c r="L48" s="1751"/>
      <c r="M48" s="1742"/>
      <c r="N48" s="1742"/>
      <c r="O48" s="1742"/>
      <c r="P48" s="3594" t="str">
        <f>A48</f>
        <v>比较价格（元/平方米）</v>
      </c>
      <c r="Q48" s="3594"/>
      <c r="R48" s="3610" t="e">
        <f>IF(F1="售价",ROUND(PRODUCT(R47,AA7:AA46),0),ROUND(PRODUCT(R47,AA7:AA46),1))</f>
        <v>#DIV/0!</v>
      </c>
      <c r="S48" s="3610"/>
      <c r="T48" s="3610" t="e">
        <f>IF(F1="售价",ROUND(PRODUCT(T47,AB7:AB46),0),ROUND(PRODUCT(T47,AB7:AB46),1))</f>
        <v>#DIV/0!</v>
      </c>
      <c r="U48" s="3610"/>
      <c r="V48" s="3610" t="e">
        <f>IF(F1="售价",ROUND(PRODUCT(V47,AC7:AC46),0),ROUND(PRODUCT(V47,AC7:AC46),1))</f>
        <v>#DIV/0!</v>
      </c>
      <c r="W48" s="3610"/>
      <c r="X48" s="799"/>
      <c r="Y48" s="799"/>
      <c r="Z48" s="799"/>
      <c r="AA48" s="799"/>
      <c r="AB48" s="799"/>
      <c r="AC48" s="799"/>
    </row>
    <row r="49" spans="1:29" ht="15.75" thickBot="1">
      <c r="A49" s="568" t="s">
        <v>2193</v>
      </c>
      <c r="B49" s="569"/>
      <c r="C49" s="469" t="e">
        <f>R49</f>
        <v>#DIV/0!</v>
      </c>
      <c r="D49" s="469"/>
      <c r="E49" s="469"/>
      <c r="F49" s="469"/>
      <c r="G49" s="469"/>
      <c r="H49" s="469"/>
      <c r="I49" s="469"/>
      <c r="J49" s="469"/>
      <c r="K49" s="1332"/>
      <c r="L49" s="1751"/>
      <c r="M49" s="1742"/>
      <c r="N49" s="1742"/>
      <c r="O49" s="1742"/>
      <c r="P49" s="3600" t="str">
        <f>A49</f>
        <v>估价对象XX用房的比较价格（楼面单价，元/平方米）</v>
      </c>
      <c r="Q49" s="3601"/>
      <c r="R49" s="3709" t="e">
        <f>IF(F1="售价",ROUND(IF(D48="简单平均",AVERAGE(R48:V48),R48*F48+T48*H48+V48*J48),0),ROUND(IF(D48="简单平均",AVERAGE(R48:V48),R48*F48+T48*H48+V48*J48),1))</f>
        <v>#DIV/0!</v>
      </c>
      <c r="S49" s="3709"/>
      <c r="T49" s="3709"/>
      <c r="U49" s="3709"/>
      <c r="V49" s="3709"/>
      <c r="W49" s="3709"/>
      <c r="X49" s="799"/>
      <c r="Y49" s="799"/>
      <c r="Z49" s="799"/>
      <c r="AA49" s="799"/>
      <c r="AB49" s="799"/>
      <c r="AC49" s="799"/>
    </row>
    <row r="50" spans="1:29">
      <c r="A50" s="2721"/>
      <c r="B50" s="2721"/>
      <c r="C50" s="2721"/>
      <c r="D50" s="2721"/>
      <c r="E50" s="2721"/>
      <c r="F50" s="2721"/>
      <c r="G50" s="2723"/>
      <c r="H50" s="2721"/>
      <c r="I50" s="2721"/>
      <c r="J50" s="2721"/>
      <c r="K50" s="2724"/>
      <c r="L50" s="1755"/>
      <c r="M50" s="1742"/>
      <c r="N50" s="1742"/>
      <c r="O50" s="1742"/>
      <c r="P50" s="1742"/>
      <c r="Q50" s="1742"/>
      <c r="R50" s="1742"/>
      <c r="S50" s="1742"/>
      <c r="T50" s="1742"/>
      <c r="U50" s="1742"/>
      <c r="V50" s="1742"/>
      <c r="W50" s="1742"/>
      <c r="X50" s="1742"/>
      <c r="Y50" s="1742"/>
      <c r="Z50" s="1742"/>
      <c r="AA50" s="1742"/>
      <c r="AB50" s="1742"/>
      <c r="AC50" s="1742"/>
    </row>
    <row r="51" spans="1:29">
      <c r="A51" s="2721"/>
      <c r="B51" s="2721"/>
      <c r="C51" s="2721"/>
      <c r="D51" s="2721"/>
      <c r="E51" s="2721"/>
      <c r="F51" s="2721"/>
      <c r="G51" s="2721"/>
      <c r="H51" s="2721"/>
      <c r="I51" s="2721"/>
      <c r="J51" s="2721"/>
      <c r="K51" s="2724"/>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21"/>
      <c r="B52" s="2721"/>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4"/>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21"/>
      <c r="B53" s="2721"/>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4"/>
      <c r="L53" s="1755"/>
      <c r="M53" s="1742"/>
      <c r="N53" s="1742"/>
      <c r="O53" s="1742"/>
      <c r="P53" s="1742"/>
      <c r="Q53" s="1742"/>
      <c r="R53" s="1742"/>
      <c r="S53" s="1742"/>
      <c r="T53" s="1742"/>
      <c r="U53" s="1742"/>
      <c r="V53" s="1742"/>
      <c r="W53" s="1742"/>
      <c r="X53" s="1742"/>
      <c r="Y53" s="1742"/>
      <c r="Z53" s="1742"/>
      <c r="AA53" s="1742"/>
      <c r="AB53" s="1742"/>
      <c r="AC53" s="1742"/>
    </row>
    <row r="54" spans="1:29" s="1138" customFormat="1" ht="13.5" customHeight="1">
      <c r="A54" s="2722"/>
      <c r="B54" s="2722"/>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5"/>
      <c r="L54" s="1758"/>
      <c r="M54" s="1752"/>
      <c r="N54" s="1752"/>
      <c r="O54" s="1752"/>
      <c r="P54" s="1752"/>
      <c r="Q54" s="1752"/>
      <c r="R54" s="1752"/>
      <c r="S54" s="1752"/>
      <c r="T54" s="1752"/>
      <c r="U54" s="1752"/>
      <c r="V54" s="1752"/>
      <c r="W54" s="1752"/>
      <c r="X54" s="1752"/>
      <c r="Y54" s="1752"/>
      <c r="Z54" s="1752"/>
      <c r="AA54" s="1752"/>
      <c r="AB54" s="1752"/>
      <c r="AC54" s="1752"/>
    </row>
    <row r="55" spans="1:29" s="1138"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53"/>
      <c r="E56" s="1753"/>
      <c r="F56" s="1753"/>
      <c r="G56" s="1753"/>
      <c r="H56" s="1753"/>
      <c r="I56" s="1753"/>
      <c r="J56" s="1753"/>
      <c r="K56" s="1753"/>
      <c r="L56" s="1753"/>
      <c r="M56" s="1753"/>
      <c r="N56" s="1753"/>
      <c r="O56" s="1753"/>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0" customFormat="1" ht="15">
      <c r="A58" s="592" t="s">
        <v>478</v>
      </c>
      <c r="B58" s="593"/>
      <c r="C58" s="2115" t="str">
        <f>YEAR(C7)&amp;"-"&amp;MONTH(C7)</f>
        <v>2023-5</v>
      </c>
      <c r="D58" s="2115">
        <f>EDATE(C58,-1)</f>
        <v>45017</v>
      </c>
      <c r="E58" s="2115">
        <f t="shared" ref="E58:O58" si="13">EDATE(D58,-1)</f>
        <v>44986</v>
      </c>
      <c r="F58" s="2115">
        <f t="shared" si="13"/>
        <v>44958</v>
      </c>
      <c r="G58" s="2115">
        <f t="shared" si="13"/>
        <v>44927</v>
      </c>
      <c r="H58" s="2115">
        <f t="shared" si="13"/>
        <v>44896</v>
      </c>
      <c r="I58" s="2115">
        <f t="shared" si="13"/>
        <v>44866</v>
      </c>
      <c r="J58" s="2115">
        <f t="shared" si="13"/>
        <v>44835</v>
      </c>
      <c r="K58" s="2115">
        <f t="shared" si="13"/>
        <v>44805</v>
      </c>
      <c r="L58" s="2115">
        <f t="shared" si="13"/>
        <v>44774</v>
      </c>
      <c r="M58" s="2115">
        <f t="shared" si="13"/>
        <v>44743</v>
      </c>
      <c r="N58" s="2115">
        <f t="shared" si="13"/>
        <v>44713</v>
      </c>
      <c r="O58" s="2115">
        <f t="shared" si="13"/>
        <v>44682</v>
      </c>
      <c r="P58" s="1765"/>
      <c r="Q58" s="1765"/>
      <c r="R58" s="1765"/>
      <c r="S58" s="1765"/>
      <c r="T58" s="1765"/>
      <c r="U58" s="1765"/>
      <c r="V58" s="1765"/>
      <c r="W58" s="1765"/>
      <c r="X58" s="1765"/>
      <c r="Y58" s="1765"/>
      <c r="Z58" s="1765"/>
      <c r="AA58" s="1765"/>
      <c r="AB58" s="1765"/>
      <c r="AC58" s="1765"/>
    </row>
    <row r="59" spans="1:29" s="1059" customFormat="1" ht="15">
      <c r="A59" s="527"/>
      <c r="B59" s="594"/>
      <c r="C59" s="595">
        <v>100</v>
      </c>
      <c r="D59" s="596"/>
      <c r="E59" s="596"/>
      <c r="F59" s="596"/>
      <c r="G59" s="596"/>
      <c r="H59" s="596"/>
      <c r="I59" s="596"/>
      <c r="J59" s="596"/>
      <c r="K59" s="596"/>
      <c r="L59" s="596"/>
      <c r="M59" s="596"/>
      <c r="N59" s="596"/>
      <c r="O59" s="596"/>
      <c r="P59" s="1763"/>
      <c r="Q59" s="1640"/>
      <c r="R59" s="1640"/>
      <c r="S59" s="1640"/>
      <c r="T59" s="1640"/>
      <c r="U59" s="1640"/>
      <c r="V59" s="1640"/>
      <c r="W59" s="1640"/>
      <c r="X59" s="1640"/>
      <c r="Y59" s="1640"/>
      <c r="Z59" s="1640"/>
      <c r="AA59" s="1640"/>
      <c r="AB59" s="1640"/>
      <c r="AC59" s="1640"/>
    </row>
    <row r="60" spans="1:29" s="1059"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59"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59" customFormat="1" ht="15.75"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640"/>
    </row>
    <row r="63" spans="1:29">
      <c r="A63" s="607" t="s">
        <v>525</v>
      </c>
      <c r="B63" s="608" t="s">
        <v>483</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c r="D64" s="613"/>
      <c r="E64" s="1333"/>
      <c r="F64" s="1333"/>
      <c r="G64" s="1333"/>
      <c r="H64" s="1333"/>
      <c r="I64" s="1333"/>
      <c r="J64" s="1333"/>
      <c r="K64" s="1333"/>
      <c r="L64" s="1333"/>
      <c r="M64" s="133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c r="D68" s="491"/>
      <c r="E68" s="491"/>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3"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3"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3"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3" customFormat="1" ht="15.75" thickBot="1">
      <c r="A73" s="629"/>
      <c r="B73" s="620"/>
      <c r="C73" s="634"/>
      <c r="D73" s="634"/>
      <c r="E73" s="634"/>
      <c r="F73" s="634"/>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3"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3"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100</v>
      </c>
      <c r="E83" s="621">
        <f>D83-$K21</f>
        <v>100</v>
      </c>
      <c r="F83" s="621">
        <f>E83-$K21</f>
        <v>100</v>
      </c>
      <c r="G83" s="621">
        <f>F83-$K21</f>
        <v>100</v>
      </c>
      <c r="H83" s="855"/>
      <c r="I83" s="855"/>
      <c r="J83" s="855"/>
      <c r="K83" s="855"/>
      <c r="L83" s="855"/>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59" customFormat="1" ht="15.75" thickTop="1">
      <c r="A86" s="486"/>
      <c r="B86" s="1555" t="s">
        <v>1616</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59"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59" customFormat="1" ht="15.75" thickTop="1">
      <c r="A88" s="486"/>
      <c r="B88" s="615" t="s">
        <v>686</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640"/>
      <c r="S89" s="1640"/>
      <c r="T89" s="1640"/>
      <c r="U89" s="1640"/>
      <c r="V89" s="1640"/>
      <c r="W89" s="1640"/>
      <c r="X89" s="1640"/>
      <c r="Y89" s="1640"/>
      <c r="Z89" s="1640"/>
      <c r="AA89" s="1640"/>
      <c r="AB89" s="1640"/>
      <c r="AC89" s="1640"/>
    </row>
    <row r="90" spans="1:29" s="1133" customFormat="1" ht="15.75" thickTop="1">
      <c r="A90" s="629"/>
      <c r="B90" s="615" t="str">
        <f>B27</f>
        <v>道路级别</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3" customFormat="1" ht="15.75" thickBot="1">
      <c r="A91" s="629"/>
      <c r="B91" s="620"/>
      <c r="C91" s="634"/>
      <c r="D91" s="634"/>
      <c r="E91" s="634"/>
      <c r="F91" s="634"/>
      <c r="G91" s="634"/>
      <c r="H91" s="635"/>
      <c r="I91" s="635"/>
      <c r="J91" s="635"/>
      <c r="K91" s="635"/>
      <c r="L91" s="635"/>
      <c r="M91" s="636"/>
      <c r="N91" s="1769"/>
      <c r="O91" s="1769"/>
      <c r="P91" s="1769"/>
      <c r="Q91" s="1770"/>
      <c r="R91" s="1771"/>
      <c r="S91" s="1771"/>
      <c r="T91" s="1771"/>
      <c r="U91" s="1771"/>
      <c r="V91" s="1771"/>
      <c r="W91" s="1771"/>
      <c r="X91" s="1771"/>
      <c r="Y91" s="1771"/>
      <c r="Z91" s="1771"/>
      <c r="AA91" s="1771"/>
      <c r="AB91" s="1771"/>
      <c r="AC91" s="1771"/>
    </row>
    <row r="92" spans="1:29" ht="15.75" thickTop="1">
      <c r="A92" s="482"/>
      <c r="B92" s="615">
        <f>B28</f>
        <v>111</v>
      </c>
      <c r="C92" s="630"/>
      <c r="D92" s="630"/>
      <c r="E92" s="630"/>
      <c r="F92" s="630"/>
      <c r="G92" s="658"/>
      <c r="H92" s="658"/>
      <c r="I92" s="658"/>
      <c r="J92" s="658"/>
      <c r="K92" s="659"/>
      <c r="L92" s="660"/>
      <c r="M92" s="661"/>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34"/>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34"/>
      <c r="E95" s="634"/>
      <c r="F95" s="634"/>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42"/>
      <c r="D97" s="642"/>
      <c r="E97" s="642"/>
      <c r="F97" s="642"/>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62"/>
      <c r="D98" s="662"/>
      <c r="E98" s="662"/>
      <c r="F98" s="662"/>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66"/>
      <c r="D99" s="666"/>
      <c r="E99" s="666"/>
      <c r="F99" s="666"/>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687</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8"/>
      <c r="O101" s="1768"/>
      <c r="P101" s="1766"/>
      <c r="Q101" s="1763"/>
      <c r="R101" s="1742"/>
      <c r="S101" s="1742"/>
      <c r="T101" s="1742"/>
      <c r="U101" s="1742"/>
      <c r="V101" s="1742"/>
      <c r="W101" s="1742"/>
      <c r="X101" s="1742"/>
      <c r="Y101" s="1742"/>
      <c r="Z101" s="1742"/>
      <c r="AA101" s="1742"/>
      <c r="AB101" s="1742"/>
      <c r="AC101" s="1742"/>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49"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3" customFormat="1">
      <c r="A103" s="552"/>
      <c r="B103" s="668"/>
      <c r="C103" s="79"/>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0"/>
      <c r="C104" s="634"/>
      <c r="D104" s="613"/>
      <c r="E104" s="613"/>
      <c r="F104" s="613"/>
      <c r="G104" s="613"/>
      <c r="H104" s="613"/>
      <c r="I104" s="613"/>
      <c r="J104" s="613"/>
      <c r="K104" s="613"/>
      <c r="L104" s="613"/>
      <c r="M104" s="613"/>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1">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690</v>
      </c>
      <c r="C107" s="658"/>
      <c r="D107" s="658"/>
      <c r="E107" s="658"/>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691</v>
      </c>
      <c r="C109" s="630"/>
      <c r="D109" s="630"/>
      <c r="E109" s="630"/>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2">C110-$K36</f>
        <v>100</v>
      </c>
      <c r="E110" s="621">
        <f t="shared" si="22"/>
        <v>100</v>
      </c>
      <c r="F110" s="621">
        <f t="shared" si="22"/>
        <v>100</v>
      </c>
      <c r="G110" s="621">
        <f t="shared" si="22"/>
        <v>100</v>
      </c>
      <c r="H110" s="621">
        <f t="shared" si="22"/>
        <v>100</v>
      </c>
      <c r="I110" s="621">
        <f t="shared" si="22"/>
        <v>100</v>
      </c>
      <c r="J110" s="621">
        <f t="shared" si="22"/>
        <v>100</v>
      </c>
      <c r="K110" s="621">
        <f t="shared" si="22"/>
        <v>100</v>
      </c>
      <c r="L110" s="621">
        <f t="shared" si="22"/>
        <v>100</v>
      </c>
      <c r="M110" s="621">
        <f t="shared" si="22"/>
        <v>100</v>
      </c>
      <c r="N110" s="1768"/>
      <c r="O110" s="1768"/>
      <c r="P110" s="1766"/>
      <c r="Q110" s="1763"/>
      <c r="R110" s="1742"/>
      <c r="S110" s="1742"/>
      <c r="T110" s="1742"/>
      <c r="U110" s="1742"/>
      <c r="V110" s="1742"/>
      <c r="W110" s="1742"/>
      <c r="X110" s="1742"/>
      <c r="Y110" s="1742"/>
      <c r="Z110" s="1742"/>
      <c r="AA110" s="1742"/>
      <c r="AB110" s="1742"/>
      <c r="AC110" s="1742"/>
    </row>
    <row r="111" spans="1:29" s="1133"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9"/>
      <c r="O111" s="1769"/>
      <c r="P111" s="1769"/>
      <c r="Q111" s="1770"/>
      <c r="R111" s="1771"/>
      <c r="S111" s="1771"/>
      <c r="T111" s="1771"/>
      <c r="U111" s="1771"/>
      <c r="V111" s="1771"/>
      <c r="W111" s="1771"/>
      <c r="X111" s="1771"/>
      <c r="Y111" s="1771"/>
      <c r="Z111" s="1771"/>
      <c r="AA111" s="1771"/>
      <c r="AB111" s="1771"/>
      <c r="AC111" s="1771"/>
    </row>
    <row r="112" spans="1:29" s="1133" customFormat="1">
      <c r="A112" s="552"/>
      <c r="B112" s="623"/>
      <c r="C112" s="818">
        <v>0.5</v>
      </c>
      <c r="D112" s="818">
        <v>0.6</v>
      </c>
      <c r="E112" s="818">
        <v>0.7</v>
      </c>
      <c r="F112" s="818">
        <v>0.8</v>
      </c>
      <c r="G112" s="818">
        <v>0.9</v>
      </c>
      <c r="H112" s="818">
        <v>1.0001</v>
      </c>
      <c r="I112" s="818"/>
      <c r="J112" s="819"/>
      <c r="K112" s="819"/>
      <c r="L112" s="820"/>
      <c r="M112" s="821"/>
      <c r="N112" s="1769"/>
      <c r="O112" s="1769"/>
      <c r="P112" s="1769"/>
      <c r="Q112" s="1770"/>
      <c r="R112" s="1771"/>
      <c r="S112" s="1771"/>
      <c r="T112" s="1771"/>
      <c r="U112" s="1771"/>
      <c r="V112" s="1771"/>
      <c r="W112" s="1771"/>
      <c r="X112" s="1771"/>
      <c r="Y112" s="1771"/>
      <c r="Z112" s="1771"/>
      <c r="AA112" s="1771"/>
      <c r="AB112" s="1771"/>
      <c r="AC112" s="1771"/>
    </row>
    <row r="113" spans="1:29" s="1133" customFormat="1" ht="15.75" thickBot="1">
      <c r="A113" s="629"/>
      <c r="B113" s="620"/>
      <c r="C113" s="652">
        <v>100</v>
      </c>
      <c r="D113" s="621">
        <f>C113+$K37</f>
        <v>100</v>
      </c>
      <c r="E113" s="621">
        <f>D113+$K37</f>
        <v>100</v>
      </c>
      <c r="F113" s="621">
        <f>E113+$K37</f>
        <v>100</v>
      </c>
      <c r="G113" s="621">
        <f>F113+$K37</f>
        <v>100</v>
      </c>
      <c r="H113" s="621">
        <f>G113+$K37</f>
        <v>100</v>
      </c>
      <c r="I113" s="652"/>
      <c r="J113" s="656"/>
      <c r="K113" s="656"/>
      <c r="L113" s="656"/>
      <c r="M113" s="657"/>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693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3">C115-$K38</f>
        <v>100</v>
      </c>
      <c r="E115" s="621">
        <f t="shared" si="23"/>
        <v>100</v>
      </c>
      <c r="F115" s="621">
        <f t="shared" si="23"/>
        <v>100</v>
      </c>
      <c r="G115" s="621">
        <f t="shared" si="23"/>
        <v>100</v>
      </c>
      <c r="H115" s="621">
        <f t="shared" si="23"/>
        <v>100</v>
      </c>
      <c r="I115" s="621">
        <f t="shared" si="23"/>
        <v>100</v>
      </c>
      <c r="J115" s="621">
        <f t="shared" si="23"/>
        <v>100</v>
      </c>
      <c r="K115" s="621">
        <f t="shared" si="23"/>
        <v>100</v>
      </c>
      <c r="L115" s="621">
        <f t="shared" si="23"/>
        <v>100</v>
      </c>
      <c r="M115" s="621">
        <f t="shared" si="23"/>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1555" t="s">
        <v>1839</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694</v>
      </c>
      <c r="C118" s="658"/>
      <c r="D118" s="658"/>
      <c r="E118" s="658"/>
      <c r="F118" s="658"/>
      <c r="G118" s="658"/>
      <c r="H118" s="658"/>
      <c r="I118" s="658"/>
      <c r="J118" s="658"/>
      <c r="K118" s="659"/>
      <c r="L118" s="660"/>
      <c r="M118" s="661"/>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8"/>
      <c r="O119" s="1768"/>
      <c r="P119" s="1766"/>
      <c r="Q119" s="1763"/>
      <c r="R119" s="1742"/>
      <c r="S119" s="1742"/>
      <c r="T119" s="1742"/>
      <c r="U119" s="1742"/>
      <c r="V119" s="1742"/>
      <c r="W119" s="1742"/>
      <c r="X119" s="1742"/>
      <c r="Y119" s="1742"/>
      <c r="Z119" s="1742"/>
      <c r="AA119" s="1742"/>
      <c r="AB119" s="1742"/>
      <c r="AC119" s="1742"/>
    </row>
    <row r="120" spans="1:29" s="1133" customFormat="1" ht="28.5" thickTop="1">
      <c r="A120" s="552"/>
      <c r="B120" s="615" t="s">
        <v>680</v>
      </c>
      <c r="C120" s="630"/>
      <c r="D120" s="630"/>
      <c r="E120" s="630"/>
      <c r="F120" s="630"/>
      <c r="G120" s="630"/>
      <c r="H120" s="630"/>
      <c r="I120" s="630"/>
      <c r="J120" s="630"/>
      <c r="K120" s="630"/>
      <c r="L120" s="815"/>
      <c r="M120" s="816"/>
      <c r="N120" s="1769"/>
      <c r="O120" s="1769"/>
      <c r="P120" s="1769"/>
      <c r="Q120" s="1770"/>
      <c r="R120" s="1771"/>
      <c r="S120" s="1771"/>
      <c r="T120" s="1771"/>
      <c r="U120" s="1771"/>
      <c r="V120" s="1771"/>
      <c r="W120" s="1771"/>
      <c r="X120" s="1771"/>
      <c r="Y120" s="1771"/>
      <c r="Z120" s="1771"/>
      <c r="AA120" s="1771"/>
      <c r="AB120" s="1771"/>
      <c r="AC120" s="1771"/>
    </row>
    <row r="121" spans="1:29" s="1133" customFormat="1" ht="15.75" thickBot="1">
      <c r="A121" s="629"/>
      <c r="B121" s="612"/>
      <c r="C121" s="634"/>
      <c r="D121" s="613"/>
      <c r="E121" s="613"/>
      <c r="F121" s="613"/>
      <c r="G121" s="613"/>
      <c r="H121" s="613"/>
      <c r="I121" s="613"/>
      <c r="J121" s="613"/>
      <c r="K121" s="613"/>
      <c r="L121" s="613"/>
      <c r="M121" s="613"/>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5">C123-$K42</f>
        <v>100</v>
      </c>
      <c r="E123" s="621">
        <f t="shared" si="25"/>
        <v>100</v>
      </c>
      <c r="F123" s="621">
        <f t="shared" si="25"/>
        <v>100</v>
      </c>
      <c r="G123" s="621">
        <f t="shared" si="25"/>
        <v>100</v>
      </c>
      <c r="H123" s="621">
        <f t="shared" si="25"/>
        <v>100</v>
      </c>
      <c r="I123" s="621">
        <f t="shared" si="25"/>
        <v>100</v>
      </c>
      <c r="J123" s="621">
        <f t="shared" si="25"/>
        <v>100</v>
      </c>
      <c r="K123" s="621">
        <f t="shared" si="25"/>
        <v>100</v>
      </c>
      <c r="L123" s="621">
        <f t="shared" si="25"/>
        <v>100</v>
      </c>
      <c r="M123" s="621">
        <f t="shared" si="25"/>
        <v>100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3"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3"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ht="15" thickBot="1">
      <c r="A136" s="1779"/>
      <c r="B136" s="1574" t="s">
        <v>1617</v>
      </c>
      <c r="C136" s="1575"/>
      <c r="D136" s="1575"/>
      <c r="E136" s="1575"/>
      <c r="F136" s="1575"/>
      <c r="G136" s="1575"/>
      <c r="H136" s="1575"/>
      <c r="I136" s="1575"/>
      <c r="J136" s="1575"/>
      <c r="K136" s="1576"/>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577" t="s">
        <v>1618</v>
      </c>
      <c r="C137" s="1578"/>
      <c r="D137" s="1578"/>
      <c r="E137" s="1578"/>
      <c r="F137" s="1578"/>
      <c r="G137" s="1579"/>
      <c r="H137" s="1580"/>
      <c r="I137" s="1581" t="s">
        <v>1619</v>
      </c>
      <c r="J137" s="1578"/>
      <c r="K137" s="1582"/>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583"/>
      <c r="C138" s="1584" t="s">
        <v>1620</v>
      </c>
      <c r="D138" s="1584" t="s">
        <v>1621</v>
      </c>
      <c r="E138" s="1585" t="s">
        <v>1622</v>
      </c>
      <c r="F138" s="1586" t="s">
        <v>1623</v>
      </c>
      <c r="G138" s="1584" t="s">
        <v>1624</v>
      </c>
      <c r="H138" s="1587" t="s">
        <v>1625</v>
      </c>
      <c r="I138" s="1588"/>
      <c r="J138" s="1584" t="s">
        <v>1626</v>
      </c>
      <c r="K138" s="1587" t="s">
        <v>1627</v>
      </c>
      <c r="L138" s="1781"/>
      <c r="M138" s="1779"/>
      <c r="N138" s="1779"/>
      <c r="O138" s="1779"/>
      <c r="P138" s="1779"/>
      <c r="Q138" s="1779"/>
      <c r="R138" s="1779"/>
      <c r="S138" s="1779"/>
      <c r="T138" s="1779"/>
      <c r="U138" s="1779"/>
      <c r="V138" s="1779"/>
      <c r="W138" s="1779"/>
      <c r="X138" s="1779"/>
      <c r="Y138" s="1779"/>
      <c r="Z138" s="1779"/>
      <c r="AA138" s="1779"/>
      <c r="AB138" s="1779"/>
      <c r="AC138" s="1779"/>
    </row>
    <row r="139" spans="1:29" ht="15">
      <c r="A139" s="1779"/>
      <c r="B139" s="1556">
        <v>6</v>
      </c>
      <c r="C139" s="1557">
        <v>96</v>
      </c>
      <c r="D139" s="1589" t="s">
        <v>1628</v>
      </c>
      <c r="E139" s="1558">
        <v>100</v>
      </c>
      <c r="F139" s="1559">
        <v>102.5</v>
      </c>
      <c r="G139" s="1589" t="s">
        <v>1629</v>
      </c>
      <c r="H139" s="1560">
        <v>105</v>
      </c>
      <c r="I139" s="1590" t="s">
        <v>1630</v>
      </c>
      <c r="J139" s="1557">
        <v>20</v>
      </c>
      <c r="K139" s="1561">
        <f>C145/(J139-2)</f>
        <v>4.0555555555555553E-3</v>
      </c>
      <c r="L139" s="1781"/>
      <c r="M139" s="1779"/>
      <c r="N139" s="1779"/>
      <c r="O139" s="1779"/>
      <c r="P139" s="1779"/>
      <c r="Q139" s="1779"/>
      <c r="R139" s="1779"/>
      <c r="S139" s="1779"/>
      <c r="T139" s="1779"/>
      <c r="U139" s="1779"/>
      <c r="V139" s="1779"/>
      <c r="W139" s="1779"/>
      <c r="X139" s="1779"/>
      <c r="Y139" s="1779"/>
      <c r="Z139" s="1779"/>
      <c r="AA139" s="1779"/>
      <c r="AB139" s="1779"/>
      <c r="AC139" s="1779"/>
    </row>
    <row r="140" spans="1:29" ht="15">
      <c r="A140" s="1779"/>
      <c r="B140" s="1562">
        <v>5</v>
      </c>
      <c r="C140" s="1563">
        <v>100</v>
      </c>
      <c r="D140" s="1591"/>
      <c r="E140" s="1564"/>
      <c r="F140" s="1565">
        <v>102</v>
      </c>
      <c r="G140" s="1591"/>
      <c r="H140" s="1566"/>
      <c r="I140" s="1592" t="s">
        <v>1631</v>
      </c>
      <c r="J140" s="780">
        <f>ROUNDUP((J139-1)/2,0)</f>
        <v>10</v>
      </c>
      <c r="K140" s="1567">
        <v>100</v>
      </c>
      <c r="L140" s="1781"/>
      <c r="M140" s="1779"/>
      <c r="N140" s="1779"/>
      <c r="O140" s="1779"/>
      <c r="P140" s="1779"/>
      <c r="Q140" s="1779"/>
      <c r="R140" s="1779"/>
      <c r="S140" s="1779"/>
      <c r="T140" s="1779"/>
      <c r="U140" s="1779"/>
      <c r="V140" s="1779"/>
      <c r="W140" s="1779"/>
      <c r="X140" s="1779"/>
      <c r="Y140" s="1779"/>
      <c r="Z140" s="1779"/>
      <c r="AA140" s="1779"/>
      <c r="AB140" s="1779"/>
      <c r="AC140" s="1779"/>
    </row>
    <row r="141" spans="1:29" ht="15">
      <c r="A141" s="1779"/>
      <c r="B141" s="1562">
        <v>4</v>
      </c>
      <c r="C141" s="1563">
        <v>102</v>
      </c>
      <c r="D141" s="1591"/>
      <c r="E141" s="1564"/>
      <c r="F141" s="1565">
        <v>101.5</v>
      </c>
      <c r="G141" s="1591"/>
      <c r="H141" s="1566"/>
      <c r="I141" s="1592" t="s">
        <v>1632</v>
      </c>
      <c r="J141" s="780">
        <v>1</v>
      </c>
      <c r="K141" s="1568">
        <f>ROUND(100+(J141-J140)*K139*100,1)</f>
        <v>96.4</v>
      </c>
      <c r="L141" s="1781"/>
      <c r="M141" s="1779"/>
      <c r="N141" s="1779"/>
      <c r="O141" s="1779"/>
      <c r="P141" s="1779"/>
      <c r="Q141" s="1779"/>
      <c r="R141" s="1779"/>
      <c r="S141" s="1779"/>
      <c r="T141" s="1779"/>
      <c r="U141" s="1779"/>
      <c r="V141" s="1779"/>
      <c r="W141" s="1779"/>
      <c r="X141" s="1779"/>
      <c r="Y141" s="1779"/>
      <c r="Z141" s="1779"/>
      <c r="AA141" s="1779"/>
      <c r="AB141" s="1779"/>
      <c r="AC141" s="1779"/>
    </row>
    <row r="142" spans="1:29" ht="15">
      <c r="A142" s="1779"/>
      <c r="B142" s="1562">
        <v>3</v>
      </c>
      <c r="C142" s="1563">
        <v>103</v>
      </c>
      <c r="D142" s="1591"/>
      <c r="E142" s="1564"/>
      <c r="F142" s="1565">
        <v>101</v>
      </c>
      <c r="G142" s="1591"/>
      <c r="H142" s="1566"/>
      <c r="I142" s="1592" t="s">
        <v>1633</v>
      </c>
      <c r="J142" s="780">
        <f>J139</f>
        <v>20</v>
      </c>
      <c r="K142" s="1569">
        <v>95</v>
      </c>
      <c r="L142" s="1781"/>
      <c r="M142" s="1779"/>
      <c r="N142" s="1779"/>
      <c r="O142" s="1779"/>
      <c r="P142" s="1779"/>
      <c r="Q142" s="1779"/>
      <c r="R142" s="1779"/>
      <c r="S142" s="1779"/>
      <c r="T142" s="1779"/>
      <c r="U142" s="1779"/>
      <c r="V142" s="1779"/>
      <c r="W142" s="1779"/>
      <c r="X142" s="1779"/>
      <c r="Y142" s="1779"/>
      <c r="Z142" s="1779"/>
      <c r="AA142" s="1779"/>
      <c r="AB142" s="1779"/>
      <c r="AC142" s="1779"/>
    </row>
    <row r="143" spans="1:29" ht="15">
      <c r="A143" s="1779"/>
      <c r="B143" s="1562">
        <v>2</v>
      </c>
      <c r="C143" s="1563">
        <v>100</v>
      </c>
      <c r="D143" s="1591"/>
      <c r="E143" s="1564"/>
      <c r="F143" s="1565">
        <v>100.5</v>
      </c>
      <c r="G143" s="1591"/>
      <c r="H143" s="1566"/>
      <c r="I143" s="1592" t="s">
        <v>1634</v>
      </c>
      <c r="J143" s="1563">
        <v>15</v>
      </c>
      <c r="K143" s="1568">
        <f>ROUND(100+(J143-J140)*K139*100,1)</f>
        <v>102</v>
      </c>
      <c r="L143" s="1781"/>
      <c r="M143" s="1779"/>
      <c r="N143" s="1779"/>
      <c r="O143" s="1779"/>
      <c r="P143" s="1779"/>
      <c r="Q143" s="1779"/>
      <c r="R143" s="1779"/>
      <c r="S143" s="1779"/>
      <c r="T143" s="1779"/>
      <c r="U143" s="1779"/>
      <c r="V143" s="1779"/>
      <c r="W143" s="1779"/>
      <c r="X143" s="1779"/>
      <c r="Y143" s="1779"/>
      <c r="Z143" s="1779"/>
      <c r="AA143" s="1779"/>
      <c r="AB143" s="1779"/>
      <c r="AC143" s="1779"/>
    </row>
    <row r="144" spans="1:29" ht="15">
      <c r="A144" s="1779"/>
      <c r="B144" s="1562">
        <v>1</v>
      </c>
      <c r="C144" s="1563">
        <v>98</v>
      </c>
      <c r="D144" s="1593" t="s">
        <v>1635</v>
      </c>
      <c r="E144" s="1564">
        <v>102</v>
      </c>
      <c r="F144" s="1570">
        <v>100</v>
      </c>
      <c r="G144" s="1593" t="s">
        <v>1635</v>
      </c>
      <c r="H144" s="1566">
        <v>105</v>
      </c>
      <c r="I144" s="1592" t="s">
        <v>1634</v>
      </c>
      <c r="J144" s="1563">
        <v>18</v>
      </c>
      <c r="K144" s="1568">
        <f>ROUND(100+(J144-J140)*K139*100,1)</f>
        <v>103.2</v>
      </c>
      <c r="L144" s="1781"/>
      <c r="M144" s="1779"/>
      <c r="N144" s="1779"/>
      <c r="O144" s="1779"/>
      <c r="P144" s="1779"/>
      <c r="Q144" s="1779"/>
      <c r="R144" s="1779"/>
      <c r="S144" s="1779"/>
      <c r="T144" s="1779"/>
      <c r="U144" s="1779"/>
      <c r="V144" s="1779"/>
      <c r="W144" s="1779"/>
      <c r="X144" s="1779"/>
      <c r="Y144" s="1779"/>
      <c r="Z144" s="1779"/>
      <c r="AA144" s="1779"/>
      <c r="AB144" s="1779"/>
      <c r="AC144" s="1779"/>
    </row>
    <row r="145" spans="1:29" ht="15.75" thickBot="1">
      <c r="A145" s="1779"/>
      <c r="B145" s="1594" t="s">
        <v>1636</v>
      </c>
      <c r="C145" s="1571">
        <f>ROUND(MAX(C139:C144)/MIN(C139:C144)-1,3)</f>
        <v>7.2999999999999995E-2</v>
      </c>
      <c r="D145" s="1595"/>
      <c r="E145" s="1595"/>
      <c r="F145" s="1596" t="s">
        <v>1637</v>
      </c>
      <c r="G145" s="1597"/>
      <c r="H145" s="1598"/>
      <c r="I145" s="1599" t="s">
        <v>1634</v>
      </c>
      <c r="J145" s="1572">
        <v>8</v>
      </c>
      <c r="K145" s="1573">
        <f>ROUND(100+(J145-J140)*K139*100,1)</f>
        <v>99.2</v>
      </c>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618" t="s">
        <v>1645</v>
      </c>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618" t="s">
        <v>1646</v>
      </c>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xr:uid="{00000000-0002-0000-2300-000000000000}">
      <formula1>环境</formula1>
    </dataValidation>
    <dataValidation type="list" allowBlank="1" showInputMessage="1" showErrorMessage="1" sqref="E16 G16 I16 C16" xr:uid="{00000000-0002-0000-2300-000001000000}">
      <formula1>居住社区成熟度</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25 G25 I25 C25" xr:uid="{00000000-0002-0000-2300-000004000000}">
      <formula1>住宅楼层</formula1>
    </dataValidation>
    <dataValidation type="list" allowBlank="1" showInputMessage="1" showErrorMessage="1" sqref="E26 G26 I26 C26" xr:uid="{00000000-0002-0000-2300-000005000000}">
      <formula1>住宅朝向</formula1>
    </dataValidation>
    <dataValidation type="list" allowBlank="1" showInputMessage="1" showErrorMessage="1" sqref="E32 G32 I32 C32" xr:uid="{00000000-0002-0000-2300-000006000000}">
      <formula1>住宅建筑类型</formula1>
    </dataValidation>
    <dataValidation type="list" allowBlank="1" showInputMessage="1" showErrorMessage="1" sqref="E34 G34 I34 C34" xr:uid="{00000000-0002-0000-2300-000007000000}">
      <formula1>住宅建筑结构</formula1>
    </dataValidation>
    <dataValidation type="list" allowBlank="1" showInputMessage="1" showErrorMessage="1" sqref="E35 G35 I35 C35" xr:uid="{00000000-0002-0000-2300-000008000000}">
      <formula1>住宅建筑品质</formula1>
    </dataValidation>
    <dataValidation type="list" allowBlank="1" showInputMessage="1" showErrorMessage="1" sqref="E36 G36 I36 C36" xr:uid="{00000000-0002-0000-2300-000009000000}">
      <formula1>住宅公共部分装修</formula1>
    </dataValidation>
    <dataValidation type="list" allowBlank="1" showInputMessage="1" showErrorMessage="1" sqref="E38 G38 I38 C38" xr:uid="{00000000-0002-0000-2300-00000A000000}">
      <formula1>住宅物业管理</formula1>
    </dataValidation>
    <dataValidation type="list" allowBlank="1" showInputMessage="1" showErrorMessage="1" sqref="E39 G39 I39 C39" xr:uid="{00000000-0002-0000-2300-00000B000000}">
      <formula1>住宅基础设施水平</formula1>
    </dataValidation>
    <dataValidation type="list" allowBlank="1" showInputMessage="1" showErrorMessage="1" sqref="E40 G40 I40 C40" xr:uid="{00000000-0002-0000-2300-00000C000000}">
      <formula1>住宅房型</formula1>
    </dataValidation>
    <dataValidation type="list" allowBlank="1" showInputMessage="1" showErrorMessage="1" sqref="E42 G42 I42 C42" xr:uid="{00000000-0002-0000-2300-00000D000000}">
      <formula1>住宅内部装修</formula1>
    </dataValidation>
    <dataValidation type="list" allowBlank="1" showInputMessage="1" showErrorMessage="1" sqref="E43 G43 I43 C43" xr:uid="{00000000-0002-0000-2300-00000E000000}">
      <formula1>内部装修维护情况</formula1>
    </dataValidation>
    <dataValidation type="list" allowBlank="1" showInputMessage="1" showErrorMessage="1" sqref="E8 G8 I8 C8" xr:uid="{00000000-0002-0000-2300-00000F000000}">
      <formula1>住宅交易情况</formula1>
    </dataValidation>
    <dataValidation type="list" allowBlank="1" showInputMessage="1" showErrorMessage="1" sqref="D1" xr:uid="{00000000-0002-0000-2300-000010000000}">
      <formula1>项目类型</formula1>
    </dataValidation>
    <dataValidation type="list" allowBlank="1" showInputMessage="1" showErrorMessage="1" sqref="E9 G9 I9" xr:uid="{00000000-0002-0000-2300-000011000000}">
      <formula1>住宅用途</formula1>
    </dataValidation>
    <dataValidation type="list" allowBlank="1" showInputMessage="1" showErrorMessage="1" sqref="C22 E22 G22 I22" xr:uid="{00000000-0002-0000-2300-000012000000}">
      <formula1>基础设施水平</formula1>
    </dataValidation>
    <dataValidation type="list" allowBlank="1" showInputMessage="1" showErrorMessage="1" sqref="F1" xr:uid="{00000000-0002-0000-2300-000013000000}">
      <formula1>"售价,租金"</formula1>
    </dataValidation>
    <dataValidation type="list" allowBlank="1" showInputMessage="1" showErrorMessage="1" sqref="D48" xr:uid="{00000000-0002-0000-23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794"/>
  <sheetViews>
    <sheetView view="pageBreakPreview" topLeftCell="A25" zoomScale="85" zoomScaleNormal="60" zoomScaleSheetLayoutView="85" workbookViewId="0">
      <selection activeCell="R49" sqref="R49:W49"/>
    </sheetView>
  </sheetViews>
  <sheetFormatPr defaultColWidth="9" defaultRowHeight="14.25"/>
  <cols>
    <col min="1" max="1" width="10.5" style="1131" customWidth="1"/>
    <col min="2" max="2" width="15.75" style="1131" customWidth="1"/>
    <col min="3" max="3" width="1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697</v>
      </c>
      <c r="C1" s="455" t="s">
        <v>667</v>
      </c>
      <c r="D1" s="1933" t="s">
        <v>2736</v>
      </c>
      <c r="E1" s="457"/>
      <c r="F1" s="2118" t="s">
        <v>3375</v>
      </c>
      <c r="G1" s="1328" t="s">
        <v>668</v>
      </c>
      <c r="H1" s="457"/>
      <c r="I1" s="457"/>
      <c r="J1" s="457"/>
      <c r="K1" s="458"/>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427</v>
      </c>
      <c r="B2" s="784">
        <f>ROUND(B3*D3/10000,0)</f>
        <v>215692</v>
      </c>
      <c r="C2" s="1735"/>
      <c r="D2" s="1735"/>
      <c r="E2" s="1674"/>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468</v>
      </c>
      <c r="B3" s="461">
        <f>C49</f>
        <v>7125</v>
      </c>
      <c r="C3" s="786" t="s">
        <v>669</v>
      </c>
      <c r="D3" s="785">
        <f>SUMIF('数据-汇总表'!$C19:$C33,D1,'数据-汇总表'!$E19:$E33)</f>
        <v>302725.5</v>
      </c>
      <c r="E3" s="1674"/>
      <c r="F3" s="1737"/>
      <c r="G3" s="1736"/>
      <c r="H3" s="1736"/>
      <c r="I3" s="1736"/>
      <c r="J3" s="1736"/>
      <c r="K3" s="1738"/>
      <c r="L3" s="1739"/>
      <c r="M3" s="1740"/>
      <c r="N3" s="1740"/>
      <c r="O3" s="1740"/>
      <c r="P3" s="1740"/>
      <c r="Q3" s="1740"/>
      <c r="R3" s="1740"/>
      <c r="S3" s="1740"/>
      <c r="T3" s="1740"/>
      <c r="U3" s="1740"/>
      <c r="V3" s="1740"/>
      <c r="W3" s="1740"/>
      <c r="X3" s="1740"/>
      <c r="Y3" s="1740"/>
      <c r="Z3" s="1740"/>
      <c r="AA3" s="1740"/>
      <c r="AB3" s="1740"/>
      <c r="AC3" s="1674"/>
    </row>
    <row r="4" spans="1:29" ht="15">
      <c r="A4" s="463" t="s">
        <v>470</v>
      </c>
      <c r="B4" s="464"/>
      <c r="C4" s="3602" t="s">
        <v>471</v>
      </c>
      <c r="D4" s="3603"/>
      <c r="E4" s="3628" t="s">
        <v>472</v>
      </c>
      <c r="F4" s="3629"/>
      <c r="G4" s="3602" t="s">
        <v>473</v>
      </c>
      <c r="H4" s="3603"/>
      <c r="I4" s="3602" t="s">
        <v>474</v>
      </c>
      <c r="J4" s="3603"/>
      <c r="K4" s="465" t="s">
        <v>475</v>
      </c>
      <c r="L4" s="1741"/>
      <c r="M4" s="1742"/>
      <c r="N4" s="1742"/>
      <c r="O4" s="1742"/>
      <c r="P4" s="3604" t="s">
        <v>476</v>
      </c>
      <c r="Q4" s="3605"/>
      <c r="R4" s="3588" t="s">
        <v>472</v>
      </c>
      <c r="S4" s="3589"/>
      <c r="T4" s="3588" t="s">
        <v>473</v>
      </c>
      <c r="U4" s="3589"/>
      <c r="V4" s="3610" t="s">
        <v>474</v>
      </c>
      <c r="W4" s="3610"/>
      <c r="X4" s="1302"/>
      <c r="Y4" s="3588" t="s">
        <v>476</v>
      </c>
      <c r="Z4" s="3589"/>
      <c r="AA4" s="3583" t="s">
        <v>472</v>
      </c>
      <c r="AB4" s="3610" t="s">
        <v>473</v>
      </c>
      <c r="AC4" s="3583" t="s">
        <v>474</v>
      </c>
    </row>
    <row r="5" spans="1:29" ht="15">
      <c r="A5" s="466"/>
      <c r="B5" s="467"/>
      <c r="C5" s="3613" t="s">
        <v>2187</v>
      </c>
      <c r="D5" s="3614"/>
      <c r="E5" s="3711" t="s">
        <v>3444</v>
      </c>
      <c r="F5" s="3631"/>
      <c r="G5" s="3712" t="s">
        <v>3445</v>
      </c>
      <c r="H5" s="3614"/>
      <c r="I5" s="3712" t="s">
        <v>3446</v>
      </c>
      <c r="J5" s="3614"/>
      <c r="K5" s="465"/>
      <c r="L5" s="1741"/>
      <c r="M5" s="1742"/>
      <c r="N5" s="1742"/>
      <c r="O5" s="1742"/>
      <c r="P5" s="3606"/>
      <c r="Q5" s="3607"/>
      <c r="R5" s="3590"/>
      <c r="S5" s="3591"/>
      <c r="T5" s="3590"/>
      <c r="U5" s="3591"/>
      <c r="V5" s="3610"/>
      <c r="W5" s="3610"/>
      <c r="X5" s="1302"/>
      <c r="Y5" s="3590"/>
      <c r="Z5" s="3591"/>
      <c r="AA5" s="3584"/>
      <c r="AB5" s="3610"/>
      <c r="AC5" s="3584"/>
    </row>
    <row r="6" spans="1:29" ht="15.75" thickBot="1">
      <c r="A6" s="468"/>
      <c r="B6" s="469"/>
      <c r="C6" s="3611" t="s">
        <v>2191</v>
      </c>
      <c r="D6" s="3612"/>
      <c r="E6" s="3632" t="s">
        <v>2191</v>
      </c>
      <c r="F6" s="3633"/>
      <c r="G6" s="3611" t="s">
        <v>2191</v>
      </c>
      <c r="H6" s="3612"/>
      <c r="I6" s="3611" t="s">
        <v>2191</v>
      </c>
      <c r="J6" s="3612"/>
      <c r="K6" s="465" t="s">
        <v>477</v>
      </c>
      <c r="L6" s="1741"/>
      <c r="M6" s="1742"/>
      <c r="N6" s="1742"/>
      <c r="O6" s="1742"/>
      <c r="P6" s="3608"/>
      <c r="Q6" s="3609"/>
      <c r="R6" s="3590"/>
      <c r="S6" s="3591"/>
      <c r="T6" s="3592"/>
      <c r="U6" s="3593"/>
      <c r="V6" s="3610"/>
      <c r="W6" s="3610"/>
      <c r="X6" s="1302"/>
      <c r="Y6" s="3592"/>
      <c r="Z6" s="3593"/>
      <c r="AA6" s="3585"/>
      <c r="AB6" s="3610"/>
      <c r="AC6" s="3585"/>
    </row>
    <row r="7" spans="1:29" s="1059" customFormat="1" ht="15.75" thickBot="1">
      <c r="A7" s="2209"/>
      <c r="B7" s="2216" t="s">
        <v>478</v>
      </c>
      <c r="C7" s="470">
        <f>'数据-取费表'!B2</f>
        <v>45057</v>
      </c>
      <c r="D7" s="471">
        <v>100</v>
      </c>
      <c r="E7" s="472">
        <v>45017</v>
      </c>
      <c r="F7" s="473">
        <f>SUMIF(58:58,YEAR(E7)&amp;"-"&amp;MONTH(E7),59:59)</f>
        <v>100</v>
      </c>
      <c r="G7" s="472">
        <v>45017</v>
      </c>
      <c r="H7" s="471">
        <f>SUMIF(58:58,YEAR(G7)&amp;"-"&amp;MONTH(G7),59:59)</f>
        <v>100</v>
      </c>
      <c r="I7" s="472">
        <v>45017</v>
      </c>
      <c r="J7" s="471">
        <f>SUMIF(58:58,YEAR(I7)&amp;"-"&amp;MONTH(I7),59:59)</f>
        <v>100</v>
      </c>
      <c r="K7" s="88"/>
      <c r="L7" s="1743"/>
      <c r="M7" s="1640"/>
      <c r="N7" s="1640"/>
      <c r="O7" s="1640"/>
      <c r="P7" s="3586" t="s">
        <v>479</v>
      </c>
      <c r="Q7" s="3595"/>
      <c r="R7" s="1303" t="s">
        <v>5</v>
      </c>
      <c r="S7" s="1304">
        <f t="shared" ref="S7:S15" si="0">F7</f>
        <v>100</v>
      </c>
      <c r="T7" s="1303" t="s">
        <v>5</v>
      </c>
      <c r="U7" s="1304">
        <f t="shared" ref="U7:U15" si="1">H7</f>
        <v>100</v>
      </c>
      <c r="V7" s="1303" t="s">
        <v>5</v>
      </c>
      <c r="W7" s="1304">
        <f t="shared" ref="W7:W15" si="2">J7</f>
        <v>100</v>
      </c>
      <c r="X7" s="1305"/>
      <c r="Y7" s="3586" t="s">
        <v>479</v>
      </c>
      <c r="Z7" s="3587"/>
      <c r="AA7" s="996">
        <f>D7/F7</f>
        <v>1</v>
      </c>
      <c r="AB7" s="996">
        <f>D7/H7</f>
        <v>1</v>
      </c>
      <c r="AC7" s="996">
        <f>D7/J7</f>
        <v>1</v>
      </c>
    </row>
    <row r="8" spans="1:29" s="1059" customFormat="1" ht="15.75" thickBot="1">
      <c r="A8" s="2210"/>
      <c r="B8" s="2217" t="s">
        <v>480</v>
      </c>
      <c r="C8" s="475" t="s">
        <v>524</v>
      </c>
      <c r="D8" s="471">
        <v>100</v>
      </c>
      <c r="E8" s="475" t="s">
        <v>3358</v>
      </c>
      <c r="F8" s="473">
        <f>SUMIF(61:61,E8,62:62)-SUMIF(61:61,C8,62:62)+100</f>
        <v>100</v>
      </c>
      <c r="G8" s="475" t="s">
        <v>3358</v>
      </c>
      <c r="H8" s="471">
        <f>SUMIF(61:61,G8,62:62)-SUMIF(61:61,C8,62:62)+100</f>
        <v>100</v>
      </c>
      <c r="I8" s="475" t="s">
        <v>3358</v>
      </c>
      <c r="J8" s="471">
        <f>SUMIF(61:61,I8,62:62)-SUMIF(61:61,C8,62:62)+100</f>
        <v>100</v>
      </c>
      <c r="K8" s="88"/>
      <c r="L8" s="1743"/>
      <c r="M8" s="1640"/>
      <c r="N8" s="1640"/>
      <c r="O8" s="1640"/>
      <c r="P8" s="3586" t="s">
        <v>482</v>
      </c>
      <c r="Q8" s="3587"/>
      <c r="R8" s="1303" t="s">
        <v>5</v>
      </c>
      <c r="S8" s="1304">
        <f t="shared" si="0"/>
        <v>100</v>
      </c>
      <c r="T8" s="1303" t="s">
        <v>5</v>
      </c>
      <c r="U8" s="1304">
        <f t="shared" si="1"/>
        <v>100</v>
      </c>
      <c r="V8" s="1303" t="s">
        <v>5</v>
      </c>
      <c r="W8" s="1304">
        <f t="shared" si="2"/>
        <v>100</v>
      </c>
      <c r="X8" s="1305"/>
      <c r="Y8" s="3586" t="s">
        <v>482</v>
      </c>
      <c r="Z8" s="3587"/>
      <c r="AA8" s="996">
        <f t="shared" ref="AA8:AA46" si="3">D8/F8</f>
        <v>1</v>
      </c>
      <c r="AB8" s="996">
        <f t="shared" ref="AB8:AB46" si="4">D8/H8</f>
        <v>1</v>
      </c>
      <c r="AC8" s="996">
        <f t="shared" ref="AC8:AC46" si="5">D8/J8</f>
        <v>1</v>
      </c>
    </row>
    <row r="9" spans="1:29" s="1059" customFormat="1" ht="15">
      <c r="A9" s="2211"/>
      <c r="B9" s="2218" t="s">
        <v>2038</v>
      </c>
      <c r="C9" s="3405" t="s">
        <v>3357</v>
      </c>
      <c r="D9" s="154">
        <v>100</v>
      </c>
      <c r="E9" s="793" t="s">
        <v>3356</v>
      </c>
      <c r="F9" s="154">
        <f>SUMIF(63:63,E9,64:64)-SUMIF(63:63,C9,64:64)+100</f>
        <v>100</v>
      </c>
      <c r="G9" s="793" t="s">
        <v>3356</v>
      </c>
      <c r="H9" s="154">
        <f>SUMIF(63:63,G9,64:64)-SUMIF(63:63,C9,64:64)+100</f>
        <v>100</v>
      </c>
      <c r="I9" s="793" t="s">
        <v>3356</v>
      </c>
      <c r="J9" s="154">
        <f>SUMIF(63:63,I9,64:64)-SUMIF(63:63,C9,64:64)+100</f>
        <v>100</v>
      </c>
      <c r="K9" s="88"/>
      <c r="L9" s="1743"/>
      <c r="M9" s="1640"/>
      <c r="N9" s="1640"/>
      <c r="O9" s="1744"/>
      <c r="P9" s="3594" t="s">
        <v>484</v>
      </c>
      <c r="Q9" s="818" t="str">
        <f t="shared" ref="Q9:Q15" si="6">B9</f>
        <v>用途</v>
      </c>
      <c r="R9" s="1303" t="s">
        <v>5</v>
      </c>
      <c r="S9" s="1304">
        <f t="shared" si="0"/>
        <v>100</v>
      </c>
      <c r="T9" s="1303" t="s">
        <v>5</v>
      </c>
      <c r="U9" s="1304">
        <f t="shared" si="1"/>
        <v>100</v>
      </c>
      <c r="V9" s="1303" t="s">
        <v>5</v>
      </c>
      <c r="W9" s="1304">
        <f t="shared" si="2"/>
        <v>100</v>
      </c>
      <c r="X9" s="1305"/>
      <c r="Y9" s="3546" t="s">
        <v>485</v>
      </c>
      <c r="Z9" s="996" t="str">
        <f t="shared" ref="Z9:Z15" si="7">Q9</f>
        <v>用途</v>
      </c>
      <c r="AA9" s="996">
        <f t="shared" si="3"/>
        <v>1</v>
      </c>
      <c r="AB9" s="996">
        <f t="shared" si="4"/>
        <v>1</v>
      </c>
      <c r="AC9" s="996">
        <f t="shared" si="5"/>
        <v>1</v>
      </c>
    </row>
    <row r="10" spans="1:29" s="1132" customFormat="1" ht="27">
      <c r="A10" s="2212"/>
      <c r="B10" s="2217" t="s">
        <v>2039</v>
      </c>
      <c r="C10" s="3387"/>
      <c r="D10" s="235">
        <v>100</v>
      </c>
      <c r="E10" s="3387"/>
      <c r="F10" s="235">
        <f>SUMIF(65:65,E10,66:66)-SUMIF(65:65,C10,66:66)+100</f>
        <v>100</v>
      </c>
      <c r="G10" s="3387"/>
      <c r="H10" s="235">
        <f>SUMIF(65:65,G10,66:66)-SUMIF(65:65,C10,66:66)+100</f>
        <v>100</v>
      </c>
      <c r="I10" s="3387"/>
      <c r="J10" s="235">
        <f>SUMIF(65:65,I10,66:66)-SUMIF(65:65,C10,66:66)+100</f>
        <v>100</v>
      </c>
      <c r="K10" s="88"/>
      <c r="L10" s="1745"/>
      <c r="M10" s="1778"/>
      <c r="N10" s="1778"/>
      <c r="O10" s="1746"/>
      <c r="P10" s="3594"/>
      <c r="Q10" s="818" t="str">
        <f t="shared" si="6"/>
        <v>土地使用年限（年）</v>
      </c>
      <c r="R10" s="1303" t="s">
        <v>5</v>
      </c>
      <c r="S10" s="1304">
        <f t="shared" si="0"/>
        <v>100</v>
      </c>
      <c r="T10" s="1303" t="s">
        <v>5</v>
      </c>
      <c r="U10" s="1304">
        <f t="shared" si="1"/>
        <v>100</v>
      </c>
      <c r="V10" s="1303" t="s">
        <v>5</v>
      </c>
      <c r="W10" s="1304">
        <f t="shared" si="2"/>
        <v>100</v>
      </c>
      <c r="X10" s="1305"/>
      <c r="Y10" s="3546"/>
      <c r="Z10" s="996" t="str">
        <f t="shared" si="7"/>
        <v>土地使用年限（年）</v>
      </c>
      <c r="AA10" s="996">
        <f t="shared" si="3"/>
        <v>1</v>
      </c>
      <c r="AB10" s="996">
        <f t="shared" si="4"/>
        <v>1</v>
      </c>
      <c r="AC10" s="996">
        <f t="shared" si="5"/>
        <v>1</v>
      </c>
    </row>
    <row r="11" spans="1:29" ht="15">
      <c r="A11" s="2213"/>
      <c r="B11" s="2217" t="s">
        <v>2040</v>
      </c>
      <c r="C11" s="483">
        <v>3</v>
      </c>
      <c r="D11" s="235">
        <v>100</v>
      </c>
      <c r="E11" s="483">
        <v>3</v>
      </c>
      <c r="F11" s="235">
        <f>LOOKUP(E11,68:68,69:69)-LOOKUP(C11,68:68,69:69)+100</f>
        <v>100</v>
      </c>
      <c r="G11" s="484">
        <v>3</v>
      </c>
      <c r="H11" s="235">
        <f>LOOKUP(G11,68:68,69:69)-LOOKUP(C11,68:68,69:69)+100</f>
        <v>100</v>
      </c>
      <c r="I11" s="483">
        <v>3</v>
      </c>
      <c r="J11" s="235">
        <f>LOOKUP(I11,68:68,69:69)-LOOKUP(C11,68:68,69:69)+100</f>
        <v>100</v>
      </c>
      <c r="K11" s="533"/>
      <c r="L11" s="1747"/>
      <c r="M11" s="1742"/>
      <c r="N11" s="1742"/>
      <c r="O11" s="1748"/>
      <c r="P11" s="3594"/>
      <c r="Q11" s="818" t="str">
        <f t="shared" si="6"/>
        <v>容积率</v>
      </c>
      <c r="R11" s="1303" t="s">
        <v>5</v>
      </c>
      <c r="S11" s="1304">
        <f t="shared" si="0"/>
        <v>100</v>
      </c>
      <c r="T11" s="1303" t="s">
        <v>5</v>
      </c>
      <c r="U11" s="1304">
        <f t="shared" si="1"/>
        <v>100</v>
      </c>
      <c r="V11" s="1303" t="s">
        <v>5</v>
      </c>
      <c r="W11" s="1304">
        <f t="shared" si="2"/>
        <v>100</v>
      </c>
      <c r="X11" s="1305"/>
      <c r="Y11" s="3546"/>
      <c r="Z11" s="996" t="str">
        <f t="shared" si="7"/>
        <v>容积率</v>
      </c>
      <c r="AA11" s="996">
        <f t="shared" si="3"/>
        <v>1</v>
      </c>
      <c r="AB11" s="996">
        <f t="shared" si="4"/>
        <v>1</v>
      </c>
      <c r="AC11" s="996">
        <f t="shared" si="5"/>
        <v>1</v>
      </c>
    </row>
    <row r="12" spans="1:29" s="1059" customFormat="1" ht="15">
      <c r="A12" s="2214"/>
      <c r="B12" s="2220"/>
      <c r="C12" s="478"/>
      <c r="D12" s="488">
        <v>100</v>
      </c>
      <c r="E12" s="489"/>
      <c r="F12" s="235">
        <f>SUMIF(70:70,E12,71:71)-SUMIF(70:70,C12,71:71)+100</f>
        <v>100</v>
      </c>
      <c r="G12" s="834"/>
      <c r="H12" s="235">
        <f>SUMIF(70:70,G12,71:71)-SUMIF(70:70,C12,71:71)+100</f>
        <v>100</v>
      </c>
      <c r="I12" s="489"/>
      <c r="J12" s="235">
        <f>SUMIF(70:70,I12,71:71)-SUMIF(70:70,C12,71:71)+100</f>
        <v>100</v>
      </c>
      <c r="K12" s="531"/>
      <c r="L12" s="1743"/>
      <c r="M12" s="1640"/>
      <c r="N12" s="1640"/>
      <c r="O12" s="1744"/>
      <c r="P12" s="3594"/>
      <c r="Q12" s="818">
        <f t="shared" si="6"/>
        <v>0</v>
      </c>
      <c r="R12" s="1303" t="s">
        <v>5</v>
      </c>
      <c r="S12" s="1304">
        <f t="shared" si="0"/>
        <v>100</v>
      </c>
      <c r="T12" s="1303" t="s">
        <v>5</v>
      </c>
      <c r="U12" s="1304">
        <f t="shared" si="1"/>
        <v>100</v>
      </c>
      <c r="V12" s="1303" t="s">
        <v>5</v>
      </c>
      <c r="W12" s="1304">
        <f t="shared" si="2"/>
        <v>100</v>
      </c>
      <c r="X12" s="1305"/>
      <c r="Y12" s="3546"/>
      <c r="Z12" s="996">
        <f t="shared" si="7"/>
        <v>0</v>
      </c>
      <c r="AA12" s="996">
        <f>D12/F12</f>
        <v>1</v>
      </c>
      <c r="AB12" s="996">
        <f>D12/H12</f>
        <v>1</v>
      </c>
      <c r="AC12" s="996">
        <f>D12/J12</f>
        <v>1</v>
      </c>
    </row>
    <row r="13" spans="1:29" ht="15">
      <c r="A13" s="2214"/>
      <c r="B13" s="2220"/>
      <c r="C13" s="489"/>
      <c r="D13" s="490">
        <v>100</v>
      </c>
      <c r="E13" s="489"/>
      <c r="F13" s="235">
        <f>SUMIF(72:72,E13,73:73)-SUMIF(72:72,C13,73:73)+100</f>
        <v>100</v>
      </c>
      <c r="G13" s="834"/>
      <c r="H13" s="490">
        <f>SUMIF(72:72,G13,73:73)-SUMIF(72:72,C13,73:73)+100</f>
        <v>100</v>
      </c>
      <c r="I13" s="489"/>
      <c r="J13" s="490">
        <f>SUMIF(72:72,I13,73:73)-SUMIF(72:72,C13,73:73)+100</f>
        <v>100</v>
      </c>
      <c r="K13" s="531"/>
      <c r="L13" s="1749"/>
      <c r="M13" s="1742"/>
      <c r="N13" s="1742"/>
      <c r="O13" s="1748"/>
      <c r="P13" s="3594"/>
      <c r="Q13" s="818">
        <f t="shared" si="6"/>
        <v>0</v>
      </c>
      <c r="R13" s="1303" t="s">
        <v>5</v>
      </c>
      <c r="S13" s="1304">
        <f t="shared" si="0"/>
        <v>100</v>
      </c>
      <c r="T13" s="1303" t="s">
        <v>5</v>
      </c>
      <c r="U13" s="1304">
        <f t="shared" si="1"/>
        <v>100</v>
      </c>
      <c r="V13" s="1303" t="s">
        <v>5</v>
      </c>
      <c r="W13" s="1304">
        <f t="shared" si="2"/>
        <v>100</v>
      </c>
      <c r="X13" s="1305"/>
      <c r="Y13" s="3546"/>
      <c r="Z13" s="996">
        <f t="shared" si="7"/>
        <v>0</v>
      </c>
      <c r="AA13" s="996">
        <f t="shared" si="3"/>
        <v>1</v>
      </c>
      <c r="AB13" s="996">
        <f t="shared" si="4"/>
        <v>1</v>
      </c>
      <c r="AC13" s="996">
        <f t="shared" si="5"/>
        <v>1</v>
      </c>
    </row>
    <row r="14" spans="1:29" ht="15.75" thickBot="1">
      <c r="A14" s="2215"/>
      <c r="B14" s="2221"/>
      <c r="C14" s="495"/>
      <c r="D14" s="496">
        <v>100</v>
      </c>
      <c r="E14" s="495"/>
      <c r="F14" s="496">
        <f>SUMIF(74:74,E14,75:75)-SUMIF(74:74,C14,75:75)+100</f>
        <v>100</v>
      </c>
      <c r="G14" s="834"/>
      <c r="H14" s="496">
        <f>SUMIF(74:74,G14,75:75)-SUMIF(74:74,C14,75:75)+100</f>
        <v>100</v>
      </c>
      <c r="I14" s="489"/>
      <c r="J14" s="496">
        <f>SUMIF(74:74,I14,75:75)-SUMIF(74:74,C14,75:75)+100</f>
        <v>100</v>
      </c>
      <c r="K14" s="531"/>
      <c r="L14" s="1749"/>
      <c r="M14" s="1742"/>
      <c r="N14" s="1742"/>
      <c r="O14" s="1748"/>
      <c r="P14" s="3594"/>
      <c r="Q14" s="818">
        <f t="shared" si="6"/>
        <v>0</v>
      </c>
      <c r="R14" s="1303" t="s">
        <v>5</v>
      </c>
      <c r="S14" s="1304">
        <f t="shared" si="0"/>
        <v>100</v>
      </c>
      <c r="T14" s="1303" t="s">
        <v>5</v>
      </c>
      <c r="U14" s="1304">
        <f t="shared" si="1"/>
        <v>100</v>
      </c>
      <c r="V14" s="1303" t="s">
        <v>5</v>
      </c>
      <c r="W14" s="1304">
        <f t="shared" si="2"/>
        <v>100</v>
      </c>
      <c r="X14" s="1305"/>
      <c r="Y14" s="3546"/>
      <c r="Z14" s="996">
        <f t="shared" si="7"/>
        <v>0</v>
      </c>
      <c r="AA14" s="996">
        <f t="shared" si="3"/>
        <v>1</v>
      </c>
      <c r="AB14" s="996">
        <f t="shared" si="4"/>
        <v>1</v>
      </c>
      <c r="AC14" s="996">
        <f t="shared" si="5"/>
        <v>1</v>
      </c>
    </row>
    <row r="15" spans="1:29" ht="71.25">
      <c r="A15" s="2207" t="s">
        <v>2036</v>
      </c>
      <c r="B15" s="150" t="s">
        <v>490</v>
      </c>
      <c r="C15" s="797" t="str">
        <f>估价对象房地状况!C4</f>
        <v>估价对象周边商业氛围成熟度较差，人流量较少，住宅底商为主，商业繁华度较差</v>
      </c>
      <c r="D15" s="499">
        <v>100</v>
      </c>
      <c r="E15" s="500"/>
      <c r="F15" s="501">
        <f>SUMIF(76:76,E16,77:77)-SUMIF(76:76,C16,77:77)+100</f>
        <v>110</v>
      </c>
      <c r="G15" s="502"/>
      <c r="H15" s="499">
        <f>SUMIF(76:76,G16,77:77)-SUMIF(76:76,C16,77:77)+100</f>
        <v>110</v>
      </c>
      <c r="I15" s="500"/>
      <c r="J15" s="499">
        <f>SUMIF(76:76,I16,77:77)-SUMIF(76:76,C16,77:77)+100</f>
        <v>110</v>
      </c>
      <c r="K15" s="822">
        <v>5</v>
      </c>
      <c r="L15" s="1749"/>
      <c r="M15" s="1742"/>
      <c r="N15" s="1742"/>
      <c r="O15" s="1748"/>
      <c r="P15" s="3596" t="s">
        <v>489</v>
      </c>
      <c r="Q15" s="1306" t="str">
        <f t="shared" si="6"/>
        <v>商业繁华度</v>
      </c>
      <c r="R15" s="1307" t="s">
        <v>5</v>
      </c>
      <c r="S15" s="1308">
        <f t="shared" si="0"/>
        <v>110</v>
      </c>
      <c r="T15" s="1307" t="s">
        <v>5</v>
      </c>
      <c r="U15" s="1308">
        <f t="shared" si="1"/>
        <v>110</v>
      </c>
      <c r="V15" s="1307" t="s">
        <v>5</v>
      </c>
      <c r="W15" s="1308">
        <f t="shared" si="2"/>
        <v>110</v>
      </c>
      <c r="X15" s="1302"/>
      <c r="Y15" s="3596" t="s">
        <v>489</v>
      </c>
      <c r="Z15" s="1309" t="str">
        <f t="shared" si="7"/>
        <v>商业繁华度</v>
      </c>
      <c r="AA15" s="1309">
        <f t="shared" si="3"/>
        <v>0.90909090909090906</v>
      </c>
      <c r="AB15" s="1309">
        <f t="shared" si="4"/>
        <v>0.90909090909090906</v>
      </c>
      <c r="AC15" s="1309">
        <f t="shared" si="5"/>
        <v>0.90909090909090906</v>
      </c>
    </row>
    <row r="16" spans="1:29" ht="15">
      <c r="A16" s="482"/>
      <c r="B16" s="799"/>
      <c r="C16" s="526" t="s">
        <v>3360</v>
      </c>
      <c r="D16" s="505"/>
      <c r="E16" s="526" t="s">
        <v>3345</v>
      </c>
      <c r="F16" s="507"/>
      <c r="G16" s="526" t="s">
        <v>3345</v>
      </c>
      <c r="H16" s="509"/>
      <c r="I16" s="526" t="s">
        <v>3345</v>
      </c>
      <c r="J16" s="505"/>
      <c r="K16" s="823"/>
      <c r="L16" s="1749"/>
      <c r="M16" s="1742"/>
      <c r="N16" s="1742"/>
      <c r="O16" s="1748"/>
      <c r="P16" s="3597"/>
      <c r="Q16" s="1306"/>
      <c r="R16" s="1307"/>
      <c r="S16" s="1308"/>
      <c r="T16" s="1307"/>
      <c r="U16" s="1308"/>
      <c r="V16" s="1307"/>
      <c r="W16" s="1308"/>
      <c r="X16" s="1302"/>
      <c r="Y16" s="3597"/>
      <c r="Z16" s="1309"/>
      <c r="AA16" s="1309">
        <v>1</v>
      </c>
      <c r="AB16" s="1309">
        <v>1</v>
      </c>
      <c r="AC16" s="1309">
        <v>1</v>
      </c>
    </row>
    <row r="17" spans="1:29" ht="99.75">
      <c r="A17" s="482"/>
      <c r="B17" s="677" t="s">
        <v>262</v>
      </c>
      <c r="C17" s="801" t="str">
        <f>估价对象房地状况!C6</f>
        <v>估价对象周边道路状况一般、公共交通通达情况较差，有5、122路经过、停车便捷程度，综合评价交通便捷度一般</v>
      </c>
      <c r="D17" s="509">
        <v>100</v>
      </c>
      <c r="E17" s="512"/>
      <c r="F17" s="513">
        <f>SUMIF(78:78,E18,79:79)-SUMIF(78:78,C18,79:79)+100</f>
        <v>103</v>
      </c>
      <c r="G17" s="514"/>
      <c r="H17" s="515">
        <f>SUMIF(78:78,G18,79:79)-SUMIF(78:78,C18,79:79)+100</f>
        <v>103</v>
      </c>
      <c r="I17" s="512"/>
      <c r="J17" s="515">
        <f>SUMIF(78:78,I18,79:79)-SUMIF(78:78,C18,79:79)+100</f>
        <v>103</v>
      </c>
      <c r="K17" s="822">
        <v>3</v>
      </c>
      <c r="L17" s="1749"/>
      <c r="M17" s="1742"/>
      <c r="N17" s="1742"/>
      <c r="O17" s="1748"/>
      <c r="P17" s="3597"/>
      <c r="Q17" s="1306" t="str">
        <f>B17</f>
        <v>交通便捷度</v>
      </c>
      <c r="R17" s="1307" t="s">
        <v>5</v>
      </c>
      <c r="S17" s="1308">
        <f>F17</f>
        <v>103</v>
      </c>
      <c r="T17" s="1307" t="s">
        <v>5</v>
      </c>
      <c r="U17" s="1308">
        <f>H17</f>
        <v>103</v>
      </c>
      <c r="V17" s="1307" t="s">
        <v>5</v>
      </c>
      <c r="W17" s="1308">
        <f>J17</f>
        <v>103</v>
      </c>
      <c r="X17" s="1302"/>
      <c r="Y17" s="3597"/>
      <c r="Z17" s="1309" t="str">
        <f>Q17</f>
        <v>交通便捷度</v>
      </c>
      <c r="AA17" s="1309">
        <f t="shared" si="3"/>
        <v>0.970873786407767</v>
      </c>
      <c r="AB17" s="1309">
        <f t="shared" si="4"/>
        <v>0.970873786407767</v>
      </c>
      <c r="AC17" s="1309">
        <f t="shared" si="5"/>
        <v>0.970873786407767</v>
      </c>
    </row>
    <row r="18" spans="1:29" ht="15">
      <c r="A18" s="482"/>
      <c r="B18" s="544"/>
      <c r="C18" s="802" t="s">
        <v>3340</v>
      </c>
      <c r="D18" s="509"/>
      <c r="E18" s="519" t="s">
        <v>3345</v>
      </c>
      <c r="F18" s="513"/>
      <c r="G18" s="519" t="s">
        <v>3345</v>
      </c>
      <c r="H18" s="505"/>
      <c r="I18" s="519" t="s">
        <v>3345</v>
      </c>
      <c r="J18" s="505"/>
      <c r="K18" s="823"/>
      <c r="L18" s="1749"/>
      <c r="M18" s="1742"/>
      <c r="N18" s="1742"/>
      <c r="O18" s="1748"/>
      <c r="P18" s="3597"/>
      <c r="Q18" s="1306"/>
      <c r="R18" s="1307"/>
      <c r="S18" s="1308"/>
      <c r="T18" s="1307"/>
      <c r="U18" s="1308"/>
      <c r="V18" s="1307"/>
      <c r="W18" s="1308"/>
      <c r="X18" s="1302"/>
      <c r="Y18" s="3597"/>
      <c r="Z18" s="1309"/>
      <c r="AA18" s="1309">
        <v>1</v>
      </c>
      <c r="AB18" s="1309">
        <v>1</v>
      </c>
      <c r="AC18" s="1309">
        <v>1</v>
      </c>
    </row>
    <row r="19" spans="1:29" ht="42.75">
      <c r="A19" s="482"/>
      <c r="B19" s="2059" t="s">
        <v>1829</v>
      </c>
      <c r="C19" s="801" t="str">
        <f>估价对象房地状况!C7</f>
        <v>估价对象所在区域公共配套设施齐备情况较差</v>
      </c>
      <c r="D19" s="515">
        <v>100</v>
      </c>
      <c r="E19" s="520"/>
      <c r="F19" s="521">
        <f>SUMIF(80:80,E20,81:81)-SUMIF(80:80,C20,81:81)+100</f>
        <v>110</v>
      </c>
      <c r="G19" s="522"/>
      <c r="H19" s="509">
        <f>SUMIF(80:80,G20,81:81)-SUMIF(80:80,C20,81:81)+100</f>
        <v>110</v>
      </c>
      <c r="I19" s="520"/>
      <c r="J19" s="509">
        <f>SUMIF(80:80,I20,81:81)-SUMIF(80:80,C20,81:81)+100</f>
        <v>110</v>
      </c>
      <c r="K19" s="822">
        <v>5</v>
      </c>
      <c r="L19" s="1749"/>
      <c r="M19" s="1742"/>
      <c r="N19" s="1742"/>
      <c r="O19" s="1748"/>
      <c r="P19" s="3597"/>
      <c r="Q19" s="1306" t="str">
        <f>B19</f>
        <v>公共配套设施</v>
      </c>
      <c r="R19" s="1307" t="s">
        <v>5</v>
      </c>
      <c r="S19" s="1308">
        <f>F19</f>
        <v>110</v>
      </c>
      <c r="T19" s="1307" t="s">
        <v>5</v>
      </c>
      <c r="U19" s="1308">
        <f>H19</f>
        <v>110</v>
      </c>
      <c r="V19" s="1307" t="s">
        <v>5</v>
      </c>
      <c r="W19" s="1308">
        <f>J19</f>
        <v>110</v>
      </c>
      <c r="X19" s="1302"/>
      <c r="Y19" s="3597"/>
      <c r="Z19" s="1309" t="str">
        <f>Q19</f>
        <v>公共配套设施</v>
      </c>
      <c r="AA19" s="1309">
        <f t="shared" si="3"/>
        <v>0.90909090909090906</v>
      </c>
      <c r="AB19" s="1309">
        <f t="shared" si="4"/>
        <v>0.90909090909090906</v>
      </c>
      <c r="AC19" s="1309">
        <f t="shared" si="5"/>
        <v>0.90909090909090906</v>
      </c>
    </row>
    <row r="20" spans="1:29" ht="15">
      <c r="A20" s="482"/>
      <c r="B20" s="544"/>
      <c r="C20" s="526" t="s">
        <v>3360</v>
      </c>
      <c r="D20" s="505"/>
      <c r="E20" s="519" t="s">
        <v>3345</v>
      </c>
      <c r="F20" s="507"/>
      <c r="G20" s="519" t="s">
        <v>3345</v>
      </c>
      <c r="H20" s="505"/>
      <c r="I20" s="519" t="s">
        <v>3345</v>
      </c>
      <c r="J20" s="505"/>
      <c r="K20" s="823"/>
      <c r="L20" s="1749"/>
      <c r="M20" s="1742"/>
      <c r="N20" s="1742"/>
      <c r="O20" s="1748"/>
      <c r="P20" s="3597"/>
      <c r="Q20" s="1306"/>
      <c r="R20" s="1307"/>
      <c r="S20" s="1308"/>
      <c r="T20" s="1307"/>
      <c r="U20" s="1308"/>
      <c r="V20" s="1307"/>
      <c r="W20" s="1308"/>
      <c r="X20" s="1302"/>
      <c r="Y20" s="3597"/>
      <c r="Z20" s="1309"/>
      <c r="AA20" s="1309">
        <v>1</v>
      </c>
      <c r="AB20" s="1309">
        <v>1</v>
      </c>
      <c r="AC20" s="1309">
        <v>1</v>
      </c>
    </row>
    <row r="21" spans="1:29" ht="15">
      <c r="A21" s="482"/>
      <c r="B21" s="2052" t="s">
        <v>1841</v>
      </c>
      <c r="C21" s="801" t="str">
        <f>估价对象房地状况!C8</f>
        <v>六通</v>
      </c>
      <c r="D21" s="515">
        <v>100</v>
      </c>
      <c r="E21" s="522"/>
      <c r="F21" s="521">
        <f>SUMIF(82:82,E22,83:83)-SUMIF(82:82,C22,83:83)+100</f>
        <v>100</v>
      </c>
      <c r="G21" s="522"/>
      <c r="H21" s="515">
        <f>SUMIF(82:82,G22,83:83)-SUMIF(82:82,C22,83:83)+100</f>
        <v>100</v>
      </c>
      <c r="I21" s="520"/>
      <c r="J21" s="515">
        <f>SUMIF(82:82,I22,83:83)-SUMIF(82:82,C22,83:83)+100</f>
        <v>100</v>
      </c>
      <c r="K21" s="822">
        <v>1</v>
      </c>
      <c r="L21" s="1749"/>
      <c r="M21" s="1742"/>
      <c r="N21" s="1742"/>
      <c r="O21" s="1748"/>
      <c r="P21" s="3597"/>
      <c r="Q21" s="1306" t="str">
        <f>B21</f>
        <v>基础设施水平</v>
      </c>
      <c r="R21" s="1307" t="s">
        <v>5</v>
      </c>
      <c r="S21" s="1308">
        <f>F21</f>
        <v>100</v>
      </c>
      <c r="T21" s="1307" t="s">
        <v>5</v>
      </c>
      <c r="U21" s="1308">
        <f>H21</f>
        <v>100</v>
      </c>
      <c r="V21" s="1307" t="s">
        <v>5</v>
      </c>
      <c r="W21" s="1308">
        <f>J21</f>
        <v>100</v>
      </c>
      <c r="X21" s="1302"/>
      <c r="Y21" s="3597"/>
      <c r="Z21" s="1309" t="str">
        <f>Q21</f>
        <v>基础设施水平</v>
      </c>
      <c r="AA21" s="1309">
        <f>D21/F21</f>
        <v>1</v>
      </c>
      <c r="AB21" s="1309">
        <f>D21/H21</f>
        <v>1</v>
      </c>
      <c r="AC21" s="1309">
        <f>D21/J21</f>
        <v>1</v>
      </c>
    </row>
    <row r="22" spans="1:29" ht="15">
      <c r="A22" s="482"/>
      <c r="B22" s="843"/>
      <c r="C22" s="802" t="s">
        <v>3361</v>
      </c>
      <c r="D22" s="505"/>
      <c r="E22" s="802" t="s">
        <v>3361</v>
      </c>
      <c r="F22" s="507"/>
      <c r="G22" s="802" t="s">
        <v>3361</v>
      </c>
      <c r="H22" s="505"/>
      <c r="I22" s="802" t="s">
        <v>3361</v>
      </c>
      <c r="J22" s="505"/>
      <c r="K22" s="2061"/>
      <c r="L22" s="1749"/>
      <c r="M22" s="1742"/>
      <c r="N22" s="1742"/>
      <c r="O22" s="1748"/>
      <c r="P22" s="3597"/>
      <c r="Q22" s="1306"/>
      <c r="R22" s="1307"/>
      <c r="S22" s="1308"/>
      <c r="T22" s="1307"/>
      <c r="U22" s="1308"/>
      <c r="V22" s="1307"/>
      <c r="W22" s="1308"/>
      <c r="X22" s="1302"/>
      <c r="Y22" s="3597"/>
      <c r="Z22" s="1309"/>
      <c r="AA22" s="1309">
        <v>1</v>
      </c>
      <c r="AB22" s="1309">
        <v>1</v>
      </c>
      <c r="AC22" s="1309">
        <v>1</v>
      </c>
    </row>
    <row r="23" spans="1:29" ht="42.75">
      <c r="A23" s="482"/>
      <c r="B23" s="677" t="s">
        <v>263</v>
      </c>
      <c r="C23" s="824" t="str">
        <f>估价对象房地状况!C9</f>
        <v>区域自然环境：；人文环境；综合评价环境状况较好</v>
      </c>
      <c r="D23" s="509">
        <v>100</v>
      </c>
      <c r="E23" s="512"/>
      <c r="F23" s="513">
        <f>SUMIF(84:84,E24,85:85)-SUMIF(84:84,C24,85:85)+100</f>
        <v>97</v>
      </c>
      <c r="G23" s="514"/>
      <c r="H23" s="509">
        <f>SUMIF(84:84,G24,85:85)-SUMIF(84:84,C24,85:85)+100</f>
        <v>97</v>
      </c>
      <c r="I23" s="512"/>
      <c r="J23" s="509">
        <f>SUMIF(84:84,I24,85:85)-SUMIF(84:84,C24,85:85)+100</f>
        <v>97</v>
      </c>
      <c r="K23" s="822">
        <f>'比较法-住宅、综合'!K27</f>
        <v>3</v>
      </c>
      <c r="L23" s="1749"/>
      <c r="M23" s="1742"/>
      <c r="N23" s="1742"/>
      <c r="O23" s="1748"/>
      <c r="P23" s="3597"/>
      <c r="Q23" s="1306" t="str">
        <f>B23</f>
        <v>自然及人文环境</v>
      </c>
      <c r="R23" s="1307" t="s">
        <v>5</v>
      </c>
      <c r="S23" s="1308">
        <f>F23</f>
        <v>97</v>
      </c>
      <c r="T23" s="1307" t="s">
        <v>5</v>
      </c>
      <c r="U23" s="1308">
        <f>H23</f>
        <v>97</v>
      </c>
      <c r="V23" s="1307" t="s">
        <v>5</v>
      </c>
      <c r="W23" s="1308">
        <f>J23</f>
        <v>97</v>
      </c>
      <c r="X23" s="1302"/>
      <c r="Y23" s="3597"/>
      <c r="Z23" s="1309" t="str">
        <f>Q23</f>
        <v>自然及人文环境</v>
      </c>
      <c r="AA23" s="1309">
        <f t="shared" si="3"/>
        <v>1.0309278350515463</v>
      </c>
      <c r="AB23" s="1309">
        <f t="shared" si="4"/>
        <v>1.0309278350515463</v>
      </c>
      <c r="AC23" s="1309">
        <f t="shared" si="5"/>
        <v>1.0309278350515463</v>
      </c>
    </row>
    <row r="24" spans="1:29" ht="15">
      <c r="A24" s="482"/>
      <c r="B24" s="544"/>
      <c r="C24" s="526" t="s">
        <v>3345</v>
      </c>
      <c r="D24" s="505"/>
      <c r="E24" s="518" t="s">
        <v>3340</v>
      </c>
      <c r="F24" s="507"/>
      <c r="G24" s="518" t="s">
        <v>3340</v>
      </c>
      <c r="H24" s="505"/>
      <c r="I24" s="518" t="s">
        <v>3340</v>
      </c>
      <c r="J24" s="505"/>
      <c r="K24" s="823"/>
      <c r="L24" s="1749"/>
      <c r="M24" s="1742"/>
      <c r="N24" s="1742"/>
      <c r="O24" s="1748"/>
      <c r="P24" s="3597"/>
      <c r="Q24" s="1306"/>
      <c r="R24" s="1307"/>
      <c r="S24" s="1308"/>
      <c r="T24" s="1307"/>
      <c r="U24" s="1308"/>
      <c r="V24" s="1307"/>
      <c r="W24" s="1308"/>
      <c r="X24" s="1302"/>
      <c r="Y24" s="3597"/>
      <c r="Z24" s="1309"/>
      <c r="AA24" s="1309">
        <v>1</v>
      </c>
      <c r="AB24" s="1309">
        <v>1</v>
      </c>
      <c r="AC24" s="1309">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9"/>
      <c r="M25" s="1742"/>
      <c r="N25" s="1742"/>
      <c r="O25" s="1748"/>
      <c r="P25" s="3597"/>
      <c r="Q25" s="1306" t="str">
        <f t="shared" ref="Q25:Q46" si="8">B25</f>
        <v>临街状况</v>
      </c>
      <c r="R25" s="1307" t="s">
        <v>5</v>
      </c>
      <c r="S25" s="1308">
        <f>F25</f>
        <v>100</v>
      </c>
      <c r="T25" s="1307" t="s">
        <v>5</v>
      </c>
      <c r="U25" s="1308">
        <f>H25</f>
        <v>100</v>
      </c>
      <c r="V25" s="1307" t="s">
        <v>5</v>
      </c>
      <c r="W25" s="1308">
        <f>J25</f>
        <v>100</v>
      </c>
      <c r="X25" s="1302"/>
      <c r="Y25" s="3597"/>
      <c r="Z25" s="1309" t="str">
        <f>Q25</f>
        <v>临街状况</v>
      </c>
      <c r="AA25" s="1309">
        <f t="shared" si="3"/>
        <v>1</v>
      </c>
      <c r="AB25" s="1309">
        <f t="shared" si="4"/>
        <v>1</v>
      </c>
      <c r="AC25" s="1309">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9"/>
      <c r="M26" s="1742"/>
      <c r="N26" s="1742"/>
      <c r="O26" s="1748"/>
      <c r="P26" s="3597"/>
      <c r="Q26" s="1306" t="str">
        <f t="shared" si="8"/>
        <v>平面位置/可视性</v>
      </c>
      <c r="R26" s="1307" t="s">
        <v>5</v>
      </c>
      <c r="S26" s="1308">
        <f>F26</f>
        <v>100</v>
      </c>
      <c r="T26" s="1307" t="s">
        <v>5</v>
      </c>
      <c r="U26" s="1308">
        <f>H26</f>
        <v>100</v>
      </c>
      <c r="V26" s="1307" t="s">
        <v>5</v>
      </c>
      <c r="W26" s="1308">
        <f>J26</f>
        <v>100</v>
      </c>
      <c r="X26" s="1302"/>
      <c r="Y26" s="3597"/>
      <c r="Z26" s="1309" t="str">
        <f>Q26</f>
        <v>平面位置/可视性</v>
      </c>
      <c r="AA26" s="1309">
        <f t="shared" si="3"/>
        <v>1</v>
      </c>
      <c r="AB26" s="1309">
        <f t="shared" si="4"/>
        <v>1</v>
      </c>
      <c r="AC26" s="1309">
        <f t="shared" si="5"/>
        <v>1</v>
      </c>
    </row>
    <row r="27" spans="1:29" s="1059" customFormat="1" ht="15">
      <c r="A27" s="486"/>
      <c r="B27" s="677" t="s">
        <v>699</v>
      </c>
      <c r="C27" s="825"/>
      <c r="D27" s="516">
        <v>100</v>
      </c>
      <c r="E27" s="825"/>
      <c r="F27" s="544">
        <f>SUMIF(90:90,E27,91:91)-SUMIF(90:90,C27,91:91)+100</f>
        <v>100</v>
      </c>
      <c r="G27" s="825"/>
      <c r="H27" s="516">
        <f>SUMIF(90:90,G27,91:91)-SUMIF(90:90,C27,91:91)+100</f>
        <v>100</v>
      </c>
      <c r="I27" s="825"/>
      <c r="J27" s="516">
        <f>SUMIF(90:90,I27,91:91)-SUMIF(90:90,C27,91:91)+100</f>
        <v>100</v>
      </c>
      <c r="K27" s="533"/>
      <c r="L27" s="1743"/>
      <c r="M27" s="1640"/>
      <c r="N27" s="1640"/>
      <c r="O27" s="1744"/>
      <c r="P27" s="3597"/>
      <c r="Q27" s="818" t="str">
        <f t="shared" si="8"/>
        <v>人流量</v>
      </c>
      <c r="R27" s="1303" t="s">
        <v>5</v>
      </c>
      <c r="S27" s="1304">
        <f>F27</f>
        <v>100</v>
      </c>
      <c r="T27" s="1303" t="s">
        <v>5</v>
      </c>
      <c r="U27" s="1304">
        <f>H27</f>
        <v>100</v>
      </c>
      <c r="V27" s="1303" t="s">
        <v>5</v>
      </c>
      <c r="W27" s="1304">
        <f>J27</f>
        <v>100</v>
      </c>
      <c r="X27" s="1305"/>
      <c r="Y27" s="3597"/>
      <c r="Z27" s="996" t="str">
        <f>Q27</f>
        <v>人流量</v>
      </c>
      <c r="AA27" s="1309">
        <f>D27/F27</f>
        <v>1</v>
      </c>
      <c r="AB27" s="1309">
        <f>D27/H27</f>
        <v>1</v>
      </c>
      <c r="AC27" s="1309">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9"/>
      <c r="M28" s="1742"/>
      <c r="N28" s="1742"/>
      <c r="O28" s="1748"/>
      <c r="P28" s="3597"/>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597"/>
      <c r="Z28" s="1309" t="str">
        <f t="shared" ref="Z28:Z46" si="12">Q28</f>
        <v>楼层</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9"/>
      <c r="M29" s="1742"/>
      <c r="N29" s="1742"/>
      <c r="O29" s="1748"/>
      <c r="P29" s="3597"/>
      <c r="Q29" s="1306">
        <f t="shared" si="8"/>
        <v>111</v>
      </c>
      <c r="R29" s="1307" t="s">
        <v>5</v>
      </c>
      <c r="S29" s="1308">
        <f t="shared" si="9"/>
        <v>100</v>
      </c>
      <c r="T29" s="1307" t="s">
        <v>5</v>
      </c>
      <c r="U29" s="1308">
        <f t="shared" si="10"/>
        <v>100</v>
      </c>
      <c r="V29" s="1307" t="s">
        <v>5</v>
      </c>
      <c r="W29" s="1308">
        <f t="shared" si="11"/>
        <v>100</v>
      </c>
      <c r="X29" s="1302"/>
      <c r="Y29" s="3597"/>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9"/>
      <c r="M30" s="1742"/>
      <c r="N30" s="1742"/>
      <c r="O30" s="1748"/>
      <c r="P30" s="3597"/>
      <c r="Q30" s="1306">
        <f t="shared" si="8"/>
        <v>111</v>
      </c>
      <c r="R30" s="1307" t="s">
        <v>5</v>
      </c>
      <c r="S30" s="1308">
        <f t="shared" si="9"/>
        <v>100</v>
      </c>
      <c r="T30" s="1307" t="s">
        <v>5</v>
      </c>
      <c r="U30" s="1308">
        <f t="shared" si="10"/>
        <v>100</v>
      </c>
      <c r="V30" s="1307" t="s">
        <v>5</v>
      </c>
      <c r="W30" s="1308">
        <f t="shared" si="11"/>
        <v>100</v>
      </c>
      <c r="X30" s="1302"/>
      <c r="Y30" s="3597"/>
      <c r="Z30" s="1309">
        <f t="shared" si="12"/>
        <v>111</v>
      </c>
      <c r="AA30" s="1309">
        <f t="shared" si="3"/>
        <v>1</v>
      </c>
      <c r="AB30" s="1309">
        <f t="shared" si="4"/>
        <v>1</v>
      </c>
      <c r="AC30" s="1309">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9"/>
      <c r="M31" s="1742"/>
      <c r="N31" s="1742"/>
      <c r="O31" s="1748"/>
      <c r="P31" s="3597"/>
      <c r="Q31" s="1306">
        <f t="shared" si="8"/>
        <v>111</v>
      </c>
      <c r="R31" s="1307" t="s">
        <v>5</v>
      </c>
      <c r="S31" s="1308">
        <f t="shared" si="9"/>
        <v>100</v>
      </c>
      <c r="T31" s="1307" t="s">
        <v>5</v>
      </c>
      <c r="U31" s="1308">
        <f t="shared" si="10"/>
        <v>100</v>
      </c>
      <c r="V31" s="1307" t="s">
        <v>5</v>
      </c>
      <c r="W31" s="1308">
        <f t="shared" si="11"/>
        <v>100</v>
      </c>
      <c r="X31" s="1302"/>
      <c r="Y31" s="3597"/>
      <c r="Z31" s="1309">
        <f t="shared" si="12"/>
        <v>111</v>
      </c>
      <c r="AA31" s="1309">
        <f t="shared" si="3"/>
        <v>1</v>
      </c>
      <c r="AB31" s="1309">
        <f t="shared" si="4"/>
        <v>1</v>
      </c>
      <c r="AC31" s="1309">
        <f t="shared" si="5"/>
        <v>1</v>
      </c>
    </row>
    <row r="32" spans="1:29" ht="15">
      <c r="A32" s="2204" t="s">
        <v>2037</v>
      </c>
      <c r="B32" s="156" t="s">
        <v>702</v>
      </c>
      <c r="C32" s="804" t="s">
        <v>3363</v>
      </c>
      <c r="D32" s="546">
        <v>100</v>
      </c>
      <c r="E32" s="804" t="s">
        <v>3363</v>
      </c>
      <c r="F32" s="525">
        <f>SUMIF(100:100,E32,101:101)-SUMIF(100:100,C32,101:101)+100</f>
        <v>100</v>
      </c>
      <c r="G32" s="804" t="s">
        <v>3363</v>
      </c>
      <c r="H32" s="490">
        <f>SUMIF(100:100,G32,101:101)-SUMIF(100:100,C32,101:101)+100</f>
        <v>100</v>
      </c>
      <c r="I32" s="804" t="s">
        <v>3363</v>
      </c>
      <c r="J32" s="546">
        <f>SUMIF(100:100,I32,101:101)-SUMIF(100:100,C32,101:101)+100</f>
        <v>100</v>
      </c>
      <c r="K32" s="533">
        <v>2</v>
      </c>
      <c r="L32" s="1749"/>
      <c r="M32" s="1742"/>
      <c r="N32" s="1742"/>
      <c r="O32" s="1748"/>
      <c r="P32" s="3598" t="s">
        <v>499</v>
      </c>
      <c r="Q32" s="1306" t="str">
        <f t="shared" si="8"/>
        <v>商业类型</v>
      </c>
      <c r="R32" s="1307" t="s">
        <v>5</v>
      </c>
      <c r="S32" s="1308">
        <f t="shared" si="9"/>
        <v>100</v>
      </c>
      <c r="T32" s="1307" t="s">
        <v>5</v>
      </c>
      <c r="U32" s="1308">
        <f t="shared" si="10"/>
        <v>100</v>
      </c>
      <c r="V32" s="1307" t="s">
        <v>5</v>
      </c>
      <c r="W32" s="1308">
        <f t="shared" si="11"/>
        <v>100</v>
      </c>
      <c r="X32" s="1302"/>
      <c r="Y32" s="3599" t="s">
        <v>499</v>
      </c>
      <c r="Z32" s="1309" t="str">
        <f t="shared" si="12"/>
        <v>商业类型</v>
      </c>
      <c r="AA32" s="1309">
        <f t="shared" si="3"/>
        <v>1</v>
      </c>
      <c r="AB32" s="1309">
        <f t="shared" si="4"/>
        <v>1</v>
      </c>
      <c r="AC32" s="1309">
        <f t="shared" si="5"/>
        <v>1</v>
      </c>
    </row>
    <row r="33" spans="1:29" s="1133" customFormat="1" ht="15">
      <c r="A33" s="552"/>
      <c r="B33" s="477" t="s">
        <v>673</v>
      </c>
      <c r="C33" s="806">
        <v>500</v>
      </c>
      <c r="D33" s="235">
        <v>100</v>
      </c>
      <c r="E33" s="806">
        <v>500</v>
      </c>
      <c r="F33" s="477">
        <f>LOOKUP(E33,103:103,104:104)-LOOKUP(C33,103:103,104:104)+100</f>
        <v>100</v>
      </c>
      <c r="G33" s="806">
        <v>500</v>
      </c>
      <c r="H33" s="235">
        <f>LOOKUP(G33,103:103,104:104)-LOOKUP(C33,103:103,104:104)+100</f>
        <v>100</v>
      </c>
      <c r="I33" s="806">
        <v>500</v>
      </c>
      <c r="J33" s="235">
        <f>LOOKUP(I33,103:103,104:104)-LOOKUP(C33,103:103,104:104)+100</f>
        <v>100</v>
      </c>
      <c r="K33" s="531"/>
      <c r="L33" s="1747"/>
      <c r="M33" s="1771"/>
      <c r="N33" s="1771"/>
      <c r="O33" s="1750"/>
      <c r="P33" s="3599"/>
      <c r="Q33" s="819" t="str">
        <f t="shared" si="8"/>
        <v>项目建筑规模</v>
      </c>
      <c r="R33" s="1310" t="s">
        <v>5</v>
      </c>
      <c r="S33" s="1311">
        <f t="shared" si="9"/>
        <v>100</v>
      </c>
      <c r="T33" s="1310" t="s">
        <v>5</v>
      </c>
      <c r="U33" s="1311">
        <f t="shared" si="10"/>
        <v>100</v>
      </c>
      <c r="V33" s="1310" t="s">
        <v>5</v>
      </c>
      <c r="W33" s="1311">
        <f t="shared" si="11"/>
        <v>100</v>
      </c>
      <c r="X33" s="1312"/>
      <c r="Y33" s="3599"/>
      <c r="Z33" s="1313" t="str">
        <f t="shared" si="12"/>
        <v>项目建筑规模</v>
      </c>
      <c r="AA33" s="1309">
        <f t="shared" si="3"/>
        <v>1</v>
      </c>
      <c r="AB33" s="1309">
        <f t="shared" si="4"/>
        <v>1</v>
      </c>
      <c r="AC33" s="1309">
        <f t="shared" si="5"/>
        <v>1</v>
      </c>
    </row>
    <row r="34" spans="1:29" ht="15">
      <c r="A34" s="543"/>
      <c r="B34" s="477" t="s">
        <v>674</v>
      </c>
      <c r="C34" s="524" t="s">
        <v>3349</v>
      </c>
      <c r="D34" s="490">
        <v>100</v>
      </c>
      <c r="E34" s="524" t="s">
        <v>3349</v>
      </c>
      <c r="F34" s="525">
        <f>SUMIF(105:105,E34,106:106)-SUMIF(105:105,C34,106:106)+100</f>
        <v>100</v>
      </c>
      <c r="G34" s="524" t="s">
        <v>3349</v>
      </c>
      <c r="H34" s="490">
        <f>SUMIF(105:105,G34,106:106)-SUMIF(105:105,C34,106:106)+100</f>
        <v>100</v>
      </c>
      <c r="I34" s="524" t="s">
        <v>3349</v>
      </c>
      <c r="J34" s="490">
        <f>SUMIF(105:105,I34,106:106)-SUMIF(105:105,C34,106:106)+100</f>
        <v>100</v>
      </c>
      <c r="K34" s="533">
        <v>2</v>
      </c>
      <c r="L34" s="1749"/>
      <c r="M34" s="1742"/>
      <c r="N34" s="1742"/>
      <c r="O34" s="1748"/>
      <c r="P34" s="3599"/>
      <c r="Q34" s="1306" t="str">
        <f t="shared" si="8"/>
        <v>建筑结构</v>
      </c>
      <c r="R34" s="1307" t="s">
        <v>5</v>
      </c>
      <c r="S34" s="1308">
        <f t="shared" si="9"/>
        <v>100</v>
      </c>
      <c r="T34" s="1307" t="s">
        <v>5</v>
      </c>
      <c r="U34" s="1308">
        <f t="shared" si="10"/>
        <v>100</v>
      </c>
      <c r="V34" s="1307" t="s">
        <v>5</v>
      </c>
      <c r="W34" s="1308">
        <f t="shared" si="11"/>
        <v>100</v>
      </c>
      <c r="X34" s="1302"/>
      <c r="Y34" s="3599"/>
      <c r="Z34" s="1309" t="str">
        <f t="shared" si="12"/>
        <v>建筑结构</v>
      </c>
      <c r="AA34" s="1309">
        <f t="shared" si="3"/>
        <v>1</v>
      </c>
      <c r="AB34" s="1309">
        <f t="shared" si="4"/>
        <v>1</v>
      </c>
      <c r="AC34" s="1309">
        <f t="shared" si="5"/>
        <v>1</v>
      </c>
    </row>
    <row r="35" spans="1:29" ht="15">
      <c r="A35" s="543"/>
      <c r="B35" s="477" t="s">
        <v>703</v>
      </c>
      <c r="C35" s="548" t="s">
        <v>3366</v>
      </c>
      <c r="D35" s="490">
        <v>100</v>
      </c>
      <c r="E35" s="548" t="s">
        <v>3366</v>
      </c>
      <c r="F35" s="525">
        <f>SUMIF(107:107,E35,108:108)-SUMIF(107:107,C35,108:108)+100</f>
        <v>100</v>
      </c>
      <c r="G35" s="548" t="s">
        <v>3366</v>
      </c>
      <c r="H35" s="490">
        <f>SUMIF(107:107,G35,108:108)-SUMIF(107:107,C35,108:108)+100</f>
        <v>100</v>
      </c>
      <c r="I35" s="548" t="s">
        <v>3366</v>
      </c>
      <c r="J35" s="490">
        <f>SUMIF(107:107,I35,108:108)-SUMIF(107:107,C35,108:108)+100</f>
        <v>100</v>
      </c>
      <c r="K35" s="533">
        <v>2</v>
      </c>
      <c r="L35" s="1749"/>
      <c r="M35" s="1742"/>
      <c r="N35" s="1742"/>
      <c r="O35" s="1748"/>
      <c r="P35" s="3599"/>
      <c r="Q35" s="1306" t="str">
        <f t="shared" si="8"/>
        <v>公共部分装修</v>
      </c>
      <c r="R35" s="1307" t="s">
        <v>5</v>
      </c>
      <c r="S35" s="1308">
        <f t="shared" si="9"/>
        <v>100</v>
      </c>
      <c r="T35" s="1307" t="s">
        <v>5</v>
      </c>
      <c r="U35" s="1308">
        <f t="shared" si="10"/>
        <v>100</v>
      </c>
      <c r="V35" s="1307" t="s">
        <v>5</v>
      </c>
      <c r="W35" s="1308">
        <f t="shared" si="11"/>
        <v>100</v>
      </c>
      <c r="X35" s="1302"/>
      <c r="Y35" s="3599"/>
      <c r="Z35" s="1309" t="str">
        <f t="shared" si="12"/>
        <v>公共部分装修</v>
      </c>
      <c r="AA35" s="1309">
        <f t="shared" si="3"/>
        <v>1</v>
      </c>
      <c r="AB35" s="1309">
        <f t="shared" si="4"/>
        <v>1</v>
      </c>
      <c r="AC35" s="1309">
        <f t="shared" si="5"/>
        <v>1</v>
      </c>
    </row>
    <row r="36" spans="1:29" ht="15">
      <c r="A36" s="543"/>
      <c r="B36" s="477" t="s">
        <v>704</v>
      </c>
      <c r="C36" s="808">
        <v>1</v>
      </c>
      <c r="D36" s="490">
        <v>100</v>
      </c>
      <c r="E36" s="808">
        <v>1</v>
      </c>
      <c r="F36" s="525">
        <f>LOOKUP(E36,110:110,111:111)-LOOKUP(C36,110:110,111:111)+100</f>
        <v>100</v>
      </c>
      <c r="G36" s="808">
        <v>1</v>
      </c>
      <c r="H36" s="525">
        <f>LOOKUP(G36,110:110,111:111)-LOOKUP(C36,110:110,111:111)+100</f>
        <v>100</v>
      </c>
      <c r="I36" s="808">
        <v>1</v>
      </c>
      <c r="J36" s="490">
        <f>LOOKUP(I36,110:110,111:111)-LOOKUP(C36,110:110,111:111)+100</f>
        <v>100</v>
      </c>
      <c r="K36" s="533"/>
      <c r="L36" s="1749"/>
      <c r="M36" s="1742"/>
      <c r="N36" s="1742"/>
      <c r="O36" s="1748"/>
      <c r="P36" s="3599"/>
      <c r="Q36" s="1306" t="str">
        <f t="shared" si="8"/>
        <v>成新度</v>
      </c>
      <c r="R36" s="1307" t="s">
        <v>5</v>
      </c>
      <c r="S36" s="1308">
        <f t="shared" si="9"/>
        <v>100</v>
      </c>
      <c r="T36" s="1307" t="s">
        <v>5</v>
      </c>
      <c r="U36" s="1308">
        <f t="shared" si="10"/>
        <v>100</v>
      </c>
      <c r="V36" s="1307" t="s">
        <v>5</v>
      </c>
      <c r="W36" s="1308">
        <f t="shared" si="11"/>
        <v>100</v>
      </c>
      <c r="X36" s="1302"/>
      <c r="Y36" s="3599"/>
      <c r="Z36" s="1309" t="str">
        <f t="shared" si="12"/>
        <v>成新度</v>
      </c>
      <c r="AA36" s="1309">
        <f t="shared" si="3"/>
        <v>1</v>
      </c>
      <c r="AB36" s="1309">
        <f t="shared" si="4"/>
        <v>1</v>
      </c>
      <c r="AC36" s="1309">
        <f t="shared" si="5"/>
        <v>1</v>
      </c>
    </row>
    <row r="37" spans="1:29" s="1059" customFormat="1" ht="15">
      <c r="A37" s="549"/>
      <c r="B37" s="1554" t="s">
        <v>1848</v>
      </c>
      <c r="C37" s="548" t="s">
        <v>3361</v>
      </c>
      <c r="D37" s="235">
        <v>100</v>
      </c>
      <c r="E37" s="548" t="s">
        <v>3361</v>
      </c>
      <c r="F37" s="525">
        <f>SUMIF(112:112,E37,113:113)-SUMIF(112:112,C37,113:113)+100</f>
        <v>100</v>
      </c>
      <c r="G37" s="548" t="s">
        <v>3361</v>
      </c>
      <c r="H37" s="490">
        <f>SUMIF(112:112,G37,113:113)-SUMIF(112:112,C37,113:113)+100</f>
        <v>100</v>
      </c>
      <c r="I37" s="548" t="s">
        <v>3361</v>
      </c>
      <c r="J37" s="490">
        <f>SUMIF(112:112,I37,113:113)-SUMIF(112:112,C37,113:113)+100</f>
        <v>100</v>
      </c>
      <c r="K37" s="533">
        <v>1</v>
      </c>
      <c r="L37" s="1743"/>
      <c r="M37" s="1640"/>
      <c r="N37" s="1640"/>
      <c r="O37" s="1744"/>
      <c r="P37" s="3599"/>
      <c r="Q37" s="818" t="str">
        <f t="shared" si="8"/>
        <v>市政基础设施</v>
      </c>
      <c r="R37" s="1303" t="s">
        <v>5</v>
      </c>
      <c r="S37" s="1304">
        <f t="shared" si="9"/>
        <v>100</v>
      </c>
      <c r="T37" s="1303" t="s">
        <v>5</v>
      </c>
      <c r="U37" s="1304">
        <f t="shared" si="10"/>
        <v>100</v>
      </c>
      <c r="V37" s="1303" t="s">
        <v>5</v>
      </c>
      <c r="W37" s="1304">
        <f t="shared" si="11"/>
        <v>100</v>
      </c>
      <c r="X37" s="1305"/>
      <c r="Y37" s="3599"/>
      <c r="Z37" s="996" t="str">
        <f t="shared" si="12"/>
        <v>市政基础设施</v>
      </c>
      <c r="AA37" s="996">
        <f t="shared" si="3"/>
        <v>1</v>
      </c>
      <c r="AB37" s="996">
        <f t="shared" si="4"/>
        <v>1</v>
      </c>
      <c r="AC37" s="996">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9"/>
      <c r="M38" s="1742"/>
      <c r="N38" s="1742"/>
      <c r="O38" s="1748"/>
      <c r="P38" s="3599" t="s">
        <v>706</v>
      </c>
      <c r="Q38" s="1306" t="str">
        <f t="shared" si="8"/>
        <v>业态</v>
      </c>
      <c r="R38" s="1307" t="s">
        <v>5</v>
      </c>
      <c r="S38" s="1308">
        <f t="shared" si="9"/>
        <v>100</v>
      </c>
      <c r="T38" s="1307" t="s">
        <v>5</v>
      </c>
      <c r="U38" s="1308">
        <f t="shared" si="10"/>
        <v>100</v>
      </c>
      <c r="V38" s="1307" t="s">
        <v>5</v>
      </c>
      <c r="W38" s="1308">
        <f t="shared" si="11"/>
        <v>100</v>
      </c>
      <c r="X38" s="1302"/>
      <c r="Y38" s="3599" t="s">
        <v>706</v>
      </c>
      <c r="Z38" s="1309" t="str">
        <f t="shared" si="12"/>
        <v>业态</v>
      </c>
      <c r="AA38" s="1309">
        <f t="shared" si="3"/>
        <v>1</v>
      </c>
      <c r="AB38" s="1309">
        <f t="shared" si="4"/>
        <v>1</v>
      </c>
      <c r="AC38" s="1309">
        <f t="shared" si="5"/>
        <v>1</v>
      </c>
    </row>
    <row r="39" spans="1:29" ht="15">
      <c r="A39" s="543"/>
      <c r="B39" s="477" t="s">
        <v>707</v>
      </c>
      <c r="C39" s="548" t="s">
        <v>3369</v>
      </c>
      <c r="D39" s="490">
        <v>100</v>
      </c>
      <c r="E39" s="548" t="s">
        <v>3369</v>
      </c>
      <c r="F39" s="525">
        <f>SUMIF(116:116,E39,117:117)-SUMIF(116:116,C39,117:117)+100</f>
        <v>100</v>
      </c>
      <c r="G39" s="548" t="s">
        <v>3369</v>
      </c>
      <c r="H39" s="490">
        <f>SUMIF(116:116,G39,117:117)-SUMIF(116:116,C39,117:117)+100</f>
        <v>100</v>
      </c>
      <c r="I39" s="548" t="s">
        <v>3369</v>
      </c>
      <c r="J39" s="490">
        <f>SUMIF(116:116,I39,117:117)-SUMIF(116:116,C39,117:117)+100</f>
        <v>100</v>
      </c>
      <c r="K39" s="533">
        <v>2</v>
      </c>
      <c r="L39" s="1749"/>
      <c r="M39" s="1742"/>
      <c r="N39" s="1742"/>
      <c r="O39" s="1748"/>
      <c r="P39" s="3599"/>
      <c r="Q39" s="1306" t="str">
        <f t="shared" si="8"/>
        <v>层高</v>
      </c>
      <c r="R39" s="1307" t="s">
        <v>5</v>
      </c>
      <c r="S39" s="1308">
        <f t="shared" si="9"/>
        <v>100</v>
      </c>
      <c r="T39" s="1307" t="s">
        <v>5</v>
      </c>
      <c r="U39" s="1308">
        <f t="shared" si="10"/>
        <v>100</v>
      </c>
      <c r="V39" s="1307" t="s">
        <v>5</v>
      </c>
      <c r="W39" s="1308">
        <f t="shared" si="11"/>
        <v>100</v>
      </c>
      <c r="X39" s="1302"/>
      <c r="Y39" s="3599"/>
      <c r="Z39" s="1309" t="str">
        <f t="shared" si="12"/>
        <v>层高</v>
      </c>
      <c r="AA39" s="1309">
        <f t="shared" si="3"/>
        <v>1</v>
      </c>
      <c r="AB39" s="1309">
        <f t="shared" si="4"/>
        <v>1</v>
      </c>
      <c r="AC39" s="1309">
        <f t="shared" si="5"/>
        <v>1</v>
      </c>
    </row>
    <row r="40" spans="1:29" ht="15">
      <c r="A40" s="543"/>
      <c r="B40" s="477" t="s">
        <v>708</v>
      </c>
      <c r="C40" s="826"/>
      <c r="D40" s="490">
        <v>100</v>
      </c>
      <c r="E40" s="826"/>
      <c r="F40" s="525">
        <f>SUMIF(118:118,E40,119:119)-SUMIF(118:118,C40,119:119)+100</f>
        <v>100</v>
      </c>
      <c r="G40" s="826"/>
      <c r="H40" s="490">
        <f>SUMIF(118:118,G40,119:119)-SUMIF(118:118,C40,119:119)+100</f>
        <v>100</v>
      </c>
      <c r="I40" s="826"/>
      <c r="J40" s="490">
        <f>SUMIF(118:118,I40,119:119)-SUMIF(118:118,C40,119:119)+100</f>
        <v>100</v>
      </c>
      <c r="K40" s="531"/>
      <c r="L40" s="1749"/>
      <c r="M40" s="1742"/>
      <c r="N40" s="1742"/>
      <c r="O40" s="1748"/>
      <c r="P40" s="3599"/>
      <c r="Q40" s="1306" t="str">
        <f t="shared" si="8"/>
        <v>单套建筑面积</v>
      </c>
      <c r="R40" s="1307" t="s">
        <v>5</v>
      </c>
      <c r="S40" s="1308">
        <f t="shared" si="9"/>
        <v>100</v>
      </c>
      <c r="T40" s="1307" t="s">
        <v>5</v>
      </c>
      <c r="U40" s="1308">
        <f t="shared" si="10"/>
        <v>100</v>
      </c>
      <c r="V40" s="1307" t="s">
        <v>5</v>
      </c>
      <c r="W40" s="1308">
        <f t="shared" si="11"/>
        <v>100</v>
      </c>
      <c r="X40" s="1302"/>
      <c r="Y40" s="3599"/>
      <c r="Z40" s="1309" t="str">
        <f t="shared" si="12"/>
        <v>单套建筑面积</v>
      </c>
      <c r="AA40" s="1309">
        <f t="shared" si="3"/>
        <v>1</v>
      </c>
      <c r="AB40" s="1309">
        <f t="shared" si="4"/>
        <v>1</v>
      </c>
      <c r="AC40" s="1309">
        <f t="shared" si="5"/>
        <v>1</v>
      </c>
    </row>
    <row r="41" spans="1:29" s="1133"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7"/>
      <c r="M41" s="1771"/>
      <c r="N41" s="1771"/>
      <c r="O41" s="1750"/>
      <c r="P41" s="3599"/>
      <c r="Q41" s="819" t="str">
        <f t="shared" si="8"/>
        <v>进深比</v>
      </c>
      <c r="R41" s="1310" t="s">
        <v>5</v>
      </c>
      <c r="S41" s="1311">
        <f t="shared" si="9"/>
        <v>100</v>
      </c>
      <c r="T41" s="1310" t="s">
        <v>5</v>
      </c>
      <c r="U41" s="1311">
        <f t="shared" si="10"/>
        <v>100</v>
      </c>
      <c r="V41" s="1310" t="s">
        <v>5</v>
      </c>
      <c r="W41" s="1311">
        <f t="shared" si="11"/>
        <v>100</v>
      </c>
      <c r="X41" s="1312"/>
      <c r="Y41" s="3599"/>
      <c r="Z41" s="1313" t="str">
        <f t="shared" si="12"/>
        <v>进深比</v>
      </c>
      <c r="AA41" s="1309">
        <f t="shared" si="3"/>
        <v>1</v>
      </c>
      <c r="AB41" s="1309">
        <f t="shared" si="4"/>
        <v>1</v>
      </c>
      <c r="AC41" s="1309">
        <f t="shared" si="5"/>
        <v>1</v>
      </c>
    </row>
    <row r="42" spans="1:29" ht="15">
      <c r="A42" s="543"/>
      <c r="B42" s="477" t="s">
        <v>710</v>
      </c>
      <c r="C42" s="548" t="s">
        <v>3373</v>
      </c>
      <c r="D42" s="490">
        <v>100</v>
      </c>
      <c r="E42" s="548" t="s">
        <v>3371</v>
      </c>
      <c r="F42" s="525">
        <f>SUMIF(122:122,E42,123:123)-SUMIF(122:122,C42,123:123)+100</f>
        <v>103</v>
      </c>
      <c r="G42" s="548" t="s">
        <v>3371</v>
      </c>
      <c r="H42" s="490">
        <f>SUMIF(122:122,G42,123:123)-SUMIF(122:122,C42,123:123)+100</f>
        <v>103</v>
      </c>
      <c r="I42" s="548" t="s">
        <v>3371</v>
      </c>
      <c r="J42" s="490">
        <f>SUMIF(122:122,I42,123:123)-SUMIF(122:122,C42,123:123)+100</f>
        <v>103</v>
      </c>
      <c r="K42" s="533">
        <v>3</v>
      </c>
      <c r="L42" s="1749"/>
      <c r="M42" s="1742"/>
      <c r="N42" s="1742"/>
      <c r="O42" s="1748"/>
      <c r="P42" s="3599"/>
      <c r="Q42" s="1306" t="str">
        <f t="shared" si="8"/>
        <v>内部装修</v>
      </c>
      <c r="R42" s="1307" t="s">
        <v>5</v>
      </c>
      <c r="S42" s="1308">
        <f t="shared" si="9"/>
        <v>103</v>
      </c>
      <c r="T42" s="1307" t="s">
        <v>5</v>
      </c>
      <c r="U42" s="1308">
        <f t="shared" si="10"/>
        <v>103</v>
      </c>
      <c r="V42" s="1307" t="s">
        <v>5</v>
      </c>
      <c r="W42" s="1308">
        <f t="shared" si="11"/>
        <v>103</v>
      </c>
      <c r="X42" s="1302"/>
      <c r="Y42" s="3599"/>
      <c r="Z42" s="1309" t="str">
        <f t="shared" si="12"/>
        <v>内部装修</v>
      </c>
      <c r="AA42" s="1309">
        <f t="shared" si="3"/>
        <v>0.970873786407767</v>
      </c>
      <c r="AB42" s="1309">
        <f t="shared" si="4"/>
        <v>0.970873786407767</v>
      </c>
      <c r="AC42" s="1309">
        <f t="shared" si="5"/>
        <v>0.970873786407767</v>
      </c>
    </row>
    <row r="43" spans="1:29" ht="27">
      <c r="A43" s="543"/>
      <c r="B43" s="477" t="s">
        <v>682</v>
      </c>
      <c r="C43" s="548" t="s">
        <v>3345</v>
      </c>
      <c r="D43" s="490">
        <v>100</v>
      </c>
      <c r="E43" s="548" t="s">
        <v>3345</v>
      </c>
      <c r="F43" s="525">
        <f>SUMIF(124:124,E43,125:125)-SUMIF(124:124,C43,125:125)+100</f>
        <v>100</v>
      </c>
      <c r="G43" s="548" t="s">
        <v>3345</v>
      </c>
      <c r="H43" s="490">
        <f>SUMIF(124:124,G43,125:125)-SUMIF(124:124,C43,125:125)+100</f>
        <v>100</v>
      </c>
      <c r="I43" s="548" t="s">
        <v>3345</v>
      </c>
      <c r="J43" s="490">
        <f>SUMIF(124:124,I43,125:125)-SUMIF(124:124,C43,125:125)+100</f>
        <v>100</v>
      </c>
      <c r="K43" s="533">
        <v>2</v>
      </c>
      <c r="L43" s="1749"/>
      <c r="M43" s="1742"/>
      <c r="N43" s="1742"/>
      <c r="O43" s="1748"/>
      <c r="P43" s="3599"/>
      <c r="Q43" s="1306" t="str">
        <f t="shared" si="8"/>
        <v>内部装修维护情况</v>
      </c>
      <c r="R43" s="1307" t="s">
        <v>5</v>
      </c>
      <c r="S43" s="1308">
        <f t="shared" si="9"/>
        <v>100</v>
      </c>
      <c r="T43" s="1307" t="s">
        <v>5</v>
      </c>
      <c r="U43" s="1308">
        <f t="shared" si="10"/>
        <v>100</v>
      </c>
      <c r="V43" s="1307" t="s">
        <v>5</v>
      </c>
      <c r="W43" s="1308">
        <f t="shared" si="11"/>
        <v>100</v>
      </c>
      <c r="X43" s="1302"/>
      <c r="Y43" s="3599"/>
      <c r="Z43" s="1309" t="str">
        <f t="shared" si="12"/>
        <v>内部装修维护情况</v>
      </c>
      <c r="AA43" s="1309">
        <f t="shared" si="3"/>
        <v>1</v>
      </c>
      <c r="AB43" s="1309">
        <f t="shared" si="4"/>
        <v>1</v>
      </c>
      <c r="AC43" s="1309">
        <f t="shared" si="5"/>
        <v>1</v>
      </c>
    </row>
    <row r="44" spans="1:29" s="1059"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3"/>
      <c r="M44" s="1640"/>
      <c r="N44" s="1640"/>
      <c r="O44" s="1744"/>
      <c r="P44" s="3599"/>
      <c r="Q44" s="818">
        <f t="shared" si="8"/>
        <v>111</v>
      </c>
      <c r="R44" s="1303" t="s">
        <v>5</v>
      </c>
      <c r="S44" s="1304">
        <f t="shared" si="9"/>
        <v>100</v>
      </c>
      <c r="T44" s="1303" t="s">
        <v>5</v>
      </c>
      <c r="U44" s="1304">
        <f t="shared" si="10"/>
        <v>100</v>
      </c>
      <c r="V44" s="1303" t="s">
        <v>5</v>
      </c>
      <c r="W44" s="1304">
        <f t="shared" si="11"/>
        <v>100</v>
      </c>
      <c r="X44" s="1305"/>
      <c r="Y44" s="3599"/>
      <c r="Z44" s="996">
        <f t="shared" si="12"/>
        <v>111</v>
      </c>
      <c r="AA44" s="996">
        <f t="shared" si="3"/>
        <v>1</v>
      </c>
      <c r="AB44" s="996">
        <f t="shared" si="4"/>
        <v>1</v>
      </c>
      <c r="AC44" s="996">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9"/>
      <c r="M45" s="1742"/>
      <c r="N45" s="1742"/>
      <c r="O45" s="1748"/>
      <c r="P45" s="3599"/>
      <c r="Q45" s="1306">
        <f t="shared" si="8"/>
        <v>111</v>
      </c>
      <c r="R45" s="1307" t="s">
        <v>5</v>
      </c>
      <c r="S45" s="1308">
        <f t="shared" si="9"/>
        <v>100</v>
      </c>
      <c r="T45" s="1307" t="s">
        <v>5</v>
      </c>
      <c r="U45" s="1308">
        <f t="shared" si="10"/>
        <v>100</v>
      </c>
      <c r="V45" s="1307" t="s">
        <v>5</v>
      </c>
      <c r="W45" s="1308">
        <f t="shared" si="11"/>
        <v>100</v>
      </c>
      <c r="X45" s="1302"/>
      <c r="Y45" s="3599"/>
      <c r="Z45" s="1309">
        <f t="shared" si="12"/>
        <v>111</v>
      </c>
      <c r="AA45" s="1309">
        <f t="shared" si="3"/>
        <v>1</v>
      </c>
      <c r="AB45" s="1309">
        <f t="shared" si="4"/>
        <v>1</v>
      </c>
      <c r="AC45" s="1309">
        <f t="shared" si="5"/>
        <v>1</v>
      </c>
    </row>
    <row r="46" spans="1:29" ht="15.75"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9"/>
      <c r="M46" s="1742"/>
      <c r="N46" s="1742"/>
      <c r="O46" s="1748"/>
      <c r="P46" s="3710"/>
      <c r="Q46" s="1306">
        <f t="shared" si="8"/>
        <v>111</v>
      </c>
      <c r="R46" s="1307" t="s">
        <v>5</v>
      </c>
      <c r="S46" s="1308">
        <f t="shared" si="9"/>
        <v>100</v>
      </c>
      <c r="T46" s="1307" t="s">
        <v>5</v>
      </c>
      <c r="U46" s="1308">
        <f t="shared" si="10"/>
        <v>100</v>
      </c>
      <c r="V46" s="1307" t="s">
        <v>5</v>
      </c>
      <c r="W46" s="1308">
        <f t="shared" si="11"/>
        <v>100</v>
      </c>
      <c r="X46" s="1302"/>
      <c r="Y46" s="3710"/>
      <c r="Z46" s="1309">
        <f t="shared" si="12"/>
        <v>111</v>
      </c>
      <c r="AA46" s="1309">
        <f t="shared" si="3"/>
        <v>1</v>
      </c>
      <c r="AB46" s="1309">
        <f t="shared" si="4"/>
        <v>1</v>
      </c>
      <c r="AC46" s="1309">
        <f t="shared" si="5"/>
        <v>1</v>
      </c>
    </row>
    <row r="47" spans="1:29" ht="15">
      <c r="A47" s="556" t="s">
        <v>683</v>
      </c>
      <c r="B47" s="812"/>
      <c r="C47" s="2081" t="s">
        <v>0</v>
      </c>
      <c r="D47" s="559"/>
      <c r="E47" s="560">
        <v>9134</v>
      </c>
      <c r="F47" s="561"/>
      <c r="G47" s="562">
        <v>8206</v>
      </c>
      <c r="H47" s="563"/>
      <c r="I47" s="560">
        <v>9278</v>
      </c>
      <c r="J47" s="563"/>
      <c r="K47" s="1335"/>
      <c r="L47" s="1751"/>
      <c r="M47" s="1742"/>
      <c r="N47" s="1742"/>
      <c r="O47" s="1742"/>
      <c r="P47" s="3594" t="str">
        <f>A47</f>
        <v>成交单价（元/平方米）</v>
      </c>
      <c r="Q47" s="3594"/>
      <c r="R47" s="3610">
        <f>E47</f>
        <v>9134</v>
      </c>
      <c r="S47" s="3610"/>
      <c r="T47" s="3610">
        <f>G47</f>
        <v>8206</v>
      </c>
      <c r="U47" s="3610"/>
      <c r="V47" s="3610">
        <f>I47</f>
        <v>9278</v>
      </c>
      <c r="W47" s="3610"/>
      <c r="X47" s="799"/>
      <c r="Y47" s="1314"/>
      <c r="Z47" s="799"/>
      <c r="AA47" s="799"/>
      <c r="AB47" s="799"/>
      <c r="AC47" s="799"/>
    </row>
    <row r="48" spans="1:29" ht="15.75" thickBot="1">
      <c r="A48" s="564" t="s">
        <v>2042</v>
      </c>
      <c r="B48" s="813"/>
      <c r="C48" s="2082">
        <f>R49</f>
        <v>7125</v>
      </c>
      <c r="D48" s="2550" t="s">
        <v>2256</v>
      </c>
      <c r="E48" s="2083">
        <f>R48</f>
        <v>7335</v>
      </c>
      <c r="F48" s="2551"/>
      <c r="G48" s="2082">
        <f>T48</f>
        <v>6590</v>
      </c>
      <c r="H48" s="2551"/>
      <c r="I48" s="2083">
        <f>V48</f>
        <v>7451</v>
      </c>
      <c r="J48" s="2551"/>
      <c r="K48" s="2558">
        <f>F48+H48+J48</f>
        <v>0</v>
      </c>
      <c r="L48" s="1751"/>
      <c r="M48" s="1742"/>
      <c r="N48" s="1742"/>
      <c r="O48" s="1742"/>
      <c r="P48" s="3594" t="str">
        <f>A48</f>
        <v>比较价格（元/平方米）</v>
      </c>
      <c r="Q48" s="3594"/>
      <c r="R48" s="3610">
        <f>IF(F1="售价",ROUND(PRODUCT(R47,AA7:AA46),0),ROUND(PRODUCT(R47,AA7:AA46),1))</f>
        <v>7335</v>
      </c>
      <c r="S48" s="3610"/>
      <c r="T48" s="3610">
        <f>IF(F1="售价",ROUND(PRODUCT(T47,AB7:AB46),0),ROUND(PRODUCT(T47,AB7:AB46),1))</f>
        <v>6590</v>
      </c>
      <c r="U48" s="3610"/>
      <c r="V48" s="3610">
        <f>IF(F1="售价",ROUND(PRODUCT(V47,AC7:AC46),0),ROUND(PRODUCT(V47,AC7:AC46),1))</f>
        <v>7451</v>
      </c>
      <c r="W48" s="3610"/>
      <c r="X48" s="799"/>
      <c r="Y48" s="799"/>
      <c r="Z48" s="799"/>
      <c r="AA48" s="799"/>
      <c r="AB48" s="799"/>
      <c r="AC48" s="799"/>
    </row>
    <row r="49" spans="1:29" ht="15.75" thickBot="1">
      <c r="A49" s="568" t="s">
        <v>2193</v>
      </c>
      <c r="B49" s="569"/>
      <c r="C49" s="469">
        <f>R49</f>
        <v>7125</v>
      </c>
      <c r="D49" s="469"/>
      <c r="E49" s="469"/>
      <c r="F49" s="469"/>
      <c r="G49" s="469"/>
      <c r="H49" s="469"/>
      <c r="I49" s="469"/>
      <c r="J49" s="469"/>
      <c r="K49" s="1336"/>
      <c r="L49" s="1751"/>
      <c r="M49" s="1742"/>
      <c r="N49" s="1742"/>
      <c r="O49" s="1742"/>
      <c r="P49" s="3600" t="str">
        <f>A49</f>
        <v>估价对象XX用房的比较价格（楼面单价，元/平方米）</v>
      </c>
      <c r="Q49" s="3601"/>
      <c r="R49" s="3709">
        <f>IF(F1="售价",ROUND(IF(D48="简单平均",AVERAGE(R48:V48),R48*F48+T48*H48+V48*J48),0),ROUND(IF(D48="简单平均",AVERAGE(R48:V48),R48*F48+T48*H48+V48*J48),1))</f>
        <v>7125</v>
      </c>
      <c r="S49" s="3709"/>
      <c r="T49" s="3709"/>
      <c r="U49" s="3709"/>
      <c r="V49" s="3709"/>
      <c r="W49" s="3709"/>
      <c r="X49" s="799"/>
      <c r="Y49" s="799"/>
      <c r="Z49" s="799"/>
      <c r="AA49" s="799"/>
      <c r="AB49" s="799"/>
      <c r="AC49" s="799"/>
    </row>
    <row r="50" spans="1:29">
      <c r="A50" s="2721"/>
      <c r="B50" s="2721"/>
      <c r="C50" s="2721"/>
      <c r="D50" s="2721"/>
      <c r="E50" s="2721"/>
      <c r="F50" s="2721"/>
      <c r="G50" s="2723"/>
      <c r="H50" s="2721"/>
      <c r="I50" s="2721">
        <v>0.98</v>
      </c>
      <c r="J50" s="2721"/>
      <c r="K50" s="2724"/>
      <c r="L50" s="1755"/>
      <c r="M50" s="1742"/>
      <c r="N50" s="1742"/>
      <c r="O50" s="1742"/>
      <c r="P50" s="1742"/>
      <c r="Q50" s="1742"/>
      <c r="R50" s="1742"/>
      <c r="S50" s="1742"/>
      <c r="T50" s="1742"/>
      <c r="U50" s="1742"/>
      <c r="V50" s="1742"/>
      <c r="W50" s="1742"/>
      <c r="X50" s="1742"/>
      <c r="Y50" s="1742"/>
      <c r="Z50" s="1742"/>
      <c r="AA50" s="1742"/>
      <c r="AB50" s="1742"/>
      <c r="AC50" s="1742"/>
    </row>
    <row r="51" spans="1:29">
      <c r="A51" s="2721"/>
      <c r="B51" s="2721"/>
      <c r="C51" s="2721"/>
      <c r="D51" s="2721"/>
      <c r="E51" s="2721"/>
      <c r="F51" s="2721"/>
      <c r="G51" s="2721"/>
      <c r="H51" s="2721"/>
      <c r="I51" s="2721"/>
      <c r="J51" s="2721"/>
      <c r="K51" s="2724"/>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21"/>
      <c r="B52" s="2721"/>
      <c r="C52" s="571" t="s">
        <v>506</v>
      </c>
      <c r="D52" s="572"/>
      <c r="E52" s="573">
        <f>IF(E47&lt;E48,E48/E47-1,E47/E48-1)</f>
        <v>0.24526244035446498</v>
      </c>
      <c r="F52" s="574" t="str">
        <f>IF(OR(E52&gt;=0.3,E52&lt;=-0.3),"超过30%","")</f>
        <v/>
      </c>
      <c r="G52" s="573">
        <f>IF(G47&lt;G48,G48/G47-1,G47/G48-1)</f>
        <v>0.24522003034901374</v>
      </c>
      <c r="H52" s="574" t="str">
        <f>IF(OR(G52&gt;=0.3,G52&lt;=-0.3),"超过30%","")</f>
        <v/>
      </c>
      <c r="I52" s="573">
        <f>IF(I47&lt;I48,I48/I47-1,I47/I48-1)</f>
        <v>0.24520198631056234</v>
      </c>
      <c r="J52" s="574" t="str">
        <f>IF(OR(I52&gt;=0.3,I52&lt;=-0.3),"超过30%","")</f>
        <v/>
      </c>
      <c r="K52" s="2724"/>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21"/>
      <c r="B53" s="2721"/>
      <c r="C53" s="571" t="s">
        <v>507</v>
      </c>
      <c r="D53" s="575"/>
      <c r="E53" s="573">
        <f>IF(E48&lt;G48,G48/E48-1,E48/G48-1)</f>
        <v>0.11305007587253413</v>
      </c>
      <c r="F53" s="574" t="str">
        <f>IF(OR(E53&gt;=0.2,E53&lt;=-0.2),"超过20%","")</f>
        <v/>
      </c>
      <c r="G53" s="573">
        <f>IF(G48&lt;I48,I48/G48-1,G48/I48-1)</f>
        <v>0.13065250379362681</v>
      </c>
      <c r="H53" s="574" t="str">
        <f>IF(OR(G53&gt;=0.2,G53&lt;=-0.2),"超过20%","")</f>
        <v/>
      </c>
      <c r="I53" s="573">
        <f>IF(I48&lt;E48,E48/I48-1,I48/E48-1)</f>
        <v>1.5814587593728779E-2</v>
      </c>
      <c r="J53" s="574" t="str">
        <f>IF(OR(I53&gt;=0.2,I53&lt;=-0.2),"超过20%","")</f>
        <v/>
      </c>
      <c r="K53" s="2724"/>
      <c r="L53" s="1755"/>
      <c r="M53" s="1742"/>
      <c r="N53" s="1742"/>
      <c r="O53" s="1742"/>
      <c r="P53" s="1742"/>
      <c r="Q53" s="1742"/>
      <c r="R53" s="1742"/>
      <c r="S53" s="1742"/>
      <c r="T53" s="1742"/>
      <c r="U53" s="1742"/>
      <c r="V53" s="1742"/>
      <c r="W53" s="1742"/>
      <c r="X53" s="1742"/>
      <c r="Y53" s="1742"/>
      <c r="Z53" s="1742"/>
      <c r="AA53" s="1742"/>
      <c r="AB53" s="1742"/>
      <c r="AC53" s="1742"/>
    </row>
    <row r="54" spans="1:29" s="1138" customFormat="1" ht="13.5" customHeight="1">
      <c r="A54" s="2722"/>
      <c r="B54" s="2722"/>
      <c r="C54" s="571" t="s">
        <v>508</v>
      </c>
      <c r="D54" s="575"/>
      <c r="E54" s="573">
        <f>IF(E47&lt;G47,G47/E47-1,E47/G47-1)</f>
        <v>0.11308798440165724</v>
      </c>
      <c r="F54" s="574" t="str">
        <f>IF(OR(E54&gt;=0.3,E54&lt;=-0.3),"超过30%","")</f>
        <v/>
      </c>
      <c r="G54" s="573">
        <f>IF(G47&lt;I47,I47/G47-1,G47/I47-1)</f>
        <v>0.13063611991225943</v>
      </c>
      <c r="H54" s="574" t="str">
        <f>IF(OR(G54&gt;=0.3,G54&lt;=-0.3),"超过30%","")</f>
        <v/>
      </c>
      <c r="I54" s="573">
        <f>IF(I47&lt;E47,E47/I47-1,I47/E47-1)</f>
        <v>1.5765272607838776E-2</v>
      </c>
      <c r="J54" s="574" t="str">
        <f>IF(OR(I54&gt;=0.3,I54&lt;=-0.3),"超过30%","")</f>
        <v/>
      </c>
      <c r="K54" s="2725"/>
      <c r="L54" s="1758"/>
      <c r="M54" s="1752"/>
      <c r="N54" s="1752"/>
      <c r="O54" s="1752"/>
      <c r="P54" s="1752"/>
      <c r="Q54" s="1752"/>
      <c r="R54" s="1752"/>
      <c r="S54" s="1752"/>
      <c r="T54" s="1752"/>
      <c r="U54" s="1752"/>
      <c r="V54" s="1752"/>
      <c r="W54" s="1752"/>
      <c r="X54" s="1752"/>
      <c r="Y54" s="1752"/>
      <c r="Z54" s="1752"/>
      <c r="AA54" s="1752"/>
      <c r="AB54" s="1752"/>
      <c r="AC54" s="1752"/>
    </row>
    <row r="55" spans="1:29" s="1138"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42"/>
      <c r="E56" s="1742"/>
      <c r="F56" s="1742"/>
      <c r="G56" s="1742"/>
      <c r="H56" s="1742"/>
      <c r="I56" s="1742"/>
      <c r="J56" s="1742"/>
      <c r="K56" s="1754"/>
      <c r="L56" s="1755"/>
      <c r="M56" s="1742"/>
      <c r="N56" s="1742"/>
      <c r="O56" s="1742"/>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0" customFormat="1" ht="15">
      <c r="A58" s="592" t="s">
        <v>478</v>
      </c>
      <c r="B58" s="593"/>
      <c r="C58" s="2113" t="str">
        <f>YEAR(C7)&amp;"-"&amp;MONTH(C7)</f>
        <v>2023-5</v>
      </c>
      <c r="D58" s="2115">
        <f>EDATE(C58,-1)</f>
        <v>45017</v>
      </c>
      <c r="E58" s="2115">
        <f t="shared" ref="E58:O58" si="13">EDATE(D58,-1)</f>
        <v>44986</v>
      </c>
      <c r="F58" s="2115">
        <f t="shared" si="13"/>
        <v>44958</v>
      </c>
      <c r="G58" s="2115">
        <f t="shared" si="13"/>
        <v>44927</v>
      </c>
      <c r="H58" s="2115">
        <f t="shared" si="13"/>
        <v>44896</v>
      </c>
      <c r="I58" s="2115">
        <f t="shared" si="13"/>
        <v>44866</v>
      </c>
      <c r="J58" s="2115">
        <f t="shared" si="13"/>
        <v>44835</v>
      </c>
      <c r="K58" s="2115">
        <f t="shared" si="13"/>
        <v>44805</v>
      </c>
      <c r="L58" s="2115">
        <f t="shared" si="13"/>
        <v>44774</v>
      </c>
      <c r="M58" s="2115">
        <f t="shared" si="13"/>
        <v>44743</v>
      </c>
      <c r="N58" s="2115">
        <f t="shared" si="13"/>
        <v>44713</v>
      </c>
      <c r="O58" s="2115">
        <f t="shared" si="13"/>
        <v>44682</v>
      </c>
      <c r="P58" s="1765"/>
      <c r="Q58" s="1765"/>
      <c r="R58" s="1765"/>
      <c r="S58" s="1765"/>
      <c r="T58" s="1765"/>
      <c r="U58" s="1765"/>
      <c r="V58" s="1765"/>
      <c r="W58" s="1765"/>
      <c r="X58" s="1765"/>
      <c r="Y58" s="1765"/>
      <c r="Z58" s="1765"/>
      <c r="AA58" s="1765"/>
      <c r="AB58" s="1765"/>
      <c r="AC58" s="1765"/>
    </row>
    <row r="59" spans="1:29" s="1059" customFormat="1" ht="15">
      <c r="A59" s="527"/>
      <c r="B59" s="594"/>
      <c r="C59" s="595">
        <v>100</v>
      </c>
      <c r="D59" s="596">
        <v>100</v>
      </c>
      <c r="E59" s="596">
        <v>100</v>
      </c>
      <c r="F59" s="596">
        <v>100</v>
      </c>
      <c r="G59" s="596">
        <v>100</v>
      </c>
      <c r="H59" s="596">
        <v>100</v>
      </c>
      <c r="I59" s="596">
        <v>100</v>
      </c>
      <c r="J59" s="596">
        <v>100</v>
      </c>
      <c r="K59" s="596">
        <v>100</v>
      </c>
      <c r="L59" s="596"/>
      <c r="M59" s="487"/>
      <c r="N59" s="596"/>
      <c r="O59" s="597"/>
      <c r="P59" s="1763"/>
      <c r="Q59" s="1640"/>
      <c r="R59" s="1640"/>
      <c r="S59" s="1640"/>
      <c r="T59" s="1640"/>
      <c r="U59" s="1640"/>
      <c r="V59" s="1640"/>
      <c r="W59" s="1640"/>
      <c r="X59" s="1640"/>
      <c r="Y59" s="1640"/>
      <c r="Z59" s="1640"/>
      <c r="AA59" s="1640"/>
      <c r="AB59" s="1640"/>
      <c r="AC59" s="1640"/>
    </row>
    <row r="60" spans="1:29" s="1059"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59"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59" customFormat="1" ht="15.75"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045"/>
    </row>
    <row r="63" spans="1:29">
      <c r="A63" s="607" t="s">
        <v>525</v>
      </c>
      <c r="B63" s="608" t="s">
        <v>483</v>
      </c>
      <c r="C63" s="645" t="str">
        <f>C9</f>
        <v>商服</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3404" t="s">
        <v>3357</v>
      </c>
      <c r="D64" s="613"/>
      <c r="E64" s="613"/>
      <c r="F64" s="613"/>
      <c r="G64" s="613"/>
      <c r="H64" s="613"/>
      <c r="I64" s="613"/>
      <c r="J64" s="613"/>
      <c r="K64" s="613"/>
      <c r="L64" s="613"/>
      <c r="M64" s="61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0（含）-1</v>
      </c>
      <c r="D67" s="624" t="str">
        <f t="shared" ref="D67:L67" si="14">D68&amp;"（含）"&amp;"-"&amp;E68</f>
        <v>1（含）-2</v>
      </c>
      <c r="E67" s="624" t="str">
        <f t="shared" si="14"/>
        <v>2（含）-3</v>
      </c>
      <c r="F67" s="624" t="str">
        <f t="shared" si="14"/>
        <v>3（含）-4</v>
      </c>
      <c r="G67" s="624" t="str">
        <f t="shared" si="14"/>
        <v>4（含）-5</v>
      </c>
      <c r="H67" s="624" t="str">
        <f t="shared" si="14"/>
        <v>5（含）-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v>0</v>
      </c>
      <c r="D68" s="491">
        <v>1</v>
      </c>
      <c r="E68" s="491">
        <v>2</v>
      </c>
      <c r="F68" s="491">
        <v>3</v>
      </c>
      <c r="G68" s="491">
        <v>4</v>
      </c>
      <c r="H68" s="491">
        <v>5</v>
      </c>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3" customFormat="1" ht="15.75" thickTop="1">
      <c r="A70" s="629"/>
      <c r="B70" s="615">
        <f>B12</f>
        <v>0</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3"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3" customFormat="1" ht="15.75" thickTop="1">
      <c r="A72" s="629"/>
      <c r="B72" s="615">
        <f>B13</f>
        <v>0</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3" customFormat="1" ht="15.75" thickBot="1">
      <c r="A73" s="629"/>
      <c r="B73" s="620"/>
      <c r="C73" s="634"/>
      <c r="D73" s="613"/>
      <c r="E73" s="613"/>
      <c r="F73" s="613"/>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3" customFormat="1" ht="15.75" thickTop="1">
      <c r="A74" s="629"/>
      <c r="B74" s="623">
        <f>B14</f>
        <v>0</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3"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95</v>
      </c>
      <c r="E77" s="621">
        <f>D77-$K15</f>
        <v>90</v>
      </c>
      <c r="F77" s="621">
        <f>E77-$K15</f>
        <v>85</v>
      </c>
      <c r="G77" s="621">
        <f>F77-$K15</f>
        <v>80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97</v>
      </c>
      <c r="E79" s="621">
        <f>D79-$K17</f>
        <v>94</v>
      </c>
      <c r="F79" s="621">
        <f>E79-$K17</f>
        <v>91</v>
      </c>
      <c r="G79" s="621">
        <f>F79-$K17</f>
        <v>88</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95</v>
      </c>
      <c r="E81" s="621">
        <f>D81-$K19</f>
        <v>90</v>
      </c>
      <c r="F81" s="621">
        <f>E81-$K19</f>
        <v>85</v>
      </c>
      <c r="G81" s="621">
        <f>F81-$K19</f>
        <v>80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99</v>
      </c>
      <c r="E83" s="621">
        <f>D83-$K21</f>
        <v>98</v>
      </c>
      <c r="F83" s="621">
        <f>E83-$K21</f>
        <v>97</v>
      </c>
      <c r="G83" s="621">
        <f>F83-$K21</f>
        <v>96</v>
      </c>
      <c r="H83" s="855"/>
      <c r="I83" s="855"/>
      <c r="J83" s="855"/>
      <c r="K83" s="855"/>
      <c r="L83" s="855"/>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97</v>
      </c>
      <c r="E85" s="621">
        <f>D85-$K23</f>
        <v>94</v>
      </c>
      <c r="F85" s="621">
        <f>E85-$K23</f>
        <v>91</v>
      </c>
      <c r="G85" s="621">
        <f>F85-$K23</f>
        <v>88</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59" customFormat="1" ht="15.75" thickTop="1">
      <c r="A86" s="486"/>
      <c r="B86" s="615" t="s">
        <v>711</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59"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59" customFormat="1" ht="15.75" thickTop="1">
      <c r="A88" s="486"/>
      <c r="B88" s="615" t="str">
        <f>B26</f>
        <v>平面位置/可视性</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34"/>
      <c r="D89" s="613"/>
      <c r="E89" s="613"/>
      <c r="F89" s="613"/>
      <c r="G89" s="613"/>
      <c r="H89" s="613"/>
      <c r="I89" s="613"/>
      <c r="J89" s="613"/>
      <c r="K89" s="613"/>
      <c r="L89" s="613"/>
      <c r="M89" s="613"/>
      <c r="N89" s="1768"/>
      <c r="O89" s="1768"/>
      <c r="P89" s="1766"/>
      <c r="Q89" s="1763"/>
      <c r="R89" s="1640"/>
      <c r="S89" s="1640"/>
      <c r="T89" s="1640"/>
      <c r="U89" s="1640"/>
      <c r="V89" s="1640"/>
      <c r="W89" s="1640"/>
      <c r="X89" s="1640"/>
      <c r="Y89" s="1640"/>
      <c r="Z89" s="1640"/>
      <c r="AA89" s="1640"/>
      <c r="AB89" s="1640"/>
      <c r="AC89" s="1640"/>
    </row>
    <row r="90" spans="1:29" s="1133" customFormat="1" ht="15.75" thickTop="1">
      <c r="A90" s="629"/>
      <c r="B90" s="615" t="str">
        <f>B27</f>
        <v>人流量</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3"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9"/>
      <c r="O91" s="1769"/>
      <c r="P91" s="1769"/>
      <c r="Q91" s="1770"/>
      <c r="R91" s="1771"/>
      <c r="S91" s="1771"/>
      <c r="T91" s="1771"/>
      <c r="U91" s="1771"/>
      <c r="V91" s="1771"/>
      <c r="W91" s="1771"/>
      <c r="X91" s="1771"/>
      <c r="Y91" s="1771"/>
      <c r="Z91" s="1771"/>
      <c r="AA91" s="1771"/>
      <c r="AB91" s="1771"/>
      <c r="AC91" s="1771"/>
    </row>
    <row r="92" spans="1:29" ht="15.75" thickTop="1">
      <c r="A92" s="482"/>
      <c r="B92" s="615" t="str">
        <f>B28</f>
        <v>楼层</v>
      </c>
      <c r="C92" s="630"/>
      <c r="D92" s="630"/>
      <c r="E92" s="630"/>
      <c r="F92" s="630"/>
      <c r="G92" s="630"/>
      <c r="H92" s="630"/>
      <c r="I92" s="630"/>
      <c r="J92" s="630"/>
      <c r="K92" s="630"/>
      <c r="L92" s="815"/>
      <c r="M92" s="816"/>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13"/>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13"/>
      <c r="E95" s="613"/>
      <c r="F95" s="613"/>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34"/>
      <c r="D97" s="613"/>
      <c r="E97" s="613"/>
      <c r="F97" s="613"/>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30"/>
      <c r="D98" s="630"/>
      <c r="E98" s="630"/>
      <c r="F98" s="630"/>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42"/>
      <c r="D99" s="642"/>
      <c r="E99" s="642"/>
      <c r="F99" s="642"/>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712</v>
      </c>
      <c r="C100" s="3399" t="s">
        <v>3364</v>
      </c>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98</v>
      </c>
      <c r="E101" s="621">
        <f t="shared" si="18"/>
        <v>96</v>
      </c>
      <c r="F101" s="621">
        <f t="shared" si="18"/>
        <v>94</v>
      </c>
      <c r="G101" s="621">
        <f t="shared" si="18"/>
        <v>92</v>
      </c>
      <c r="H101" s="621">
        <f t="shared" si="18"/>
        <v>90</v>
      </c>
      <c r="I101" s="621">
        <f t="shared" si="18"/>
        <v>88</v>
      </c>
      <c r="J101" s="621">
        <f t="shared" si="18"/>
        <v>86</v>
      </c>
      <c r="K101" s="621">
        <f t="shared" si="18"/>
        <v>84</v>
      </c>
      <c r="L101" s="621">
        <f t="shared" si="18"/>
        <v>82</v>
      </c>
      <c r="M101" s="622">
        <f t="shared" si="18"/>
        <v>80</v>
      </c>
      <c r="N101" s="1768"/>
      <c r="O101" s="1768"/>
      <c r="P101" s="1766"/>
      <c r="Q101" s="1763"/>
      <c r="R101" s="1742"/>
      <c r="S101" s="1742"/>
      <c r="T101" s="1742"/>
      <c r="U101" s="1742"/>
      <c r="V101" s="1742"/>
      <c r="W101" s="1742"/>
      <c r="X101" s="1742"/>
      <c r="Y101" s="1742"/>
      <c r="Z101" s="1742"/>
      <c r="AA101" s="1742"/>
      <c r="AB101" s="1742"/>
      <c r="AC101" s="1742"/>
    </row>
    <row r="102" spans="1:29" ht="15.75" thickTop="1">
      <c r="A102" s="482"/>
      <c r="B102" s="615" t="s">
        <v>688</v>
      </c>
      <c r="C102" s="649" t="str">
        <f>C103&amp;"(含)"&amp;"-"&amp;D103</f>
        <v>500(含)-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3" customFormat="1">
      <c r="A103" s="552"/>
      <c r="B103" s="668"/>
      <c r="C103" s="79">
        <v>500</v>
      </c>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0"/>
      <c r="C104" s="634">
        <v>100</v>
      </c>
      <c r="D104" s="613"/>
      <c r="E104" s="613"/>
      <c r="F104" s="613"/>
      <c r="G104" s="613"/>
      <c r="H104" s="613"/>
      <c r="I104" s="613"/>
      <c r="J104" s="613"/>
      <c r="K104" s="613"/>
      <c r="L104" s="613"/>
      <c r="M104" s="614"/>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3406" t="s">
        <v>3365</v>
      </c>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98</v>
      </c>
      <c r="E106" s="621">
        <f t="shared" si="20"/>
        <v>96</v>
      </c>
      <c r="F106" s="621">
        <f t="shared" si="20"/>
        <v>94</v>
      </c>
      <c r="G106" s="621">
        <f t="shared" si="20"/>
        <v>92</v>
      </c>
      <c r="H106" s="621">
        <f t="shared" si="20"/>
        <v>90</v>
      </c>
      <c r="I106" s="621">
        <f t="shared" si="20"/>
        <v>88</v>
      </c>
      <c r="J106" s="621">
        <f t="shared" si="20"/>
        <v>86</v>
      </c>
      <c r="K106" s="621">
        <f t="shared" si="20"/>
        <v>84</v>
      </c>
      <c r="L106" s="621">
        <f t="shared" si="20"/>
        <v>82</v>
      </c>
      <c r="M106" s="622">
        <f t="shared" si="20"/>
        <v>80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691</v>
      </c>
      <c r="C107" s="3406" t="s">
        <v>3367</v>
      </c>
      <c r="D107" s="630"/>
      <c r="E107" s="630"/>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98</v>
      </c>
      <c r="E108" s="621">
        <f t="shared" si="21"/>
        <v>96</v>
      </c>
      <c r="F108" s="621">
        <f t="shared" si="21"/>
        <v>94</v>
      </c>
      <c r="G108" s="621">
        <f t="shared" si="21"/>
        <v>92</v>
      </c>
      <c r="H108" s="621">
        <f t="shared" si="21"/>
        <v>90</v>
      </c>
      <c r="I108" s="621">
        <f t="shared" si="21"/>
        <v>88</v>
      </c>
      <c r="J108" s="621">
        <f t="shared" si="21"/>
        <v>86</v>
      </c>
      <c r="K108" s="621">
        <f t="shared" si="21"/>
        <v>84</v>
      </c>
      <c r="L108" s="621">
        <f t="shared" si="21"/>
        <v>82</v>
      </c>
      <c r="M108" s="622">
        <f t="shared" si="21"/>
        <v>80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c r="A110" s="543"/>
      <c r="B110" s="623"/>
      <c r="C110" s="818">
        <v>0.5</v>
      </c>
      <c r="D110" s="818">
        <v>0.6</v>
      </c>
      <c r="E110" s="818">
        <v>0.7</v>
      </c>
      <c r="F110" s="818">
        <v>0.8</v>
      </c>
      <c r="G110" s="818">
        <v>0.9</v>
      </c>
      <c r="H110" s="818">
        <v>1.0001</v>
      </c>
      <c r="I110" s="827"/>
      <c r="J110" s="827"/>
      <c r="K110" s="828"/>
      <c r="L110" s="829"/>
      <c r="M110" s="830"/>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8"/>
      <c r="O111" s="1768"/>
      <c r="P111" s="1766"/>
      <c r="Q111" s="1763"/>
      <c r="R111" s="1742"/>
      <c r="S111" s="1742"/>
      <c r="T111" s="1742"/>
      <c r="U111" s="1742"/>
      <c r="V111" s="1742"/>
      <c r="W111" s="1742"/>
      <c r="X111" s="1742"/>
      <c r="Y111" s="1742"/>
      <c r="Z111" s="1742"/>
      <c r="AA111" s="1742"/>
      <c r="AB111" s="1742"/>
      <c r="AC111" s="1742"/>
    </row>
    <row r="112" spans="1:29" s="1133" customFormat="1" ht="15" thickTop="1">
      <c r="A112" s="552"/>
      <c r="B112" s="1555" t="s">
        <v>1839</v>
      </c>
      <c r="C112" s="3406" t="s">
        <v>3368</v>
      </c>
      <c r="D112" s="630"/>
      <c r="E112" s="630"/>
      <c r="F112" s="630"/>
      <c r="G112" s="630"/>
      <c r="H112" s="658"/>
      <c r="I112" s="658"/>
      <c r="J112" s="658"/>
      <c r="K112" s="659"/>
      <c r="L112" s="660"/>
      <c r="M112" s="661"/>
      <c r="N112" s="1769"/>
      <c r="O112" s="1769"/>
      <c r="P112" s="1769"/>
      <c r="Q112" s="1770"/>
      <c r="R112" s="1771"/>
      <c r="S112" s="1771"/>
      <c r="T112" s="1771"/>
      <c r="U112" s="1771"/>
      <c r="V112" s="1771"/>
      <c r="W112" s="1771"/>
      <c r="X112" s="1771"/>
      <c r="Y112" s="1771"/>
      <c r="Z112" s="1771"/>
      <c r="AA112" s="1771"/>
      <c r="AB112" s="1771"/>
      <c r="AC112" s="1771"/>
    </row>
    <row r="113" spans="1:29" s="1133" customFormat="1" ht="15.75" thickBot="1">
      <c r="A113" s="629"/>
      <c r="B113" s="620"/>
      <c r="C113" s="621">
        <v>100</v>
      </c>
      <c r="D113" s="621">
        <f>C113-$K37</f>
        <v>99</v>
      </c>
      <c r="E113" s="621">
        <f t="shared" ref="E113:M113" si="23">D113-$K37</f>
        <v>98</v>
      </c>
      <c r="F113" s="621">
        <f t="shared" si="23"/>
        <v>97</v>
      </c>
      <c r="G113" s="621">
        <f t="shared" si="23"/>
        <v>96</v>
      </c>
      <c r="H113" s="621">
        <f t="shared" si="23"/>
        <v>95</v>
      </c>
      <c r="I113" s="621">
        <f t="shared" si="23"/>
        <v>94</v>
      </c>
      <c r="J113" s="621">
        <f t="shared" si="23"/>
        <v>93</v>
      </c>
      <c r="K113" s="621">
        <f t="shared" si="23"/>
        <v>92</v>
      </c>
      <c r="L113" s="621">
        <f t="shared" si="23"/>
        <v>91</v>
      </c>
      <c r="M113" s="621">
        <f t="shared" si="23"/>
        <v>90</v>
      </c>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713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615" t="s">
        <v>714</v>
      </c>
      <c r="C116" s="3406" t="s">
        <v>3370</v>
      </c>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98</v>
      </c>
      <c r="E117" s="621">
        <f>D117-$K39</f>
        <v>96</v>
      </c>
      <c r="F117" s="621">
        <f>E117-$K39</f>
        <v>94</v>
      </c>
      <c r="G117" s="621">
        <f>F117-$K39</f>
        <v>92</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715</v>
      </c>
      <c r="C118" s="831"/>
      <c r="D118" s="831"/>
      <c r="E118" s="831"/>
      <c r="F118" s="831"/>
      <c r="G118" s="831"/>
      <c r="H118" s="631"/>
      <c r="I118" s="631"/>
      <c r="J118" s="631"/>
      <c r="K118" s="631"/>
      <c r="L118" s="632"/>
      <c r="M118" s="633"/>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34"/>
      <c r="D119" s="613"/>
      <c r="E119" s="613"/>
      <c r="F119" s="613"/>
      <c r="G119" s="613"/>
      <c r="H119" s="613"/>
      <c r="I119" s="613"/>
      <c r="J119" s="613"/>
      <c r="K119" s="613"/>
      <c r="L119" s="613"/>
      <c r="M119" s="614"/>
      <c r="N119" s="1768"/>
      <c r="O119" s="1768"/>
      <c r="P119" s="1766"/>
      <c r="Q119" s="1763"/>
      <c r="R119" s="1742"/>
      <c r="S119" s="1742"/>
      <c r="T119" s="1742"/>
      <c r="U119" s="1742"/>
      <c r="V119" s="1742"/>
      <c r="W119" s="1742"/>
      <c r="X119" s="1742"/>
      <c r="Y119" s="1742"/>
      <c r="Z119" s="1742"/>
      <c r="AA119" s="1742"/>
      <c r="AB119" s="1742"/>
      <c r="AC119" s="1742"/>
    </row>
    <row r="120" spans="1:29" s="1133" customFormat="1" ht="15" thickTop="1">
      <c r="A120" s="552"/>
      <c r="B120" s="615" t="s">
        <v>716</v>
      </c>
      <c r="C120" s="658"/>
      <c r="D120" s="658"/>
      <c r="E120" s="658"/>
      <c r="F120" s="658"/>
      <c r="G120" s="631"/>
      <c r="H120" s="631"/>
      <c r="I120" s="631"/>
      <c r="J120" s="631"/>
      <c r="K120" s="631"/>
      <c r="L120" s="632"/>
      <c r="M120" s="633"/>
      <c r="N120" s="1769"/>
      <c r="O120" s="1769"/>
      <c r="P120" s="1769"/>
      <c r="Q120" s="1770"/>
      <c r="R120" s="1771"/>
      <c r="S120" s="1771"/>
      <c r="T120" s="1771"/>
      <c r="U120" s="1771"/>
      <c r="V120" s="1771"/>
      <c r="W120" s="1771"/>
      <c r="X120" s="1771"/>
      <c r="Y120" s="1771"/>
      <c r="Z120" s="1771"/>
      <c r="AA120" s="1771"/>
      <c r="AB120" s="1771"/>
      <c r="AC120" s="1771"/>
    </row>
    <row r="121" spans="1:29" s="1133"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3406" t="s">
        <v>3372</v>
      </c>
      <c r="D122" s="3406" t="s">
        <v>3374</v>
      </c>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6">C123-$K42</f>
        <v>97</v>
      </c>
      <c r="E123" s="621">
        <f t="shared" si="26"/>
        <v>94</v>
      </c>
      <c r="F123" s="621">
        <f t="shared" si="26"/>
        <v>91</v>
      </c>
      <c r="G123" s="621">
        <f t="shared" si="26"/>
        <v>88</v>
      </c>
      <c r="H123" s="621">
        <f t="shared" si="26"/>
        <v>85</v>
      </c>
      <c r="I123" s="621">
        <f t="shared" si="26"/>
        <v>82</v>
      </c>
      <c r="J123" s="621">
        <f t="shared" si="26"/>
        <v>79</v>
      </c>
      <c r="K123" s="621">
        <f t="shared" si="26"/>
        <v>76</v>
      </c>
      <c r="L123" s="621">
        <f t="shared" si="26"/>
        <v>73</v>
      </c>
      <c r="M123" s="622">
        <f t="shared" si="26"/>
        <v>70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98</v>
      </c>
      <c r="E125" s="621">
        <f>D125-$K43</f>
        <v>96</v>
      </c>
      <c r="F125" s="621">
        <f>E125-$K43</f>
        <v>94</v>
      </c>
      <c r="G125" s="621">
        <f>F125-$K43</f>
        <v>92</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3"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3"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13"/>
      <c r="E129" s="613"/>
      <c r="F129" s="613"/>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779"/>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779"/>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779"/>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779"/>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779"/>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779"/>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779"/>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779"/>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779"/>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779"/>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779"/>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779"/>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779"/>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779"/>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779"/>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779"/>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779"/>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779"/>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779"/>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779"/>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779"/>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779"/>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779"/>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779"/>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779"/>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779"/>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779"/>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779"/>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779"/>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779"/>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779"/>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779"/>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779"/>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779"/>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779"/>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779"/>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779"/>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779"/>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779"/>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779"/>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779"/>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779"/>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779"/>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779"/>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779"/>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779"/>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779"/>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779"/>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779"/>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779"/>
      <c r="Q318" s="1779"/>
      <c r="R318" s="1779"/>
      <c r="S318" s="1779"/>
      <c r="T318" s="1779"/>
      <c r="U318" s="1779"/>
      <c r="V318" s="1779"/>
      <c r="W318" s="1779"/>
      <c r="X318" s="1779"/>
      <c r="Y318" s="1779"/>
      <c r="Z318" s="1779"/>
      <c r="AA318" s="1779"/>
      <c r="AB318" s="1779"/>
      <c r="AC318" s="1779"/>
    </row>
    <row r="319" spans="1:29">
      <c r="N319" s="1779"/>
      <c r="O319" s="1779"/>
      <c r="P319" s="1779"/>
      <c r="Q319" s="1779"/>
      <c r="R319" s="1779"/>
      <c r="S319" s="1779"/>
      <c r="T319" s="1779"/>
      <c r="U319" s="1779"/>
      <c r="V319" s="1779"/>
      <c r="W319" s="1779"/>
      <c r="X319" s="1779"/>
      <c r="Y319" s="1779"/>
      <c r="Z319" s="1779"/>
      <c r="AA319" s="1779"/>
      <c r="AB319" s="1779"/>
      <c r="AC319" s="1779"/>
    </row>
    <row r="320" spans="1:29">
      <c r="AC320" s="1779"/>
    </row>
    <row r="321" spans="29:29">
      <c r="AC321" s="1779"/>
    </row>
    <row r="322" spans="29:29">
      <c r="AC322" s="1779"/>
    </row>
    <row r="323" spans="29:29">
      <c r="AC323" s="1779"/>
    </row>
    <row r="324" spans="29:29">
      <c r="AC324" s="1779"/>
    </row>
    <row r="325" spans="29:29">
      <c r="AC325" s="1779"/>
    </row>
    <row r="326" spans="29:29">
      <c r="AC326" s="1779"/>
    </row>
    <row r="327" spans="29:29">
      <c r="AC327" s="1779"/>
    </row>
    <row r="328" spans="29:29">
      <c r="AC328" s="1779"/>
    </row>
    <row r="329" spans="29:29">
      <c r="AC329" s="1779"/>
    </row>
    <row r="330" spans="29:29">
      <c r="AC330" s="1779"/>
    </row>
    <row r="331" spans="29:29">
      <c r="AC331" s="1779"/>
    </row>
    <row r="332" spans="29:29">
      <c r="AC332" s="1779"/>
    </row>
    <row r="333" spans="29:29">
      <c r="AC333" s="1779"/>
    </row>
    <row r="334" spans="29:29">
      <c r="AC334" s="1779"/>
    </row>
    <row r="335" spans="29:29">
      <c r="AC335" s="1779"/>
    </row>
    <row r="336" spans="29:29">
      <c r="AC336" s="1779"/>
    </row>
    <row r="337" spans="29:29">
      <c r="AC337" s="1779"/>
    </row>
    <row r="338" spans="29:29">
      <c r="AC338" s="1779"/>
    </row>
    <row r="339" spans="29:29">
      <c r="AC339" s="1779"/>
    </row>
    <row r="340" spans="29:29">
      <c r="AC340" s="1779"/>
    </row>
    <row r="341" spans="29:29">
      <c r="AC341" s="1779"/>
    </row>
    <row r="342" spans="29:29">
      <c r="AC342" s="1779"/>
    </row>
    <row r="343" spans="29:29">
      <c r="AC343" s="1779"/>
    </row>
    <row r="344" spans="29:29">
      <c r="AC344" s="1779"/>
    </row>
    <row r="345" spans="29:29">
      <c r="AC345" s="1779"/>
    </row>
    <row r="346" spans="29:29">
      <c r="AC346" s="1779"/>
    </row>
    <row r="347" spans="29:29">
      <c r="AC347" s="1779"/>
    </row>
    <row r="348" spans="29:29">
      <c r="AC348" s="1779"/>
    </row>
    <row r="349" spans="29:29">
      <c r="AC349" s="1779"/>
    </row>
    <row r="350" spans="29:29">
      <c r="AC350" s="1779"/>
    </row>
    <row r="351" spans="29:29">
      <c r="AC351" s="1779"/>
    </row>
    <row r="352" spans="29:29">
      <c r="AC352" s="1779"/>
    </row>
    <row r="353" spans="29:29">
      <c r="AC353" s="1779"/>
    </row>
    <row r="354" spans="29:29">
      <c r="AC354" s="1779"/>
    </row>
    <row r="355" spans="29:29">
      <c r="AC355" s="1779"/>
    </row>
    <row r="356" spans="29:29">
      <c r="AC356" s="1779"/>
    </row>
    <row r="357" spans="29:29">
      <c r="AC357" s="1779"/>
    </row>
    <row r="358" spans="29:29">
      <c r="AC358" s="1779"/>
    </row>
    <row r="359" spans="29:29">
      <c r="AC359" s="1779"/>
    </row>
    <row r="360" spans="29:29">
      <c r="AC360" s="1779"/>
    </row>
    <row r="361" spans="29:29">
      <c r="AC361" s="1779"/>
    </row>
    <row r="362" spans="29:29">
      <c r="AC362" s="1779"/>
    </row>
    <row r="363" spans="29:29">
      <c r="AC363" s="1779"/>
    </row>
    <row r="364" spans="29:29">
      <c r="AC364" s="1779"/>
    </row>
    <row r="365" spans="29:29">
      <c r="AC365" s="1779"/>
    </row>
    <row r="366" spans="29:29">
      <c r="AC366" s="1779"/>
    </row>
    <row r="367" spans="29:29">
      <c r="AC367" s="1779"/>
    </row>
    <row r="368" spans="29:29">
      <c r="AC368" s="1779"/>
    </row>
    <row r="369" spans="29:29">
      <c r="AC369" s="1779"/>
    </row>
    <row r="370" spans="29:29">
      <c r="AC370" s="1779"/>
    </row>
    <row r="371" spans="29:29">
      <c r="AC371" s="1779"/>
    </row>
    <row r="372" spans="29:29">
      <c r="AC372" s="1779"/>
    </row>
    <row r="373" spans="29:29">
      <c r="AC373" s="1779"/>
    </row>
    <row r="374" spans="29:29">
      <c r="AC374" s="1779"/>
    </row>
    <row r="375" spans="29:29">
      <c r="AC375" s="1779"/>
    </row>
    <row r="376" spans="29:29">
      <c r="AC376" s="1779"/>
    </row>
    <row r="377" spans="29:29">
      <c r="AC377" s="1779"/>
    </row>
    <row r="378" spans="29:29">
      <c r="AC378" s="1779"/>
    </row>
    <row r="379" spans="29:29">
      <c r="AC379" s="1779"/>
    </row>
    <row r="380" spans="29:29">
      <c r="AC380" s="1779"/>
    </row>
    <row r="381" spans="29:29">
      <c r="AC381" s="1779"/>
    </row>
    <row r="382" spans="29:29">
      <c r="AC382" s="1779"/>
    </row>
    <row r="383" spans="29:29">
      <c r="AC383" s="1779"/>
    </row>
    <row r="384" spans="29:29">
      <c r="AC384" s="1779"/>
    </row>
    <row r="385" spans="29:29">
      <c r="AC385" s="1779"/>
    </row>
    <row r="386" spans="29:29">
      <c r="AC386" s="1779"/>
    </row>
    <row r="387" spans="29:29">
      <c r="AC387" s="1779"/>
    </row>
    <row r="388" spans="29:29">
      <c r="AC388" s="1779"/>
    </row>
    <row r="389" spans="29:29">
      <c r="AC389" s="1779"/>
    </row>
    <row r="390" spans="29:29">
      <c r="AC390" s="1779"/>
    </row>
    <row r="391" spans="29:29">
      <c r="AC391" s="1779"/>
    </row>
    <row r="392" spans="29:29">
      <c r="AC392" s="1779"/>
    </row>
    <row r="393" spans="29:29">
      <c r="AC393" s="1779"/>
    </row>
    <row r="394" spans="29:29">
      <c r="AC394" s="1779"/>
    </row>
    <row r="395" spans="29:29">
      <c r="AC395" s="1779"/>
    </row>
    <row r="396" spans="29:29">
      <c r="AC396" s="1779"/>
    </row>
    <row r="397" spans="29:29">
      <c r="AC397" s="1779"/>
    </row>
    <row r="398" spans="29:29">
      <c r="AC398" s="1779"/>
    </row>
    <row r="399" spans="29:29">
      <c r="AC399" s="1779"/>
    </row>
    <row r="400" spans="29:29">
      <c r="AC400" s="1779"/>
    </row>
    <row r="401" spans="29:29">
      <c r="AC401" s="1779"/>
    </row>
    <row r="402" spans="29:29">
      <c r="AC402" s="1779"/>
    </row>
    <row r="403" spans="29:29">
      <c r="AC403" s="1779"/>
    </row>
    <row r="404" spans="29:29">
      <c r="AC404" s="1779"/>
    </row>
    <row r="405" spans="29:29">
      <c r="AC405" s="1779"/>
    </row>
    <row r="406" spans="29:29">
      <c r="AC406" s="1779"/>
    </row>
    <row r="407" spans="29:29">
      <c r="AC407" s="1779"/>
    </row>
    <row r="408" spans="29:29">
      <c r="AC408" s="1779"/>
    </row>
    <row r="409" spans="29:29">
      <c r="AC409" s="1779"/>
    </row>
    <row r="410" spans="29:29">
      <c r="AC410" s="1779"/>
    </row>
    <row r="411" spans="29:29">
      <c r="AC411" s="1779"/>
    </row>
    <row r="412" spans="29:29">
      <c r="AC412" s="1779"/>
    </row>
    <row r="413" spans="29:29">
      <c r="AC413" s="1779"/>
    </row>
    <row r="414" spans="29:29">
      <c r="AC414" s="1779"/>
    </row>
    <row r="415" spans="29:29">
      <c r="AC415" s="1779"/>
    </row>
    <row r="416" spans="29:29">
      <c r="AC416" s="1779"/>
    </row>
    <row r="417" spans="29:29">
      <c r="AC417" s="1779"/>
    </row>
    <row r="418" spans="29:29">
      <c r="AC418" s="1779"/>
    </row>
    <row r="419" spans="29:29">
      <c r="AC419" s="1779"/>
    </row>
    <row r="420" spans="29:29">
      <c r="AC420" s="1779"/>
    </row>
    <row r="421" spans="29:29">
      <c r="AC421" s="1779"/>
    </row>
    <row r="422" spans="29:29">
      <c r="AC422" s="1779"/>
    </row>
    <row r="423" spans="29:29">
      <c r="AC423" s="1779"/>
    </row>
    <row r="424" spans="29:29">
      <c r="AC424" s="1779"/>
    </row>
    <row r="425" spans="29:29">
      <c r="AC425" s="1779"/>
    </row>
    <row r="426" spans="29:29">
      <c r="AC426" s="1779"/>
    </row>
    <row r="427" spans="29:29">
      <c r="AC427" s="1779"/>
    </row>
    <row r="428" spans="29:29">
      <c r="AC428" s="1779"/>
    </row>
    <row r="429" spans="29:29">
      <c r="AC429" s="1779"/>
    </row>
    <row r="430" spans="29:29">
      <c r="AC430" s="1779"/>
    </row>
    <row r="431" spans="29:29">
      <c r="AC431" s="1779"/>
    </row>
    <row r="432" spans="29:29">
      <c r="AC432" s="1779"/>
    </row>
    <row r="433" spans="29:29">
      <c r="AC433" s="1779"/>
    </row>
    <row r="434" spans="29:29">
      <c r="AC434" s="1779"/>
    </row>
    <row r="435" spans="29:29">
      <c r="AC435" s="1779"/>
    </row>
    <row r="436" spans="29:29">
      <c r="AC436" s="1779"/>
    </row>
    <row r="437" spans="29:29">
      <c r="AC437" s="1779"/>
    </row>
    <row r="438" spans="29:29">
      <c r="AC438" s="1779"/>
    </row>
    <row r="439" spans="29:29">
      <c r="AC439" s="1779"/>
    </row>
    <row r="440" spans="29:29">
      <c r="AC440" s="1779"/>
    </row>
    <row r="441" spans="29:29">
      <c r="AC441" s="1779"/>
    </row>
    <row r="442" spans="29:29">
      <c r="AC442" s="1779"/>
    </row>
    <row r="443" spans="29:29">
      <c r="AC443" s="1779"/>
    </row>
    <row r="444" spans="29:29">
      <c r="AC444" s="1779"/>
    </row>
    <row r="445" spans="29:29">
      <c r="AC445" s="1779"/>
    </row>
    <row r="446" spans="29:29">
      <c r="AC446" s="1779"/>
    </row>
    <row r="447" spans="29:29">
      <c r="AC447" s="1779"/>
    </row>
    <row r="448" spans="29:29">
      <c r="AC448" s="1779"/>
    </row>
    <row r="449" spans="29:29">
      <c r="AC449" s="1779"/>
    </row>
    <row r="450" spans="29:29">
      <c r="AC450" s="1779"/>
    </row>
    <row r="451" spans="29:29">
      <c r="AC451" s="1779"/>
    </row>
    <row r="452" spans="29:29">
      <c r="AC452" s="1779"/>
    </row>
    <row r="453" spans="29:29">
      <c r="AC453" s="1779"/>
    </row>
    <row r="454" spans="29:29">
      <c r="AC454" s="1779"/>
    </row>
    <row r="455" spans="29:29">
      <c r="AC455" s="1779"/>
    </row>
    <row r="456" spans="29:29">
      <c r="AC456" s="1779"/>
    </row>
    <row r="457" spans="29:29">
      <c r="AC457" s="1779"/>
    </row>
    <row r="458" spans="29:29">
      <c r="AC458" s="1779"/>
    </row>
    <row r="459" spans="29:29">
      <c r="AC459" s="1779"/>
    </row>
    <row r="460" spans="29:29">
      <c r="AC460" s="1779"/>
    </row>
    <row r="461" spans="29:29">
      <c r="AC461" s="1779"/>
    </row>
    <row r="462" spans="29:29">
      <c r="AC462" s="1779"/>
    </row>
    <row r="463" spans="29:29">
      <c r="AC463" s="1779"/>
    </row>
    <row r="464" spans="29:29">
      <c r="AC464" s="1779"/>
    </row>
    <row r="465" spans="29:29">
      <c r="AC465" s="1779"/>
    </row>
    <row r="466" spans="29:29">
      <c r="AC466" s="1779"/>
    </row>
    <row r="467" spans="29:29">
      <c r="AC467" s="1779"/>
    </row>
    <row r="468" spans="29:29">
      <c r="AC468" s="1779"/>
    </row>
    <row r="469" spans="29:29">
      <c r="AC469" s="1779"/>
    </row>
    <row r="470" spans="29:29">
      <c r="AC470" s="1779"/>
    </row>
    <row r="471" spans="29:29">
      <c r="AC471" s="1779"/>
    </row>
    <row r="472" spans="29:29">
      <c r="AC472" s="1779"/>
    </row>
    <row r="473" spans="29:29">
      <c r="AC473" s="1779"/>
    </row>
    <row r="474" spans="29:29">
      <c r="AC474" s="1779"/>
    </row>
    <row r="475" spans="29:29">
      <c r="AC475" s="1779"/>
    </row>
    <row r="476" spans="29:29">
      <c r="AC476" s="1779"/>
    </row>
    <row r="477" spans="29:29">
      <c r="AC477" s="1779"/>
    </row>
    <row r="478" spans="29:29">
      <c r="AC478" s="1779"/>
    </row>
    <row r="479" spans="29:29">
      <c r="AC479" s="1779"/>
    </row>
    <row r="480" spans="29:29">
      <c r="AC480" s="1779"/>
    </row>
    <row r="481" spans="29:29">
      <c r="AC481" s="1779"/>
    </row>
    <row r="482" spans="29:29">
      <c r="AC482" s="1779"/>
    </row>
    <row r="483" spans="29:29">
      <c r="AC483" s="1779"/>
    </row>
    <row r="484" spans="29:29">
      <c r="AC484" s="1779"/>
    </row>
    <row r="485" spans="29:29">
      <c r="AC485" s="1779"/>
    </row>
    <row r="486" spans="29:29">
      <c r="AC486" s="1779"/>
    </row>
    <row r="487" spans="29:29">
      <c r="AC487" s="1779"/>
    </row>
    <row r="488" spans="29:29">
      <c r="AC488" s="1779"/>
    </row>
    <row r="489" spans="29:29">
      <c r="AC489" s="1779"/>
    </row>
    <row r="490" spans="29:29">
      <c r="AC490" s="1779"/>
    </row>
    <row r="491" spans="29:29">
      <c r="AC491" s="1779"/>
    </row>
    <row r="492" spans="29:29">
      <c r="AC492" s="1779"/>
    </row>
    <row r="493" spans="29:29">
      <c r="AC493" s="1779"/>
    </row>
    <row r="494" spans="29:29">
      <c r="AC494" s="1779"/>
    </row>
    <row r="495" spans="29:29">
      <c r="AC495" s="1779"/>
    </row>
    <row r="496" spans="29:29">
      <c r="AC496" s="1779"/>
    </row>
    <row r="497" spans="29:29">
      <c r="AC497" s="1779"/>
    </row>
    <row r="498" spans="29:29">
      <c r="AC498" s="1779"/>
    </row>
    <row r="499" spans="29:29">
      <c r="AC499" s="1779"/>
    </row>
    <row r="500" spans="29:29">
      <c r="AC500" s="1779"/>
    </row>
    <row r="501" spans="29:29">
      <c r="AC501" s="1779"/>
    </row>
    <row r="502" spans="29:29">
      <c r="AC502" s="1779"/>
    </row>
    <row r="503" spans="29:29">
      <c r="AC503" s="1779"/>
    </row>
    <row r="504" spans="29:29">
      <c r="AC504" s="1779"/>
    </row>
    <row r="505" spans="29:29">
      <c r="AC505" s="1779"/>
    </row>
    <row r="506" spans="29:29">
      <c r="AC506" s="1779"/>
    </row>
    <row r="507" spans="29:29">
      <c r="AC507" s="1779"/>
    </row>
    <row r="508" spans="29:29">
      <c r="AC508" s="1779"/>
    </row>
    <row r="509" spans="29:29">
      <c r="AC509" s="1779"/>
    </row>
    <row r="510" spans="29:29">
      <c r="AC510" s="1779"/>
    </row>
    <row r="511" spans="29:29">
      <c r="AC511" s="1779"/>
    </row>
    <row r="512" spans="29:29">
      <c r="AC512" s="1779"/>
    </row>
    <row r="513" spans="29:29">
      <c r="AC513" s="1779"/>
    </row>
    <row r="514" spans="29:29">
      <c r="AC514" s="1779"/>
    </row>
    <row r="515" spans="29:29">
      <c r="AC515" s="1779"/>
    </row>
    <row r="516" spans="29:29">
      <c r="AC516" s="1779"/>
    </row>
    <row r="517" spans="29:29">
      <c r="AC517" s="1779"/>
    </row>
    <row r="518" spans="29:29">
      <c r="AC518" s="1779"/>
    </row>
    <row r="519" spans="29:29">
      <c r="AC519" s="1779"/>
    </row>
    <row r="520" spans="29:29">
      <c r="AC520" s="1779"/>
    </row>
    <row r="521" spans="29:29">
      <c r="AC521" s="1779"/>
    </row>
    <row r="522" spans="29:29">
      <c r="AC522" s="1779"/>
    </row>
    <row r="523" spans="29:29">
      <c r="AC523" s="1779"/>
    </row>
    <row r="524" spans="29:29">
      <c r="AC524" s="1779"/>
    </row>
    <row r="525" spans="29:29">
      <c r="AC525" s="1779"/>
    </row>
    <row r="526" spans="29:29">
      <c r="AC526" s="1779"/>
    </row>
    <row r="527" spans="29:29">
      <c r="AC527" s="1779"/>
    </row>
    <row r="528" spans="29:29">
      <c r="AC528" s="1779"/>
    </row>
    <row r="529" spans="29:29">
      <c r="AC529" s="1779"/>
    </row>
    <row r="530" spans="29:29">
      <c r="AC530" s="1779"/>
    </row>
    <row r="531" spans="29:29">
      <c r="AC531" s="1779"/>
    </row>
    <row r="532" spans="29:29">
      <c r="AC532" s="1779"/>
    </row>
    <row r="533" spans="29:29">
      <c r="AC533" s="1779"/>
    </row>
    <row r="534" spans="29:29">
      <c r="AC534" s="1779"/>
    </row>
    <row r="535" spans="29:29">
      <c r="AC535" s="1779"/>
    </row>
    <row r="536" spans="29:29">
      <c r="AC536" s="1779"/>
    </row>
    <row r="537" spans="29:29">
      <c r="AC537" s="1779"/>
    </row>
    <row r="538" spans="29:29">
      <c r="AC538" s="1779"/>
    </row>
    <row r="539" spans="29:29">
      <c r="AC539" s="1779"/>
    </row>
    <row r="540" spans="29:29">
      <c r="AC540" s="1779"/>
    </row>
    <row r="541" spans="29:29">
      <c r="AC541" s="1779"/>
    </row>
    <row r="542" spans="29:29">
      <c r="AC542" s="1779"/>
    </row>
    <row r="543" spans="29:29">
      <c r="AC543" s="1779"/>
    </row>
    <row r="544" spans="29:29">
      <c r="AC544" s="1779"/>
    </row>
    <row r="545" spans="29:29">
      <c r="AC545" s="1779"/>
    </row>
    <row r="546" spans="29:29">
      <c r="AC546" s="1779"/>
    </row>
    <row r="547" spans="29:29">
      <c r="AC547" s="1779"/>
    </row>
    <row r="548" spans="29:29">
      <c r="AC548" s="1779"/>
    </row>
    <row r="549" spans="29:29">
      <c r="AC549" s="1779"/>
    </row>
    <row r="550" spans="29:29">
      <c r="AC550" s="1779"/>
    </row>
    <row r="551" spans="29:29">
      <c r="AC551" s="1779"/>
    </row>
    <row r="552" spans="29:29">
      <c r="AC552" s="1779"/>
    </row>
    <row r="553" spans="29:29">
      <c r="AC553" s="1779"/>
    </row>
    <row r="554" spans="29:29">
      <c r="AC554" s="1779"/>
    </row>
    <row r="555" spans="29:29">
      <c r="AC555" s="1779"/>
    </row>
    <row r="556" spans="29:29">
      <c r="AC556" s="1779"/>
    </row>
    <row r="557" spans="29:29">
      <c r="AC557" s="1779"/>
    </row>
    <row r="558" spans="29:29">
      <c r="AC558" s="1779"/>
    </row>
    <row r="559" spans="29:29">
      <c r="AC559" s="1779"/>
    </row>
    <row r="560" spans="29:29">
      <c r="AC560" s="1779"/>
    </row>
    <row r="561" spans="29:29">
      <c r="AC561" s="1779"/>
    </row>
    <row r="562" spans="29:29">
      <c r="AC562" s="1779"/>
    </row>
    <row r="563" spans="29:29">
      <c r="AC563" s="1779"/>
    </row>
    <row r="564" spans="29:29">
      <c r="AC564" s="1779"/>
    </row>
    <row r="565" spans="29:29">
      <c r="AC565" s="1779"/>
    </row>
    <row r="566" spans="29:29">
      <c r="AC566" s="1779"/>
    </row>
    <row r="567" spans="29:29">
      <c r="AC567" s="1779"/>
    </row>
    <row r="568" spans="29:29">
      <c r="AC568" s="1779"/>
    </row>
    <row r="569" spans="29:29">
      <c r="AC569" s="1779"/>
    </row>
    <row r="570" spans="29:29">
      <c r="AC570" s="1779"/>
    </row>
    <row r="571" spans="29:29">
      <c r="AC571" s="1779"/>
    </row>
    <row r="572" spans="29:29">
      <c r="AC572" s="1779"/>
    </row>
    <row r="573" spans="29:29">
      <c r="AC573" s="1779"/>
    </row>
    <row r="574" spans="29:29">
      <c r="AC574" s="1779"/>
    </row>
    <row r="575" spans="29:29">
      <c r="AC575" s="1779"/>
    </row>
    <row r="576" spans="29:29">
      <c r="AC576" s="1779"/>
    </row>
    <row r="577" spans="29:29">
      <c r="AC577" s="1779"/>
    </row>
    <row r="578" spans="29:29">
      <c r="AC578" s="1779"/>
    </row>
    <row r="579" spans="29:29">
      <c r="AC579" s="1779"/>
    </row>
    <row r="580" spans="29:29">
      <c r="AC580" s="1779"/>
    </row>
    <row r="581" spans="29:29">
      <c r="AC581" s="1779"/>
    </row>
    <row r="582" spans="29:29">
      <c r="AC582" s="1779"/>
    </row>
    <row r="583" spans="29:29">
      <c r="AC583" s="1779"/>
    </row>
    <row r="584" spans="29:29">
      <c r="AC584" s="1779"/>
    </row>
    <row r="585" spans="29:29">
      <c r="AC585" s="1779"/>
    </row>
    <row r="586" spans="29:29">
      <c r="AC586" s="1779"/>
    </row>
    <row r="587" spans="29:29">
      <c r="AC587" s="1779"/>
    </row>
    <row r="588" spans="29:29">
      <c r="AC588" s="1779"/>
    </row>
    <row r="589" spans="29:29">
      <c r="AC589" s="1779"/>
    </row>
    <row r="590" spans="29:29">
      <c r="AC590" s="1779"/>
    </row>
    <row r="591" spans="29:29">
      <c r="AC591" s="1779"/>
    </row>
    <row r="592" spans="29:29">
      <c r="AC592" s="1779"/>
    </row>
    <row r="593" spans="29:29">
      <c r="AC593" s="1779"/>
    </row>
    <row r="594" spans="29:29">
      <c r="AC594" s="1779"/>
    </row>
    <row r="595" spans="29:29">
      <c r="AC595" s="1779"/>
    </row>
    <row r="596" spans="29:29">
      <c r="AC596" s="1779"/>
    </row>
    <row r="597" spans="29:29">
      <c r="AC597" s="1779"/>
    </row>
    <row r="598" spans="29:29">
      <c r="AC598" s="1779"/>
    </row>
    <row r="599" spans="29:29">
      <c r="AC599" s="1779"/>
    </row>
    <row r="600" spans="29:29">
      <c r="AC600" s="1779"/>
    </row>
    <row r="601" spans="29:29">
      <c r="AC601" s="1779"/>
    </row>
    <row r="602" spans="29:29">
      <c r="AC602" s="1779"/>
    </row>
    <row r="603" spans="29:29">
      <c r="AC603" s="1779"/>
    </row>
    <row r="604" spans="29:29">
      <c r="AC604" s="1779"/>
    </row>
    <row r="605" spans="29:29">
      <c r="AC605" s="1779"/>
    </row>
    <row r="606" spans="29:29">
      <c r="AC606" s="1779"/>
    </row>
    <row r="607" spans="29:29">
      <c r="AC607" s="1779"/>
    </row>
    <row r="608" spans="29:29">
      <c r="AC608" s="1779"/>
    </row>
    <row r="609" spans="29:29">
      <c r="AC609" s="1779"/>
    </row>
    <row r="610" spans="29:29">
      <c r="AC610" s="1779"/>
    </row>
    <row r="611" spans="29:29">
      <c r="AC611" s="1779"/>
    </row>
    <row r="612" spans="29:29">
      <c r="AC612" s="1779"/>
    </row>
    <row r="613" spans="29:29">
      <c r="AC613" s="1779"/>
    </row>
    <row r="614" spans="29:29">
      <c r="AC614" s="1779"/>
    </row>
    <row r="615" spans="29:29">
      <c r="AC615" s="1779"/>
    </row>
    <row r="616" spans="29:29">
      <c r="AC616" s="1779"/>
    </row>
    <row r="617" spans="29:29">
      <c r="AC617" s="1779"/>
    </row>
    <row r="618" spans="29:29">
      <c r="AC618" s="1779"/>
    </row>
    <row r="619" spans="29:29">
      <c r="AC619" s="1779"/>
    </row>
    <row r="620" spans="29:29">
      <c r="AC620" s="1779"/>
    </row>
    <row r="621" spans="29:29">
      <c r="AC621" s="1779"/>
    </row>
    <row r="622" spans="29:29">
      <c r="AC622" s="1779"/>
    </row>
    <row r="623" spans="29:29">
      <c r="AC623" s="1779"/>
    </row>
    <row r="624" spans="29:29">
      <c r="AC624" s="1779"/>
    </row>
    <row r="625" spans="29:29">
      <c r="AC625" s="1779"/>
    </row>
    <row r="626" spans="29:29">
      <c r="AC626" s="1779"/>
    </row>
    <row r="627" spans="29:29">
      <c r="AC627" s="1779"/>
    </row>
    <row r="628" spans="29:29">
      <c r="AC628" s="1779"/>
    </row>
    <row r="629" spans="29:29">
      <c r="AC629" s="1779"/>
    </row>
    <row r="630" spans="29:29">
      <c r="AC630" s="1779"/>
    </row>
    <row r="631" spans="29:29">
      <c r="AC631" s="1779"/>
    </row>
    <row r="632" spans="29:29">
      <c r="AC632" s="1779"/>
    </row>
    <row r="633" spans="29:29">
      <c r="AC633" s="1779"/>
    </row>
    <row r="634" spans="29:29">
      <c r="AC634" s="1779"/>
    </row>
    <row r="635" spans="29:29">
      <c r="AC635" s="1779"/>
    </row>
    <row r="636" spans="29:29">
      <c r="AC636" s="1779"/>
    </row>
    <row r="637" spans="29:29">
      <c r="AC637" s="1779"/>
    </row>
    <row r="638" spans="29:29">
      <c r="AC638" s="1779"/>
    </row>
    <row r="639" spans="29:29">
      <c r="AC639" s="1779"/>
    </row>
    <row r="640" spans="29:29">
      <c r="AC640" s="1779"/>
    </row>
    <row r="641" spans="29:29">
      <c r="AC641" s="1779"/>
    </row>
    <row r="642" spans="29:29">
      <c r="AC642" s="1779"/>
    </row>
    <row r="643" spans="29:29">
      <c r="AC643" s="1779"/>
    </row>
    <row r="644" spans="29:29">
      <c r="AC644" s="1779"/>
    </row>
    <row r="645" spans="29:29">
      <c r="AC645" s="1779"/>
    </row>
    <row r="646" spans="29:29">
      <c r="AC646" s="1779"/>
    </row>
    <row r="647" spans="29:29">
      <c r="AC647" s="1779"/>
    </row>
    <row r="648" spans="29:29">
      <c r="AC648" s="1779"/>
    </row>
    <row r="649" spans="29:29">
      <c r="AC649" s="1779"/>
    </row>
    <row r="650" spans="29:29">
      <c r="AC650" s="1779"/>
    </row>
    <row r="651" spans="29:29">
      <c r="AC651" s="1779"/>
    </row>
    <row r="652" spans="29:29">
      <c r="AC652" s="1779"/>
    </row>
    <row r="653" spans="29:29">
      <c r="AC653" s="1779"/>
    </row>
    <row r="654" spans="29:29">
      <c r="AC654" s="1779"/>
    </row>
    <row r="655" spans="29:29">
      <c r="AC655" s="1779"/>
    </row>
    <row r="656" spans="29:29">
      <c r="AC656" s="1779"/>
    </row>
    <row r="657" spans="29:29">
      <c r="AC657" s="1779"/>
    </row>
    <row r="658" spans="29:29">
      <c r="AC658" s="1779"/>
    </row>
    <row r="659" spans="29:29">
      <c r="AC659" s="1779"/>
    </row>
    <row r="660" spans="29:29">
      <c r="AC660" s="1779"/>
    </row>
    <row r="661" spans="29:29">
      <c r="AC661" s="1779"/>
    </row>
    <row r="662" spans="29:29">
      <c r="AC662" s="1779"/>
    </row>
    <row r="663" spans="29:29">
      <c r="AC663" s="1779"/>
    </row>
    <row r="664" spans="29:29">
      <c r="AC664" s="1779"/>
    </row>
    <row r="665" spans="29:29">
      <c r="AC665" s="1779"/>
    </row>
    <row r="666" spans="29:29">
      <c r="AC666" s="1779"/>
    </row>
    <row r="667" spans="29:29">
      <c r="AC667" s="1779"/>
    </row>
    <row r="668" spans="29:29">
      <c r="AC668" s="1779"/>
    </row>
    <row r="669" spans="29:29">
      <c r="AC669" s="1779"/>
    </row>
    <row r="670" spans="29:29">
      <c r="AC670" s="1779"/>
    </row>
    <row r="671" spans="29:29">
      <c r="AC671" s="1779"/>
    </row>
    <row r="672" spans="29:29">
      <c r="AC672" s="1779"/>
    </row>
    <row r="673" spans="29:29">
      <c r="AC673" s="1779"/>
    </row>
    <row r="674" spans="29:29">
      <c r="AC674" s="1779"/>
    </row>
    <row r="675" spans="29:29">
      <c r="AC675" s="1779"/>
    </row>
    <row r="676" spans="29:29">
      <c r="AC676" s="1779"/>
    </row>
    <row r="677" spans="29:29">
      <c r="AC677" s="1779"/>
    </row>
    <row r="678" spans="29:29">
      <c r="AC678" s="1779"/>
    </row>
    <row r="679" spans="29:29">
      <c r="AC679" s="1779"/>
    </row>
    <row r="680" spans="29:29">
      <c r="AC680" s="1779"/>
    </row>
    <row r="681" spans="29:29">
      <c r="AC681" s="1779"/>
    </row>
    <row r="682" spans="29:29">
      <c r="AC682" s="1779"/>
    </row>
    <row r="683" spans="29:29">
      <c r="AC683" s="1779"/>
    </row>
    <row r="684" spans="29:29">
      <c r="AC684" s="1779"/>
    </row>
    <row r="685" spans="29:29">
      <c r="AC685" s="1779"/>
    </row>
    <row r="686" spans="29:29">
      <c r="AC686" s="1779"/>
    </row>
    <row r="687" spans="29:29">
      <c r="AC687" s="1779"/>
    </row>
    <row r="688" spans="29:29">
      <c r="AC688" s="1779"/>
    </row>
    <row r="689" spans="29:29">
      <c r="AC689" s="1779"/>
    </row>
    <row r="690" spans="29:29">
      <c r="AC690" s="1779"/>
    </row>
    <row r="691" spans="29:29">
      <c r="AC691" s="1779"/>
    </row>
    <row r="692" spans="29:29">
      <c r="AC692" s="1779"/>
    </row>
    <row r="693" spans="29:29">
      <c r="AC693" s="1779"/>
    </row>
    <row r="694" spans="29:29">
      <c r="AC694" s="1779"/>
    </row>
    <row r="695" spans="29:29">
      <c r="AC695" s="1779"/>
    </row>
    <row r="696" spans="29:29">
      <c r="AC696" s="1779"/>
    </row>
    <row r="697" spans="29:29">
      <c r="AC697" s="1779"/>
    </row>
    <row r="698" spans="29:29">
      <c r="AC698" s="1779"/>
    </row>
    <row r="699" spans="29:29">
      <c r="AC699" s="1779"/>
    </row>
    <row r="700" spans="29:29">
      <c r="AC700" s="1779"/>
    </row>
    <row r="701" spans="29:29">
      <c r="AC701" s="1779"/>
    </row>
    <row r="702" spans="29:29">
      <c r="AC702" s="1779"/>
    </row>
    <row r="703" spans="29:29">
      <c r="AC703" s="1779"/>
    </row>
    <row r="704" spans="29:29">
      <c r="AC704" s="1779"/>
    </row>
    <row r="705" spans="29:29">
      <c r="AC705" s="1779"/>
    </row>
    <row r="706" spans="29:29">
      <c r="AC706" s="1779"/>
    </row>
    <row r="707" spans="29:29">
      <c r="AC707" s="1779"/>
    </row>
    <row r="708" spans="29:29">
      <c r="AC708" s="1779"/>
    </row>
    <row r="709" spans="29:29">
      <c r="AC709" s="1779"/>
    </row>
    <row r="710" spans="29:29">
      <c r="AC710" s="1779"/>
    </row>
    <row r="711" spans="29:29">
      <c r="AC711" s="1779"/>
    </row>
    <row r="712" spans="29:29">
      <c r="AC712" s="1779"/>
    </row>
    <row r="713" spans="29:29">
      <c r="AC713" s="1779"/>
    </row>
    <row r="714" spans="29:29">
      <c r="AC714" s="1779"/>
    </row>
    <row r="715" spans="29:29">
      <c r="AC715" s="1779"/>
    </row>
    <row r="716" spans="29:29">
      <c r="AC716" s="1779"/>
    </row>
    <row r="717" spans="29:29">
      <c r="AC717" s="1779"/>
    </row>
    <row r="718" spans="29:29">
      <c r="AC718" s="1779"/>
    </row>
    <row r="719" spans="29:29">
      <c r="AC719" s="1779"/>
    </row>
    <row r="720" spans="29:29">
      <c r="AC720" s="1779"/>
    </row>
    <row r="721" spans="29:29">
      <c r="AC721" s="1779"/>
    </row>
    <row r="722" spans="29:29">
      <c r="AC722" s="1779"/>
    </row>
    <row r="723" spans="29:29">
      <c r="AC723" s="1779"/>
    </row>
    <row r="724" spans="29:29">
      <c r="AC724" s="1779"/>
    </row>
    <row r="725" spans="29:29">
      <c r="AC725" s="1779"/>
    </row>
    <row r="726" spans="29:29">
      <c r="AC726" s="1779"/>
    </row>
    <row r="727" spans="29:29">
      <c r="AC727" s="1779"/>
    </row>
    <row r="728" spans="29:29">
      <c r="AC728" s="1779"/>
    </row>
    <row r="729" spans="29:29">
      <c r="AC729" s="1779"/>
    </row>
    <row r="730" spans="29:29">
      <c r="AC730" s="1779"/>
    </row>
    <row r="731" spans="29:29">
      <c r="AC731" s="1779"/>
    </row>
    <row r="732" spans="29:29">
      <c r="AC732" s="1779"/>
    </row>
    <row r="733" spans="29:29">
      <c r="AC733" s="1779"/>
    </row>
    <row r="734" spans="29:29">
      <c r="AC734" s="1779"/>
    </row>
    <row r="735" spans="29:29">
      <c r="AC735" s="1779"/>
    </row>
    <row r="736" spans="29:29">
      <c r="AC736" s="1779"/>
    </row>
    <row r="737" spans="29:29">
      <c r="AC737" s="1779"/>
    </row>
    <row r="738" spans="29:29">
      <c r="AC738" s="1779"/>
    </row>
    <row r="739" spans="29:29">
      <c r="AC739" s="1779"/>
    </row>
    <row r="740" spans="29:29">
      <c r="AC740" s="1779"/>
    </row>
    <row r="741" spans="29:29">
      <c r="AC741" s="1779"/>
    </row>
    <row r="742" spans="29:29">
      <c r="AC742" s="1779"/>
    </row>
    <row r="743" spans="29:29">
      <c r="AC743" s="1779"/>
    </row>
    <row r="744" spans="29:29">
      <c r="AC744" s="1779"/>
    </row>
    <row r="745" spans="29:29">
      <c r="AC745" s="1779"/>
    </row>
    <row r="746" spans="29:29">
      <c r="AC746" s="1779"/>
    </row>
    <row r="747" spans="29:29">
      <c r="AC747" s="1779"/>
    </row>
    <row r="748" spans="29:29">
      <c r="AC748" s="1779"/>
    </row>
    <row r="749" spans="29:29">
      <c r="AC749" s="1779"/>
    </row>
    <row r="750" spans="29:29">
      <c r="AC750" s="1779"/>
    </row>
    <row r="751" spans="29:29">
      <c r="AC751" s="1779"/>
    </row>
    <row r="752" spans="29:29">
      <c r="AC752" s="1779"/>
    </row>
    <row r="753" spans="29:29">
      <c r="AC753" s="1779"/>
    </row>
    <row r="754" spans="29:29">
      <c r="AC754" s="1779"/>
    </row>
    <row r="755" spans="29:29">
      <c r="AC755" s="1779"/>
    </row>
    <row r="756" spans="29:29">
      <c r="AC756" s="1779"/>
    </row>
    <row r="757" spans="29:29">
      <c r="AC757" s="1779"/>
    </row>
    <row r="758" spans="29:29">
      <c r="AC758" s="1779"/>
    </row>
    <row r="759" spans="29:29">
      <c r="AC759" s="1779"/>
    </row>
    <row r="760" spans="29:29">
      <c r="AC760" s="1779"/>
    </row>
    <row r="761" spans="29:29">
      <c r="AC761" s="1779"/>
    </row>
    <row r="762" spans="29:29">
      <c r="AC762" s="1779"/>
    </row>
    <row r="763" spans="29:29">
      <c r="AC763" s="1779"/>
    </row>
    <row r="764" spans="29:29">
      <c r="AC764" s="1779"/>
    </row>
    <row r="765" spans="29:29">
      <c r="AC765" s="1779"/>
    </row>
    <row r="766" spans="29:29">
      <c r="AC766" s="1779"/>
    </row>
    <row r="767" spans="29:29">
      <c r="AC767" s="1779"/>
    </row>
    <row r="768" spans="29:29">
      <c r="AC768" s="1779"/>
    </row>
    <row r="769" spans="29:29">
      <c r="AC769" s="1779"/>
    </row>
    <row r="770" spans="29:29">
      <c r="AC770" s="1779"/>
    </row>
    <row r="771" spans="29:29">
      <c r="AC771" s="1779"/>
    </row>
    <row r="772" spans="29:29">
      <c r="AC772" s="1779"/>
    </row>
    <row r="773" spans="29:29">
      <c r="AC773" s="1779"/>
    </row>
    <row r="774" spans="29:29">
      <c r="AC774" s="1779"/>
    </row>
    <row r="775" spans="29:29">
      <c r="AC775" s="1779"/>
    </row>
    <row r="776" spans="29:29">
      <c r="AC776" s="1779"/>
    </row>
    <row r="777" spans="29:29">
      <c r="AC777" s="1779"/>
    </row>
    <row r="778" spans="29:29">
      <c r="AC778" s="1779"/>
    </row>
    <row r="779" spans="29:29">
      <c r="AC779" s="1779"/>
    </row>
    <row r="780" spans="29:29">
      <c r="AC780" s="1779"/>
    </row>
    <row r="781" spans="29:29">
      <c r="AC781" s="1779"/>
    </row>
    <row r="782" spans="29:29">
      <c r="AC782" s="1779"/>
    </row>
    <row r="783" spans="29:29">
      <c r="AC783" s="1779"/>
    </row>
    <row r="784" spans="29:29">
      <c r="AC784" s="1779"/>
    </row>
    <row r="785" spans="29:29">
      <c r="AC785" s="1779"/>
    </row>
    <row r="786" spans="29:29">
      <c r="AC786" s="1779"/>
    </row>
    <row r="787" spans="29:29">
      <c r="AC787" s="1779"/>
    </row>
    <row r="788" spans="29:29">
      <c r="AC788" s="1779"/>
    </row>
    <row r="789" spans="29:29">
      <c r="AC789" s="1779"/>
    </row>
    <row r="790" spans="29:29">
      <c r="AC790" s="1779"/>
    </row>
    <row r="791" spans="29:29">
      <c r="AC791" s="1779"/>
    </row>
    <row r="792" spans="29:29">
      <c r="AC792" s="1779"/>
    </row>
    <row r="793" spans="29:29">
      <c r="AC793" s="1779"/>
    </row>
    <row r="794" spans="29:29">
      <c r="AC794" s="177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400-000000000000}">
      <formula1>项目类型</formula1>
    </dataValidation>
    <dataValidation type="list" allowBlank="1" showInputMessage="1" showErrorMessage="1" sqref="C43 E43 G43 I43" xr:uid="{00000000-0002-0000-2400-000001000000}">
      <formula1>内部装修维护情况</formula1>
    </dataValidation>
    <dataValidation type="list" allowBlank="1" showInputMessage="1" showErrorMessage="1" sqref="E34 G34 I34" xr:uid="{00000000-0002-0000-2400-000002000000}">
      <formula1>住宅建筑结构</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E18 G18 I18 C18" xr:uid="{00000000-0002-0000-2400-000004000000}">
      <formula1>交通便捷度</formula1>
    </dataValidation>
    <dataValidation type="list" allowBlank="1" showInputMessage="1" showErrorMessage="1" sqref="E24 G24 I24 C24" xr:uid="{00000000-0002-0000-2400-000005000000}">
      <formula1>环境</formula1>
    </dataValidation>
    <dataValidation type="list" allowBlank="1" showInputMessage="1" showErrorMessage="1" sqref="C25 E25 G25 I25" xr:uid="{00000000-0002-0000-2400-000006000000}">
      <formula1>商业临街状况</formula1>
    </dataValidation>
    <dataValidation type="list" allowBlank="1" showInputMessage="1" showErrorMessage="1" sqref="C27 E27 G27 I27" xr:uid="{00000000-0002-0000-2400-000007000000}">
      <formula1>商业人流量</formula1>
    </dataValidation>
    <dataValidation type="list" allowBlank="1" showInputMessage="1" showErrorMessage="1" sqref="C28 E28 G28 I28" xr:uid="{00000000-0002-0000-2400-000008000000}">
      <formula1>商业楼层</formula1>
    </dataValidation>
    <dataValidation type="list" allowBlank="1" showInputMessage="1" showErrorMessage="1" sqref="C32 E32 G32 I32" xr:uid="{00000000-0002-0000-2400-000009000000}">
      <formula1>商业类型</formula1>
    </dataValidation>
    <dataValidation type="list" allowBlank="1" showInputMessage="1" showErrorMessage="1" sqref="C34" xr:uid="{00000000-0002-0000-2400-00000A000000}">
      <formula1>商业建筑结构</formula1>
    </dataValidation>
    <dataValidation type="list" allowBlank="1" showInputMessage="1" showErrorMessage="1" sqref="C35 E35 G35 I35" xr:uid="{00000000-0002-0000-2400-00000B000000}">
      <formula1>商业公共部分装修</formula1>
    </dataValidation>
    <dataValidation type="list" allowBlank="1" showInputMessage="1" showErrorMessage="1" sqref="C37 E37 G37 I37" xr:uid="{00000000-0002-0000-2400-00000C000000}">
      <formula1>商业基础设施水平</formula1>
    </dataValidation>
    <dataValidation type="list" allowBlank="1" showInputMessage="1" showErrorMessage="1" sqref="C41 E41 G41 I41" xr:uid="{00000000-0002-0000-2400-00000D000000}">
      <formula1>商业进深比</formula1>
    </dataValidation>
    <dataValidation type="list" allowBlank="1" showInputMessage="1" showErrorMessage="1" sqref="C42 E42 G42 I42" xr:uid="{00000000-0002-0000-2400-00000E000000}">
      <formula1>商业内部装修</formula1>
    </dataValidation>
    <dataValidation type="list" allowBlank="1" showInputMessage="1" showErrorMessage="1" sqref="E9 G9 I9" xr:uid="{00000000-0002-0000-2400-00000F000000}">
      <formula1>商业用途</formula1>
    </dataValidation>
    <dataValidation type="list" allowBlank="1" showInputMessage="1" showErrorMessage="1" sqref="C38 E38 G38 I38" xr:uid="{00000000-0002-0000-2400-000010000000}">
      <formula1>商业业态</formula1>
    </dataValidation>
    <dataValidation type="list" allowBlank="1" showInputMessage="1" showErrorMessage="1" sqref="C39 E39 G39 I39" xr:uid="{00000000-0002-0000-2400-000011000000}">
      <formula1>商业层高</formula1>
    </dataValidation>
    <dataValidation type="list" allowBlank="1" showInputMessage="1" showErrorMessage="1" sqref="C8 E8 G8 I8" xr:uid="{00000000-0002-0000-2400-000012000000}">
      <formula1>商业交易情况</formula1>
    </dataValidation>
    <dataValidation type="list" allowBlank="1" showInputMessage="1" showErrorMessage="1" sqref="C16 E16 G16 I16" xr:uid="{00000000-0002-0000-2400-000013000000}">
      <formula1>商业繁华度</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 type="list" allowBlank="1" showInputMessage="1" showErrorMessage="1" sqref="D48" xr:uid="{00000000-0002-0000-2400-000016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817"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717</v>
      </c>
      <c r="C1" s="455" t="s">
        <v>667</v>
      </c>
      <c r="D1" s="783"/>
      <c r="E1" s="457"/>
      <c r="F1" s="2118"/>
      <c r="G1" s="1328" t="s">
        <v>668</v>
      </c>
      <c r="H1" s="457"/>
      <c r="I1" s="457"/>
      <c r="J1" s="457"/>
      <c r="K1" s="458"/>
      <c r="L1" s="2718"/>
      <c r="M1" s="2719"/>
      <c r="N1" s="2719"/>
      <c r="O1" s="2719"/>
      <c r="P1" s="2774"/>
      <c r="Q1" s="1740"/>
      <c r="R1" s="1740"/>
      <c r="S1" s="1740"/>
      <c r="T1" s="1740"/>
      <c r="U1" s="1740"/>
      <c r="V1" s="1740"/>
      <c r="W1" s="1740"/>
      <c r="X1" s="1740"/>
      <c r="Y1" s="1740"/>
      <c r="Z1" s="1740"/>
      <c r="AA1" s="1740"/>
      <c r="AB1" s="1740"/>
      <c r="AC1" s="1674"/>
    </row>
    <row r="2" spans="1:29" s="1130" customFormat="1" ht="28.5" customHeight="1">
      <c r="A2" s="393" t="s">
        <v>427</v>
      </c>
      <c r="B2" s="784" t="e">
        <f>ROUND(B3*D3/10000,0)</f>
        <v>#DIV/0!</v>
      </c>
      <c r="C2" s="1735"/>
      <c r="D2" s="1735"/>
      <c r="E2" s="1674"/>
      <c r="F2" s="1737"/>
      <c r="G2" s="1736"/>
      <c r="H2" s="1736"/>
      <c r="I2" s="1736"/>
      <c r="J2" s="1736"/>
      <c r="K2" s="1736"/>
      <c r="L2" s="1739"/>
      <c r="M2" s="1740"/>
      <c r="N2" s="1740"/>
      <c r="O2" s="1740"/>
      <c r="P2" s="2774"/>
      <c r="Q2" s="1740"/>
      <c r="R2" s="1740"/>
      <c r="S2" s="1740"/>
      <c r="T2" s="1740"/>
      <c r="U2" s="1740"/>
      <c r="V2" s="1740"/>
      <c r="W2" s="1740"/>
      <c r="X2" s="1740"/>
      <c r="Y2" s="1740"/>
      <c r="Z2" s="1740"/>
      <c r="AA2" s="1740"/>
      <c r="AB2" s="1740"/>
      <c r="AC2" s="1674"/>
    </row>
    <row r="3" spans="1:29" s="1130" customFormat="1" ht="28.5" customHeight="1" thickBot="1">
      <c r="A3" s="460" t="s">
        <v>468</v>
      </c>
      <c r="B3" s="461" t="e">
        <f>C50</f>
        <v>#DIV/0!</v>
      </c>
      <c r="C3" s="786" t="s">
        <v>669</v>
      </c>
      <c r="D3" s="785">
        <f>SUMIF('数据-汇总表'!$C19:$C33,D1,'数据-汇总表'!$E19:$E33)</f>
        <v>0</v>
      </c>
      <c r="E3" s="1674"/>
      <c r="F3" s="1737"/>
      <c r="G3" s="1736"/>
      <c r="H3" s="1736"/>
      <c r="I3" s="1736"/>
      <c r="J3" s="1736"/>
      <c r="K3" s="1738"/>
      <c r="L3" s="1739"/>
      <c r="M3" s="1740"/>
      <c r="N3" s="1740"/>
      <c r="O3" s="1740"/>
      <c r="P3" s="2774"/>
      <c r="Q3" s="1740"/>
      <c r="R3" s="1740"/>
      <c r="S3" s="1740"/>
      <c r="T3" s="1740"/>
      <c r="U3" s="1740"/>
      <c r="V3" s="1740"/>
      <c r="W3" s="1740"/>
      <c r="X3" s="1740"/>
      <c r="Y3" s="1740"/>
      <c r="Z3" s="1740"/>
      <c r="AA3" s="1740"/>
      <c r="AB3" s="1740"/>
      <c r="AC3" s="1674"/>
    </row>
    <row r="4" spans="1:29" ht="15">
      <c r="A4" s="463" t="s">
        <v>470</v>
      </c>
      <c r="B4" s="464"/>
      <c r="C4" s="3602" t="s">
        <v>471</v>
      </c>
      <c r="D4" s="3603"/>
      <c r="E4" s="3628" t="s">
        <v>472</v>
      </c>
      <c r="F4" s="3629"/>
      <c r="G4" s="3602" t="s">
        <v>473</v>
      </c>
      <c r="H4" s="3603"/>
      <c r="I4" s="3602" t="s">
        <v>474</v>
      </c>
      <c r="J4" s="3603"/>
      <c r="K4" s="465" t="s">
        <v>475</v>
      </c>
      <c r="L4" s="1741"/>
      <c r="M4" s="1742"/>
      <c r="N4" s="1742"/>
      <c r="O4" s="1742"/>
      <c r="P4" s="3713" t="s">
        <v>476</v>
      </c>
      <c r="Q4" s="3605"/>
      <c r="R4" s="3588" t="s">
        <v>472</v>
      </c>
      <c r="S4" s="3589"/>
      <c r="T4" s="3588" t="s">
        <v>473</v>
      </c>
      <c r="U4" s="3589"/>
      <c r="V4" s="3610" t="s">
        <v>474</v>
      </c>
      <c r="W4" s="3610"/>
      <c r="X4" s="1302"/>
      <c r="Y4" s="3588" t="s">
        <v>476</v>
      </c>
      <c r="Z4" s="3589"/>
      <c r="AA4" s="3583" t="s">
        <v>472</v>
      </c>
      <c r="AB4" s="3583" t="s">
        <v>473</v>
      </c>
      <c r="AC4" s="3583" t="s">
        <v>474</v>
      </c>
    </row>
    <row r="5" spans="1:29" ht="15">
      <c r="A5" s="466"/>
      <c r="B5" s="467"/>
      <c r="C5" s="3613" t="s">
        <v>2187</v>
      </c>
      <c r="D5" s="3614"/>
      <c r="E5" s="3630" t="s">
        <v>2188</v>
      </c>
      <c r="F5" s="3631"/>
      <c r="G5" s="3613" t="s">
        <v>2189</v>
      </c>
      <c r="H5" s="3614"/>
      <c r="I5" s="3613" t="s">
        <v>2190</v>
      </c>
      <c r="J5" s="3614"/>
      <c r="K5" s="465"/>
      <c r="L5" s="1741"/>
      <c r="M5" s="1742"/>
      <c r="N5" s="1742"/>
      <c r="O5" s="1742"/>
      <c r="P5" s="3714"/>
      <c r="Q5" s="3607"/>
      <c r="R5" s="3590"/>
      <c r="S5" s="3591"/>
      <c r="T5" s="3590"/>
      <c r="U5" s="3591"/>
      <c r="V5" s="3610"/>
      <c r="W5" s="3610"/>
      <c r="X5" s="1302"/>
      <c r="Y5" s="3590"/>
      <c r="Z5" s="3591"/>
      <c r="AA5" s="3584"/>
      <c r="AB5" s="3584"/>
      <c r="AC5" s="3584"/>
    </row>
    <row r="6" spans="1:29" ht="15.75" thickBot="1">
      <c r="A6" s="468"/>
      <c r="B6" s="469"/>
      <c r="C6" s="3611" t="s">
        <v>2191</v>
      </c>
      <c r="D6" s="3612"/>
      <c r="E6" s="3632" t="s">
        <v>2191</v>
      </c>
      <c r="F6" s="3633"/>
      <c r="G6" s="3611" t="s">
        <v>2191</v>
      </c>
      <c r="H6" s="3612"/>
      <c r="I6" s="3611" t="s">
        <v>2191</v>
      </c>
      <c r="J6" s="3612"/>
      <c r="K6" s="465" t="s">
        <v>477</v>
      </c>
      <c r="L6" s="1741"/>
      <c r="M6" s="1742"/>
      <c r="N6" s="1742"/>
      <c r="O6" s="1742"/>
      <c r="P6" s="3715"/>
      <c r="Q6" s="3609"/>
      <c r="R6" s="3590"/>
      <c r="S6" s="3591"/>
      <c r="T6" s="3592"/>
      <c r="U6" s="3593"/>
      <c r="V6" s="3610"/>
      <c r="W6" s="3610"/>
      <c r="X6" s="1302"/>
      <c r="Y6" s="3592"/>
      <c r="Z6" s="3593"/>
      <c r="AA6" s="3585"/>
      <c r="AB6" s="3585"/>
      <c r="AC6" s="3585"/>
    </row>
    <row r="7" spans="1:29" s="1059" customFormat="1" ht="15.75" thickBot="1">
      <c r="A7" s="2209"/>
      <c r="B7" s="2216" t="s">
        <v>478</v>
      </c>
      <c r="C7" s="470">
        <f>'数据-取费表'!B2</f>
        <v>45057</v>
      </c>
      <c r="D7" s="471">
        <v>100</v>
      </c>
      <c r="E7" s="472"/>
      <c r="F7" s="473">
        <f>SUMIF(59:59,YEAR(E7)&amp;"-"&amp;MONTH(E7),60:60)</f>
        <v>0</v>
      </c>
      <c r="G7" s="472"/>
      <c r="H7" s="471">
        <f>SUMIF(59:59,YEAR(G7)&amp;"-"&amp;MONTH(G7),60:60)</f>
        <v>0</v>
      </c>
      <c r="I7" s="472"/>
      <c r="J7" s="471">
        <f>SUMIF(59:59,YEAR(I7)&amp;"-"&amp;MONTH(I7),60:60)</f>
        <v>0</v>
      </c>
      <c r="K7" s="88"/>
      <c r="L7" s="1743"/>
      <c r="M7" s="1640"/>
      <c r="N7" s="1640"/>
      <c r="O7" s="1640"/>
      <c r="P7" s="3595" t="s">
        <v>479</v>
      </c>
      <c r="Q7" s="3595"/>
      <c r="R7" s="1303" t="s">
        <v>5</v>
      </c>
      <c r="S7" s="1304">
        <f t="shared" ref="S7:S15" si="0">F7</f>
        <v>0</v>
      </c>
      <c r="T7" s="1303" t="s">
        <v>5</v>
      </c>
      <c r="U7" s="1304">
        <f t="shared" ref="U7:U15" si="1">H7</f>
        <v>0</v>
      </c>
      <c r="V7" s="1303" t="s">
        <v>5</v>
      </c>
      <c r="W7" s="1304">
        <f t="shared" ref="W7:W15" si="2">J7</f>
        <v>0</v>
      </c>
      <c r="X7" s="1305"/>
      <c r="Y7" s="3586" t="s">
        <v>479</v>
      </c>
      <c r="Z7" s="3587"/>
      <c r="AA7" s="996" t="e">
        <f>D7/F7</f>
        <v>#DIV/0!</v>
      </c>
      <c r="AB7" s="996" t="e">
        <f>D7/H7</f>
        <v>#DIV/0!</v>
      </c>
      <c r="AC7" s="996" t="e">
        <f>D7/J7</f>
        <v>#DIV/0!</v>
      </c>
    </row>
    <row r="8" spans="1:29" s="1059" customFormat="1" ht="15.75" thickBot="1">
      <c r="A8" s="2210"/>
      <c r="B8" s="2217" t="s">
        <v>480</v>
      </c>
      <c r="C8" s="475" t="s">
        <v>524</v>
      </c>
      <c r="D8" s="471">
        <v>100</v>
      </c>
      <c r="E8" s="475"/>
      <c r="F8" s="473">
        <f>SUMIF(62:62,E8,63:63)-SUMIF(62:62,C8,63:63)+100</f>
        <v>0</v>
      </c>
      <c r="G8" s="475"/>
      <c r="H8" s="471">
        <f>SUMIF(62:62,G8,63:63)-SUMIF(62:62,C8,63:63)+100</f>
        <v>0</v>
      </c>
      <c r="I8" s="475"/>
      <c r="J8" s="471">
        <f>SUMIF(62:62,I8,63:63)-SUMIF(62:62,C8,63:63)+100</f>
        <v>0</v>
      </c>
      <c r="K8" s="88"/>
      <c r="L8" s="1743"/>
      <c r="M8" s="1640"/>
      <c r="N8" s="1640"/>
      <c r="O8" s="1640"/>
      <c r="P8" s="3595" t="s">
        <v>482</v>
      </c>
      <c r="Q8" s="3587"/>
      <c r="R8" s="1303" t="s">
        <v>5</v>
      </c>
      <c r="S8" s="1304">
        <f t="shared" si="0"/>
        <v>0</v>
      </c>
      <c r="T8" s="1303" t="s">
        <v>5</v>
      </c>
      <c r="U8" s="1304">
        <f t="shared" si="1"/>
        <v>0</v>
      </c>
      <c r="V8" s="1303" t="s">
        <v>5</v>
      </c>
      <c r="W8" s="1304">
        <f t="shared" si="2"/>
        <v>0</v>
      </c>
      <c r="X8" s="1305"/>
      <c r="Y8" s="3586" t="s">
        <v>482</v>
      </c>
      <c r="Z8" s="3587"/>
      <c r="AA8" s="996" t="e">
        <f t="shared" ref="AA8:AA47" si="3">D8/F8</f>
        <v>#DIV/0!</v>
      </c>
      <c r="AB8" s="996" t="e">
        <f t="shared" ref="AB8:AB47" si="4">D8/H8</f>
        <v>#DIV/0!</v>
      </c>
      <c r="AC8" s="996" t="e">
        <f t="shared" ref="AC8:AC47" si="5">D8/J8</f>
        <v>#DIV/0!</v>
      </c>
    </row>
    <row r="9" spans="1:29" s="1059" customFormat="1" ht="15">
      <c r="A9" s="2211"/>
      <c r="B9" s="2218" t="s">
        <v>2038</v>
      </c>
      <c r="C9" s="791"/>
      <c r="D9" s="154">
        <v>100</v>
      </c>
      <c r="E9" s="793"/>
      <c r="F9" s="154">
        <f>SUMIF(64:64,E9,65:65)-SUMIF(64:64,C9,65:65)+100</f>
        <v>100</v>
      </c>
      <c r="G9" s="792"/>
      <c r="H9" s="154">
        <f>SUMIF(64:64,G9,65:65)-SUMIF(64:64,C9,65:65)+100</f>
        <v>100</v>
      </c>
      <c r="I9" s="792"/>
      <c r="J9" s="154">
        <f>SUMIF(64:64,I9,65:65)-SUMIF(64:64,C9,65:65)+100</f>
        <v>100</v>
      </c>
      <c r="K9" s="88"/>
      <c r="L9" s="1743"/>
      <c r="M9" s="1640"/>
      <c r="N9" s="1640"/>
      <c r="O9" s="1640"/>
      <c r="P9" s="3594" t="s">
        <v>484</v>
      </c>
      <c r="Q9" s="818" t="str">
        <f t="shared" ref="Q9:Q15" si="6">B9</f>
        <v>用途</v>
      </c>
      <c r="R9" s="1303" t="s">
        <v>5</v>
      </c>
      <c r="S9" s="1304">
        <f t="shared" si="0"/>
        <v>100</v>
      </c>
      <c r="T9" s="1303" t="s">
        <v>5</v>
      </c>
      <c r="U9" s="1304">
        <f t="shared" si="1"/>
        <v>100</v>
      </c>
      <c r="V9" s="1303" t="s">
        <v>5</v>
      </c>
      <c r="W9" s="1304">
        <f t="shared" si="2"/>
        <v>100</v>
      </c>
      <c r="X9" s="1305"/>
      <c r="Y9" s="3546" t="s">
        <v>485</v>
      </c>
      <c r="Z9" s="996" t="str">
        <f t="shared" ref="Z9:Z15" si="7">Q9</f>
        <v>用途</v>
      </c>
      <c r="AA9" s="996">
        <f t="shared" si="3"/>
        <v>1</v>
      </c>
      <c r="AB9" s="996">
        <f t="shared" si="4"/>
        <v>1</v>
      </c>
      <c r="AC9" s="996">
        <f t="shared" si="5"/>
        <v>1</v>
      </c>
    </row>
    <row r="10" spans="1:29" s="1132" customFormat="1" ht="27">
      <c r="A10" s="2212"/>
      <c r="B10" s="2217" t="s">
        <v>2039</v>
      </c>
      <c r="C10" s="3387"/>
      <c r="D10" s="235">
        <v>100</v>
      </c>
      <c r="E10" s="3387"/>
      <c r="F10" s="235">
        <f>SUMIF(66:66,E10,67:67)-SUMIF(66:66,C10,67:67)+100</f>
        <v>100</v>
      </c>
      <c r="G10" s="3388"/>
      <c r="H10" s="235">
        <f>SUMIF(66:66,G10,67:67)-SUMIF(66:66,C10,67:67)+100</f>
        <v>100</v>
      </c>
      <c r="I10" s="3387"/>
      <c r="J10" s="235">
        <f>SUMIF(66:66,I10,67:67)-SUMIF(66:66,C10,67:67)+100</f>
        <v>100</v>
      </c>
      <c r="K10" s="88"/>
      <c r="L10" s="1745"/>
      <c r="M10" s="1778"/>
      <c r="N10" s="1778"/>
      <c r="O10" s="1778"/>
      <c r="P10" s="3594"/>
      <c r="Q10" s="818" t="str">
        <f t="shared" si="6"/>
        <v>土地使用年限（年）</v>
      </c>
      <c r="R10" s="1303" t="s">
        <v>5</v>
      </c>
      <c r="S10" s="1304">
        <f t="shared" si="0"/>
        <v>100</v>
      </c>
      <c r="T10" s="1303" t="s">
        <v>5</v>
      </c>
      <c r="U10" s="1304">
        <f t="shared" si="1"/>
        <v>100</v>
      </c>
      <c r="V10" s="1303" t="s">
        <v>5</v>
      </c>
      <c r="W10" s="1304">
        <f t="shared" si="2"/>
        <v>100</v>
      </c>
      <c r="X10" s="1305"/>
      <c r="Y10" s="3546"/>
      <c r="Z10" s="996" t="str">
        <f t="shared" si="7"/>
        <v>土地使用年限（年）</v>
      </c>
      <c r="AA10" s="996">
        <f t="shared" si="3"/>
        <v>1</v>
      </c>
      <c r="AB10" s="996">
        <f t="shared" si="4"/>
        <v>1</v>
      </c>
      <c r="AC10" s="996">
        <f t="shared" si="5"/>
        <v>1</v>
      </c>
    </row>
    <row r="11" spans="1:29" ht="15">
      <c r="A11" s="2213"/>
      <c r="B11" s="2217"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7"/>
      <c r="M11" s="1742"/>
      <c r="N11" s="1742"/>
      <c r="O11" s="1742"/>
      <c r="P11" s="3594"/>
      <c r="Q11" s="818" t="str">
        <f t="shared" si="6"/>
        <v>容积率</v>
      </c>
      <c r="R11" s="1303" t="s">
        <v>5</v>
      </c>
      <c r="S11" s="1304" t="e">
        <f t="shared" si="0"/>
        <v>#N/A</v>
      </c>
      <c r="T11" s="1303" t="s">
        <v>5</v>
      </c>
      <c r="U11" s="1304" t="e">
        <f t="shared" si="1"/>
        <v>#N/A</v>
      </c>
      <c r="V11" s="1303" t="s">
        <v>5</v>
      </c>
      <c r="W11" s="1304" t="e">
        <f t="shared" si="2"/>
        <v>#N/A</v>
      </c>
      <c r="X11" s="1305"/>
      <c r="Y11" s="3546"/>
      <c r="Z11" s="996" t="str">
        <f t="shared" si="7"/>
        <v>容积率</v>
      </c>
      <c r="AA11" s="996" t="e">
        <f t="shared" si="3"/>
        <v>#N/A</v>
      </c>
      <c r="AB11" s="996" t="e">
        <f t="shared" si="4"/>
        <v>#N/A</v>
      </c>
      <c r="AC11" s="996" t="e">
        <f t="shared" si="5"/>
        <v>#N/A</v>
      </c>
    </row>
    <row r="12" spans="1:29" s="1059" customFormat="1" ht="15">
      <c r="A12" s="2214"/>
      <c r="B12" s="2220">
        <v>111</v>
      </c>
      <c r="C12" s="478"/>
      <c r="D12" s="488">
        <v>100</v>
      </c>
      <c r="E12" s="478"/>
      <c r="F12" s="235">
        <f>SUMIF(71:71,E12,72:72)-SUMIF(71:71,C12,72:72)+100</f>
        <v>100</v>
      </c>
      <c r="G12" s="832"/>
      <c r="H12" s="235">
        <f>SUMIF(71:71,G12,72:72)-SUMIF(71:71,C12,72:72)+100</f>
        <v>100</v>
      </c>
      <c r="I12" s="478"/>
      <c r="J12" s="235">
        <f>SUMIF(71:71,I12,72:72)-SUMIF(71:71,C12,72:72)+100</f>
        <v>100</v>
      </c>
      <c r="K12" s="531"/>
      <c r="L12" s="1743"/>
      <c r="M12" s="1640"/>
      <c r="N12" s="1640"/>
      <c r="O12" s="1640"/>
      <c r="P12" s="3594"/>
      <c r="Q12" s="818">
        <f t="shared" si="6"/>
        <v>111</v>
      </c>
      <c r="R12" s="1303" t="s">
        <v>5</v>
      </c>
      <c r="S12" s="1304">
        <f t="shared" si="0"/>
        <v>100</v>
      </c>
      <c r="T12" s="1303" t="s">
        <v>5</v>
      </c>
      <c r="U12" s="1304">
        <f t="shared" si="1"/>
        <v>100</v>
      </c>
      <c r="V12" s="1303" t="s">
        <v>5</v>
      </c>
      <c r="W12" s="1304">
        <f t="shared" si="2"/>
        <v>100</v>
      </c>
      <c r="X12" s="1305"/>
      <c r="Y12" s="3546"/>
      <c r="Z12" s="996">
        <f t="shared" si="7"/>
        <v>111</v>
      </c>
      <c r="AA12" s="996">
        <f>D12/F12</f>
        <v>1</v>
      </c>
      <c r="AB12" s="996">
        <f>D12/H12</f>
        <v>1</v>
      </c>
      <c r="AC12" s="996">
        <f>D12/J12</f>
        <v>1</v>
      </c>
    </row>
    <row r="13" spans="1:29" ht="15">
      <c r="A13" s="2214"/>
      <c r="B13" s="2220">
        <v>111</v>
      </c>
      <c r="C13" s="489"/>
      <c r="D13" s="490">
        <v>100</v>
      </c>
      <c r="E13" s="478"/>
      <c r="F13" s="235">
        <f>SUMIF(73:73,E13,74:74)-SUMIF(73:73,C13,74:74)+100</f>
        <v>100</v>
      </c>
      <c r="G13" s="832"/>
      <c r="H13" s="490">
        <f>SUMIF(73:73,G13,74:74)-SUMIF(73:73,C13,74:74)+100</f>
        <v>100</v>
      </c>
      <c r="I13" s="478"/>
      <c r="J13" s="490">
        <f>SUMIF(73:73,I13,74:74)-SUMIF(73:73,C13,74:74)+100</f>
        <v>100</v>
      </c>
      <c r="K13" s="531"/>
      <c r="L13" s="1749"/>
      <c r="M13" s="1742"/>
      <c r="N13" s="1742"/>
      <c r="O13" s="1742"/>
      <c r="P13" s="3594"/>
      <c r="Q13" s="818">
        <f t="shared" si="6"/>
        <v>111</v>
      </c>
      <c r="R13" s="1303" t="s">
        <v>5</v>
      </c>
      <c r="S13" s="1304">
        <f t="shared" si="0"/>
        <v>100</v>
      </c>
      <c r="T13" s="1303" t="s">
        <v>5</v>
      </c>
      <c r="U13" s="1304">
        <f t="shared" si="1"/>
        <v>100</v>
      </c>
      <c r="V13" s="1303" t="s">
        <v>5</v>
      </c>
      <c r="W13" s="1304">
        <f t="shared" si="2"/>
        <v>100</v>
      </c>
      <c r="X13" s="1305"/>
      <c r="Y13" s="3546"/>
      <c r="Z13" s="996">
        <f t="shared" si="7"/>
        <v>111</v>
      </c>
      <c r="AA13" s="996">
        <f t="shared" si="3"/>
        <v>1</v>
      </c>
      <c r="AB13" s="996">
        <f t="shared" si="4"/>
        <v>1</v>
      </c>
      <c r="AC13" s="996">
        <f t="shared" si="5"/>
        <v>1</v>
      </c>
    </row>
    <row r="14" spans="1:29" ht="15.75" thickBot="1">
      <c r="A14" s="2215"/>
      <c r="B14" s="2221">
        <v>111</v>
      </c>
      <c r="C14" s="495"/>
      <c r="D14" s="496">
        <v>100</v>
      </c>
      <c r="E14" s="833"/>
      <c r="F14" s="496">
        <f>SUMIF(75:75,E14,76:76)-SUMIF(75:75,C14,76:76)+100</f>
        <v>100</v>
      </c>
      <c r="G14" s="832"/>
      <c r="H14" s="496">
        <f>SUMIF(75:75,G14,76:76)-SUMIF(75:75,C14,76:76)+100</f>
        <v>100</v>
      </c>
      <c r="I14" s="478"/>
      <c r="J14" s="496">
        <f>SUMIF(75:75,I14,76:76)-SUMIF(75:75,C14,76:76)+100</f>
        <v>100</v>
      </c>
      <c r="K14" s="531"/>
      <c r="L14" s="1749"/>
      <c r="M14" s="1742"/>
      <c r="N14" s="1742"/>
      <c r="O14" s="1742"/>
      <c r="P14" s="3594"/>
      <c r="Q14" s="818">
        <f t="shared" si="6"/>
        <v>111</v>
      </c>
      <c r="R14" s="1303" t="s">
        <v>5</v>
      </c>
      <c r="S14" s="1304">
        <f t="shared" si="0"/>
        <v>100</v>
      </c>
      <c r="T14" s="1303" t="s">
        <v>5</v>
      </c>
      <c r="U14" s="1304">
        <f t="shared" si="1"/>
        <v>100</v>
      </c>
      <c r="V14" s="1303" t="s">
        <v>5</v>
      </c>
      <c r="W14" s="1304">
        <f t="shared" si="2"/>
        <v>100</v>
      </c>
      <c r="X14" s="1305"/>
      <c r="Y14" s="3546"/>
      <c r="Z14" s="996">
        <f t="shared" si="7"/>
        <v>111</v>
      </c>
      <c r="AA14" s="996">
        <f t="shared" si="3"/>
        <v>1</v>
      </c>
      <c r="AB14" s="996">
        <f t="shared" si="4"/>
        <v>1</v>
      </c>
      <c r="AC14" s="996">
        <f t="shared" si="5"/>
        <v>1</v>
      </c>
    </row>
    <row r="15" spans="1:29" ht="15">
      <c r="A15" s="2207" t="s">
        <v>2036</v>
      </c>
      <c r="B15" s="497" t="s">
        <v>491</v>
      </c>
      <c r="C15" s="498">
        <f>估价对象房地状况!C5</f>
        <v>0</v>
      </c>
      <c r="D15" s="499">
        <v>100</v>
      </c>
      <c r="E15" s="502"/>
      <c r="F15" s="499">
        <f>SUMIF(77:77,E16,78:78)-SUMIF(77:77,C16,78:78)+100</f>
        <v>100</v>
      </c>
      <c r="G15" s="500"/>
      <c r="H15" s="499">
        <f>SUMIF(77:77,G16,78:78)-SUMIF(77:77,C16,78:78)+100</f>
        <v>100</v>
      </c>
      <c r="I15" s="500"/>
      <c r="J15" s="499">
        <f>SUMIF(77:77,I16,78:78)-SUMIF(77:77,C16,78:78)+100</f>
        <v>100</v>
      </c>
      <c r="K15" s="822"/>
      <c r="L15" s="1749"/>
      <c r="M15" s="1742"/>
      <c r="N15" s="1742"/>
      <c r="O15" s="1742"/>
      <c r="P15" s="3596" t="s">
        <v>489</v>
      </c>
      <c r="Q15" s="1306" t="str">
        <f t="shared" si="6"/>
        <v>办公集聚程度</v>
      </c>
      <c r="R15" s="1307" t="s">
        <v>5</v>
      </c>
      <c r="S15" s="1308">
        <f t="shared" si="0"/>
        <v>100</v>
      </c>
      <c r="T15" s="1307" t="s">
        <v>5</v>
      </c>
      <c r="U15" s="1308">
        <f t="shared" si="1"/>
        <v>100</v>
      </c>
      <c r="V15" s="1307" t="s">
        <v>5</v>
      </c>
      <c r="W15" s="1308">
        <f t="shared" si="2"/>
        <v>100</v>
      </c>
      <c r="X15" s="1302"/>
      <c r="Y15" s="3596" t="s">
        <v>489</v>
      </c>
      <c r="Z15" s="1309" t="str">
        <f t="shared" si="7"/>
        <v>办公集聚程度</v>
      </c>
      <c r="AA15" s="1309">
        <f t="shared" si="3"/>
        <v>1</v>
      </c>
      <c r="AB15" s="1309">
        <f t="shared" si="4"/>
        <v>1</v>
      </c>
      <c r="AC15" s="1309">
        <f t="shared" si="5"/>
        <v>1</v>
      </c>
    </row>
    <row r="16" spans="1:29" ht="15">
      <c r="A16" s="482"/>
      <c r="B16" s="503"/>
      <c r="C16" s="504"/>
      <c r="D16" s="505"/>
      <c r="E16" s="526"/>
      <c r="F16" s="505"/>
      <c r="G16" s="504"/>
      <c r="H16" s="509"/>
      <c r="I16" s="526"/>
      <c r="J16" s="505"/>
      <c r="K16" s="823"/>
      <c r="L16" s="1749"/>
      <c r="M16" s="1742"/>
      <c r="N16" s="1742"/>
      <c r="O16" s="1742"/>
      <c r="P16" s="3597"/>
      <c r="Q16" s="1306"/>
      <c r="R16" s="1307"/>
      <c r="S16" s="1308"/>
      <c r="T16" s="1307"/>
      <c r="U16" s="1308"/>
      <c r="V16" s="1307"/>
      <c r="W16" s="1308"/>
      <c r="X16" s="1302"/>
      <c r="Y16" s="3597"/>
      <c r="Z16" s="1309"/>
      <c r="AA16" s="1309">
        <v>1</v>
      </c>
      <c r="AB16" s="1309">
        <v>1</v>
      </c>
      <c r="AC16" s="1309">
        <v>1</v>
      </c>
    </row>
    <row r="17" spans="1:29" ht="114">
      <c r="A17" s="482"/>
      <c r="B17" s="510" t="s">
        <v>262</v>
      </c>
      <c r="C17" s="523" t="str">
        <f>估价对象房地状况!C6</f>
        <v>估价对象周边道路状况一般、公共交通通达情况较差，有5、122路经过、停车便捷程度，综合评价交通便捷度一般</v>
      </c>
      <c r="D17" s="509">
        <v>100</v>
      </c>
      <c r="E17" s="514"/>
      <c r="F17" s="509">
        <f>SUMIF(79:79,E18,80:80)-SUMIF(79:79,C18,80:80)+100</f>
        <v>100</v>
      </c>
      <c r="G17" s="512"/>
      <c r="H17" s="515">
        <f>SUMIF(79:79,G18,80:80)-SUMIF(79:79,C18,80:80)+100</f>
        <v>100</v>
      </c>
      <c r="I17" s="512"/>
      <c r="J17" s="515">
        <f>SUMIF(79:79,I18,80:80)-SUMIF(79:79,C18,80:80)+100</f>
        <v>100</v>
      </c>
      <c r="K17" s="822"/>
      <c r="L17" s="1749"/>
      <c r="M17" s="1742"/>
      <c r="N17" s="1742"/>
      <c r="O17" s="1742"/>
      <c r="P17" s="3597"/>
      <c r="Q17" s="1306" t="str">
        <f>B17</f>
        <v>交通便捷度</v>
      </c>
      <c r="R17" s="1307" t="s">
        <v>5</v>
      </c>
      <c r="S17" s="1308">
        <f>F17</f>
        <v>100</v>
      </c>
      <c r="T17" s="1307" t="s">
        <v>5</v>
      </c>
      <c r="U17" s="1308">
        <f>H17</f>
        <v>100</v>
      </c>
      <c r="V17" s="1307" t="s">
        <v>5</v>
      </c>
      <c r="W17" s="1308">
        <f>J17</f>
        <v>100</v>
      </c>
      <c r="X17" s="1302"/>
      <c r="Y17" s="3597"/>
      <c r="Z17" s="1309" t="str">
        <f>Q17</f>
        <v>交通便捷度</v>
      </c>
      <c r="AA17" s="1309">
        <f t="shared" si="3"/>
        <v>1</v>
      </c>
      <c r="AB17" s="1309">
        <f t="shared" si="4"/>
        <v>1</v>
      </c>
      <c r="AC17" s="1309">
        <f t="shared" si="5"/>
        <v>1</v>
      </c>
    </row>
    <row r="18" spans="1:29" ht="15">
      <c r="A18" s="482"/>
      <c r="B18" s="516"/>
      <c r="C18" s="517"/>
      <c r="D18" s="509"/>
      <c r="E18" s="519"/>
      <c r="F18" s="509"/>
      <c r="G18" s="518"/>
      <c r="H18" s="505"/>
      <c r="I18" s="518"/>
      <c r="J18" s="505"/>
      <c r="K18" s="823"/>
      <c r="L18" s="1749"/>
      <c r="M18" s="1742"/>
      <c r="N18" s="1742"/>
      <c r="O18" s="1742"/>
      <c r="P18" s="3597"/>
      <c r="Q18" s="1306"/>
      <c r="R18" s="1307"/>
      <c r="S18" s="1308"/>
      <c r="T18" s="1307"/>
      <c r="U18" s="1308"/>
      <c r="V18" s="1307"/>
      <c r="W18" s="1308"/>
      <c r="X18" s="1302"/>
      <c r="Y18" s="3597"/>
      <c r="Z18" s="1309"/>
      <c r="AA18" s="1309">
        <v>1</v>
      </c>
      <c r="AB18" s="1309">
        <v>1</v>
      </c>
      <c r="AC18" s="1309">
        <v>1</v>
      </c>
    </row>
    <row r="19" spans="1:29" ht="57">
      <c r="A19" s="482"/>
      <c r="B19" s="2062" t="s">
        <v>1829</v>
      </c>
      <c r="C19" s="523" t="str">
        <f>估价对象房地状况!C7</f>
        <v>估价对象所在区域公共配套设施齐备情况较差</v>
      </c>
      <c r="D19" s="515">
        <v>100</v>
      </c>
      <c r="E19" s="522"/>
      <c r="F19" s="515">
        <f>SUMIF(81:81,E20,82:82)-SUMIF(81:81,C20,82:82)+100</f>
        <v>100</v>
      </c>
      <c r="G19" s="520"/>
      <c r="H19" s="509">
        <f>SUMIF(81:81,G20,82:82)-SUMIF(81:81,C20,82:82)+100</f>
        <v>100</v>
      </c>
      <c r="I19" s="520"/>
      <c r="J19" s="509">
        <f>SUMIF(81:81,I20,82:82)-SUMIF(81:81,C20,82:82)+100</f>
        <v>100</v>
      </c>
      <c r="K19" s="822"/>
      <c r="L19" s="1749"/>
      <c r="M19" s="1742"/>
      <c r="N19" s="1742"/>
      <c r="O19" s="1742"/>
      <c r="P19" s="3597"/>
      <c r="Q19" s="1306" t="str">
        <f>B19</f>
        <v>公共配套设施</v>
      </c>
      <c r="R19" s="1307" t="s">
        <v>5</v>
      </c>
      <c r="S19" s="1308">
        <f>F19</f>
        <v>100</v>
      </c>
      <c r="T19" s="1307" t="s">
        <v>5</v>
      </c>
      <c r="U19" s="1308">
        <f>H19</f>
        <v>100</v>
      </c>
      <c r="V19" s="1307" t="s">
        <v>5</v>
      </c>
      <c r="W19" s="1308">
        <f>J19</f>
        <v>100</v>
      </c>
      <c r="X19" s="1302"/>
      <c r="Y19" s="3597"/>
      <c r="Z19" s="1309" t="str">
        <f>Q19</f>
        <v>公共配套设施</v>
      </c>
      <c r="AA19" s="1309">
        <f t="shared" si="3"/>
        <v>1</v>
      </c>
      <c r="AB19" s="1309">
        <f t="shared" si="4"/>
        <v>1</v>
      </c>
      <c r="AC19" s="1309">
        <f t="shared" si="5"/>
        <v>1</v>
      </c>
    </row>
    <row r="20" spans="1:29" ht="15">
      <c r="A20" s="482"/>
      <c r="B20" s="516"/>
      <c r="C20" s="504"/>
      <c r="D20" s="505"/>
      <c r="E20" s="508"/>
      <c r="F20" s="505"/>
      <c r="G20" s="506"/>
      <c r="H20" s="505"/>
      <c r="I20" s="506"/>
      <c r="J20" s="505"/>
      <c r="K20" s="823"/>
      <c r="L20" s="1749"/>
      <c r="M20" s="1742"/>
      <c r="N20" s="1742"/>
      <c r="O20" s="1742"/>
      <c r="P20" s="3597"/>
      <c r="Q20" s="1306"/>
      <c r="R20" s="1307"/>
      <c r="S20" s="1308"/>
      <c r="T20" s="1307"/>
      <c r="U20" s="1308"/>
      <c r="V20" s="1307"/>
      <c r="W20" s="1308"/>
      <c r="X20" s="1302"/>
      <c r="Y20" s="3597"/>
      <c r="Z20" s="1309"/>
      <c r="AA20" s="1309">
        <v>1</v>
      </c>
      <c r="AB20" s="1309">
        <v>1</v>
      </c>
      <c r="AC20" s="1309">
        <v>1</v>
      </c>
    </row>
    <row r="21" spans="1:29" ht="15">
      <c r="A21" s="482"/>
      <c r="B21" s="2050" t="s">
        <v>1841</v>
      </c>
      <c r="C21" s="523" t="str">
        <f>估价对象房地状况!C8</f>
        <v>六通</v>
      </c>
      <c r="D21" s="515">
        <v>100</v>
      </c>
      <c r="E21" s="522"/>
      <c r="F21" s="515">
        <f>SUMIF(83:83,E22,84:84)-SUMIF(83:83,C22,84:84)+100</f>
        <v>100</v>
      </c>
      <c r="G21" s="520"/>
      <c r="H21" s="515">
        <f>SUMIF(83:83,G22,84:84)-SUMIF(83:83,C22,84:84)+100</f>
        <v>100</v>
      </c>
      <c r="I21" s="520"/>
      <c r="J21" s="515">
        <f>SUMIF(83:83,I22,84:84)-SUMIF(83:83,C22,84:84)+100</f>
        <v>100</v>
      </c>
      <c r="K21" s="822"/>
      <c r="L21" s="1749"/>
      <c r="M21" s="1742"/>
      <c r="N21" s="1742"/>
      <c r="O21" s="1742"/>
      <c r="P21" s="3597"/>
      <c r="Q21" s="1306" t="str">
        <f>B21</f>
        <v>基础设施水平</v>
      </c>
      <c r="R21" s="1307" t="s">
        <v>5</v>
      </c>
      <c r="S21" s="1308">
        <f>F21</f>
        <v>100</v>
      </c>
      <c r="T21" s="1307" t="s">
        <v>5</v>
      </c>
      <c r="U21" s="1308">
        <f>H21</f>
        <v>100</v>
      </c>
      <c r="V21" s="1307" t="s">
        <v>5</v>
      </c>
      <c r="W21" s="1308">
        <f>J21</f>
        <v>100</v>
      </c>
      <c r="X21" s="1302"/>
      <c r="Y21" s="3597"/>
      <c r="Z21" s="1309" t="str">
        <f>Q21</f>
        <v>基础设施水平</v>
      </c>
      <c r="AA21" s="1309">
        <f>D21/F21</f>
        <v>1</v>
      </c>
      <c r="AB21" s="1309">
        <f>D21/H21</f>
        <v>1</v>
      </c>
      <c r="AC21" s="1309">
        <f>D21/J21</f>
        <v>1</v>
      </c>
    </row>
    <row r="22" spans="1:29" ht="15">
      <c r="A22" s="482"/>
      <c r="B22" s="528"/>
      <c r="C22" s="517"/>
      <c r="D22" s="505"/>
      <c r="E22" s="526"/>
      <c r="F22" s="505"/>
      <c r="G22" s="504"/>
      <c r="H22" s="505"/>
      <c r="I22" s="504"/>
      <c r="J22" s="505"/>
      <c r="K22" s="2061"/>
      <c r="L22" s="1749"/>
      <c r="M22" s="1742"/>
      <c r="N22" s="1742"/>
      <c r="O22" s="1742"/>
      <c r="P22" s="3597"/>
      <c r="Q22" s="1306"/>
      <c r="R22" s="1307"/>
      <c r="S22" s="1308"/>
      <c r="T22" s="1307"/>
      <c r="U22" s="1308"/>
      <c r="V22" s="1307"/>
      <c r="W22" s="1308"/>
      <c r="X22" s="1302"/>
      <c r="Y22" s="3597"/>
      <c r="Z22" s="1309"/>
      <c r="AA22" s="1309">
        <v>1</v>
      </c>
      <c r="AB22" s="1309">
        <v>1</v>
      </c>
      <c r="AC22" s="1309">
        <v>1</v>
      </c>
    </row>
    <row r="23" spans="1:29" ht="57">
      <c r="A23" s="482"/>
      <c r="B23" s="510" t="s">
        <v>718</v>
      </c>
      <c r="C23" s="523" t="str">
        <f>估价对象房地状况!C9</f>
        <v>区域自然环境：；人文环境；综合评价环境状况较好</v>
      </c>
      <c r="D23" s="509">
        <v>100</v>
      </c>
      <c r="E23" s="514"/>
      <c r="F23" s="509">
        <f>SUMIF(85:85,E24,86:86)-SUMIF(85:85,C24,86:86)+100</f>
        <v>100</v>
      </c>
      <c r="G23" s="512"/>
      <c r="H23" s="509">
        <f>SUMIF(85:85,G24,86:86)-SUMIF(85:85,C24,86:86)+100</f>
        <v>100</v>
      </c>
      <c r="I23" s="512"/>
      <c r="J23" s="509">
        <f>SUMIF(85:85,I24,86:86)-SUMIF(85:85,C24,86:86)+100</f>
        <v>100</v>
      </c>
      <c r="K23" s="822"/>
      <c r="L23" s="1749"/>
      <c r="M23" s="1742"/>
      <c r="N23" s="1742"/>
      <c r="O23" s="1742"/>
      <c r="P23" s="3597"/>
      <c r="Q23" s="1306" t="str">
        <f>B23</f>
        <v>环境质量</v>
      </c>
      <c r="R23" s="1307" t="s">
        <v>5</v>
      </c>
      <c r="S23" s="1308">
        <f>F23</f>
        <v>100</v>
      </c>
      <c r="T23" s="1307" t="s">
        <v>5</v>
      </c>
      <c r="U23" s="1308">
        <f>H23</f>
        <v>100</v>
      </c>
      <c r="V23" s="1307" t="s">
        <v>5</v>
      </c>
      <c r="W23" s="1308">
        <f>J23</f>
        <v>100</v>
      </c>
      <c r="X23" s="1302"/>
      <c r="Y23" s="3597"/>
      <c r="Z23" s="1309" t="str">
        <f>Q23</f>
        <v>环境质量</v>
      </c>
      <c r="AA23" s="1309">
        <f t="shared" si="3"/>
        <v>1</v>
      </c>
      <c r="AB23" s="1309">
        <f t="shared" si="4"/>
        <v>1</v>
      </c>
      <c r="AC23" s="1309">
        <f t="shared" si="5"/>
        <v>1</v>
      </c>
    </row>
    <row r="24" spans="1:29" ht="15">
      <c r="A24" s="482"/>
      <c r="B24" s="528"/>
      <c r="C24" s="504"/>
      <c r="D24" s="505"/>
      <c r="E24" s="508"/>
      <c r="F24" s="505"/>
      <c r="G24" s="506"/>
      <c r="H24" s="505"/>
      <c r="I24" s="506"/>
      <c r="J24" s="505"/>
      <c r="K24" s="823"/>
      <c r="L24" s="1749"/>
      <c r="M24" s="1742"/>
      <c r="N24" s="1742"/>
      <c r="O24" s="1742"/>
      <c r="P24" s="3597"/>
      <c r="Q24" s="1306"/>
      <c r="R24" s="1307"/>
      <c r="S24" s="1308"/>
      <c r="T24" s="1307"/>
      <c r="U24" s="1308"/>
      <c r="V24" s="1307"/>
      <c r="W24" s="1308"/>
      <c r="X24" s="1302"/>
      <c r="Y24" s="3597"/>
      <c r="Z24" s="1309"/>
      <c r="AA24" s="1309">
        <v>1</v>
      </c>
      <c r="AB24" s="1309">
        <v>1</v>
      </c>
      <c r="AC24" s="1309">
        <v>1</v>
      </c>
    </row>
    <row r="25" spans="1:29" ht="28.5">
      <c r="A25" s="466"/>
      <c r="B25" s="510" t="s">
        <v>497</v>
      </c>
      <c r="C25" s="834"/>
      <c r="D25" s="490">
        <v>100</v>
      </c>
      <c r="E25" s="489"/>
      <c r="F25" s="490">
        <f>SUMIF(87:87,E26,88:88)-SUMIF(87:87,C26,88:88)+100</f>
        <v>100</v>
      </c>
      <c r="G25" s="834"/>
      <c r="H25" s="490">
        <f>SUMIF(87:87,G26,88:88)-SUMIF(87:87,C26,88:88)+100</f>
        <v>100</v>
      </c>
      <c r="I25" s="489"/>
      <c r="J25" s="490">
        <f>SUMIF(87:87,I26,88:88)-SUMIF(87:87,C26,88:88)+100</f>
        <v>100</v>
      </c>
      <c r="K25" s="822"/>
      <c r="L25" s="1749"/>
      <c r="M25" s="1742"/>
      <c r="N25" s="1742"/>
      <c r="O25" s="1742"/>
      <c r="P25" s="3597"/>
      <c r="Q25" s="1306" t="str">
        <f>B25</f>
        <v>毗邻道路的类型与等级</v>
      </c>
      <c r="R25" s="1307" t="s">
        <v>5</v>
      </c>
      <c r="S25" s="1308">
        <f>F25</f>
        <v>100</v>
      </c>
      <c r="T25" s="1307" t="s">
        <v>5</v>
      </c>
      <c r="U25" s="1308">
        <f>H25</f>
        <v>100</v>
      </c>
      <c r="V25" s="1307" t="s">
        <v>5</v>
      </c>
      <c r="W25" s="1308">
        <f>J25</f>
        <v>100</v>
      </c>
      <c r="X25" s="1302"/>
      <c r="Y25" s="3597"/>
      <c r="Z25" s="1309" t="str">
        <f>Q25</f>
        <v>毗邻道路的类型与等级</v>
      </c>
      <c r="AA25" s="1309">
        <f t="shared" si="3"/>
        <v>1</v>
      </c>
      <c r="AB25" s="1309">
        <f t="shared" si="4"/>
        <v>1</v>
      </c>
      <c r="AC25" s="1309">
        <f t="shared" si="5"/>
        <v>1</v>
      </c>
    </row>
    <row r="26" spans="1:29" ht="15">
      <c r="A26" s="466"/>
      <c r="B26" s="516"/>
      <c r="C26" s="530"/>
      <c r="D26" s="490"/>
      <c r="E26" s="532"/>
      <c r="F26" s="490"/>
      <c r="G26" s="530"/>
      <c r="H26" s="490"/>
      <c r="I26" s="532"/>
      <c r="J26" s="490"/>
      <c r="K26" s="823"/>
      <c r="L26" s="1749"/>
      <c r="M26" s="1742"/>
      <c r="N26" s="1742"/>
      <c r="O26" s="1742"/>
      <c r="P26" s="3597"/>
      <c r="Q26" s="1306"/>
      <c r="R26" s="1307"/>
      <c r="S26" s="1308"/>
      <c r="T26" s="1307"/>
      <c r="U26" s="1308"/>
      <c r="V26" s="1307"/>
      <c r="W26" s="1308"/>
      <c r="X26" s="1302"/>
      <c r="Y26" s="3597"/>
      <c r="Z26" s="1309"/>
      <c r="AA26" s="1309">
        <v>1</v>
      </c>
      <c r="AB26" s="1309">
        <v>1</v>
      </c>
      <c r="AC26" s="1309">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9"/>
      <c r="M27" s="1742"/>
      <c r="N27" s="1742"/>
      <c r="O27" s="1742"/>
      <c r="P27" s="3597"/>
      <c r="Q27" s="1306" t="str">
        <f t="shared" ref="Q27:Q47" si="8">B27</f>
        <v>楼层</v>
      </c>
      <c r="R27" s="1307" t="s">
        <v>5</v>
      </c>
      <c r="S27" s="1308">
        <f>F27</f>
        <v>100</v>
      </c>
      <c r="T27" s="1307" t="s">
        <v>5</v>
      </c>
      <c r="U27" s="1308">
        <f>H27</f>
        <v>100</v>
      </c>
      <c r="V27" s="1307" t="s">
        <v>5</v>
      </c>
      <c r="W27" s="1308">
        <f>J27</f>
        <v>100</v>
      </c>
      <c r="X27" s="1302"/>
      <c r="Y27" s="3597"/>
      <c r="Z27" s="1309" t="str">
        <f>Q27</f>
        <v>楼层</v>
      </c>
      <c r="AA27" s="1309">
        <f t="shared" si="3"/>
        <v>1</v>
      </c>
      <c r="AB27" s="1309">
        <f t="shared" si="4"/>
        <v>1</v>
      </c>
      <c r="AC27" s="1309">
        <f t="shared" si="5"/>
        <v>1</v>
      </c>
    </row>
    <row r="28" spans="1:29" s="1059" customFormat="1" ht="15">
      <c r="A28" s="486"/>
      <c r="B28" s="510" t="s">
        <v>719</v>
      </c>
      <c r="C28" s="835"/>
      <c r="D28" s="516">
        <v>100</v>
      </c>
      <c r="E28" s="825"/>
      <c r="F28" s="516">
        <f>SUMIF(91:91,E28,92:92)-SUMIF(91:91,C28,92:92)+100</f>
        <v>100</v>
      </c>
      <c r="G28" s="835"/>
      <c r="H28" s="516">
        <f>SUMIF(91:91,G28,92:92)-SUMIF(91:91,C28,92:92)+100</f>
        <v>100</v>
      </c>
      <c r="I28" s="825"/>
      <c r="J28" s="516">
        <f>SUMIF(91:91,I28,92:92)-SUMIF(91:91,C28,92:92)+100</f>
        <v>100</v>
      </c>
      <c r="K28" s="533"/>
      <c r="L28" s="1743"/>
      <c r="M28" s="1640"/>
      <c r="N28" s="1640"/>
      <c r="O28" s="1640"/>
      <c r="P28" s="3597"/>
      <c r="Q28" s="818" t="str">
        <f t="shared" si="8"/>
        <v>朝向</v>
      </c>
      <c r="R28" s="1303" t="s">
        <v>5</v>
      </c>
      <c r="S28" s="1304">
        <f>F28</f>
        <v>100</v>
      </c>
      <c r="T28" s="1303" t="s">
        <v>5</v>
      </c>
      <c r="U28" s="1304">
        <f>H28</f>
        <v>100</v>
      </c>
      <c r="V28" s="1303" t="s">
        <v>5</v>
      </c>
      <c r="W28" s="1304">
        <f>J28</f>
        <v>100</v>
      </c>
      <c r="X28" s="1305"/>
      <c r="Y28" s="3597"/>
      <c r="Z28" s="996" t="str">
        <f>Q28</f>
        <v>朝向</v>
      </c>
      <c r="AA28" s="1309">
        <f>D28/F28</f>
        <v>1</v>
      </c>
      <c r="AB28" s="1309">
        <f>D28/H28</f>
        <v>1</v>
      </c>
      <c r="AC28" s="1309">
        <f>D28/J28</f>
        <v>1</v>
      </c>
    </row>
    <row r="29" spans="1:29" ht="15">
      <c r="A29" s="482"/>
      <c r="B29" s="534">
        <v>111</v>
      </c>
      <c r="C29" s="834"/>
      <c r="D29" s="490">
        <v>100</v>
      </c>
      <c r="E29" s="478"/>
      <c r="F29" s="490">
        <f>SUMIF(93:93,E29,94:94)-SUMIF(93:93,C29,94:94)+100</f>
        <v>100</v>
      </c>
      <c r="G29" s="832"/>
      <c r="H29" s="490">
        <f>SUMIF(93:93,G29,94:94)-SUMIF(93:93,C29,94:94)+100</f>
        <v>100</v>
      </c>
      <c r="I29" s="478"/>
      <c r="J29" s="490">
        <f>SUMIF(93:93,I29,94:94)-SUMIF(93:93,C29,94:94)+100</f>
        <v>100</v>
      </c>
      <c r="K29" s="531"/>
      <c r="L29" s="1749"/>
      <c r="M29" s="1742"/>
      <c r="N29" s="1742"/>
      <c r="O29" s="1742"/>
      <c r="P29" s="3597"/>
      <c r="Q29" s="1306">
        <f t="shared" si="8"/>
        <v>111</v>
      </c>
      <c r="R29" s="1307" t="s">
        <v>5</v>
      </c>
      <c r="S29" s="1308">
        <f t="shared" ref="S29:S47" si="9">F29</f>
        <v>100</v>
      </c>
      <c r="T29" s="1307" t="s">
        <v>5</v>
      </c>
      <c r="U29" s="1308">
        <f t="shared" ref="U29:U47" si="10">H29</f>
        <v>100</v>
      </c>
      <c r="V29" s="1307" t="s">
        <v>5</v>
      </c>
      <c r="W29" s="1308">
        <f t="shared" ref="W29:W47" si="11">J29</f>
        <v>100</v>
      </c>
      <c r="X29" s="1302"/>
      <c r="Y29" s="3597"/>
      <c r="Z29" s="1309">
        <f t="shared" ref="Z29:Z47" si="12">Q29</f>
        <v>111</v>
      </c>
      <c r="AA29" s="1309">
        <f t="shared" si="3"/>
        <v>1</v>
      </c>
      <c r="AB29" s="1309">
        <f t="shared" si="4"/>
        <v>1</v>
      </c>
      <c r="AC29" s="1309">
        <f t="shared" si="5"/>
        <v>1</v>
      </c>
    </row>
    <row r="30" spans="1:29" ht="15">
      <c r="A30" s="482"/>
      <c r="B30" s="534">
        <v>111</v>
      </c>
      <c r="C30" s="834"/>
      <c r="D30" s="490">
        <v>100</v>
      </c>
      <c r="E30" s="478"/>
      <c r="F30" s="490">
        <f>SUMIF(95:95,E30,96:96)-SUMIF(95:95,C30,96:96)+100</f>
        <v>100</v>
      </c>
      <c r="G30" s="832"/>
      <c r="H30" s="490">
        <f>SUMIF(95:95,G30,96:96)-SUMIF(95:95,C30,96:96)+100</f>
        <v>100</v>
      </c>
      <c r="I30" s="478"/>
      <c r="J30" s="490">
        <f>SUMIF(95:95,I30,96:96)-SUMIF(95:95,C30,96:96)+100</f>
        <v>100</v>
      </c>
      <c r="K30" s="531"/>
      <c r="L30" s="1749"/>
      <c r="M30" s="1742"/>
      <c r="N30" s="1742"/>
      <c r="O30" s="1742"/>
      <c r="P30" s="3597"/>
      <c r="Q30" s="1306">
        <f t="shared" si="8"/>
        <v>111</v>
      </c>
      <c r="R30" s="1307" t="s">
        <v>5</v>
      </c>
      <c r="S30" s="1308">
        <f t="shared" si="9"/>
        <v>100</v>
      </c>
      <c r="T30" s="1307" t="s">
        <v>5</v>
      </c>
      <c r="U30" s="1308">
        <f t="shared" si="10"/>
        <v>100</v>
      </c>
      <c r="V30" s="1307" t="s">
        <v>5</v>
      </c>
      <c r="W30" s="1308">
        <f t="shared" si="11"/>
        <v>100</v>
      </c>
      <c r="X30" s="1302"/>
      <c r="Y30" s="3597"/>
      <c r="Z30" s="1309">
        <f t="shared" si="12"/>
        <v>111</v>
      </c>
      <c r="AA30" s="1309">
        <f t="shared" si="3"/>
        <v>1</v>
      </c>
      <c r="AB30" s="1309">
        <f t="shared" si="4"/>
        <v>1</v>
      </c>
      <c r="AC30" s="1309">
        <f t="shared" si="5"/>
        <v>1</v>
      </c>
    </row>
    <row r="31" spans="1:29" ht="15">
      <c r="A31" s="482"/>
      <c r="B31" s="534">
        <v>111</v>
      </c>
      <c r="C31" s="834"/>
      <c r="D31" s="490">
        <v>100</v>
      </c>
      <c r="E31" s="478"/>
      <c r="F31" s="490">
        <f>SUMIF(97:97,E31,98:98)-SUMIF(97:97,C31,98:98)+100</f>
        <v>100</v>
      </c>
      <c r="G31" s="832"/>
      <c r="H31" s="490">
        <f>SUMIF(97:97,G31,98:98)-SUMIF(97:97,C31,98:98)+100</f>
        <v>100</v>
      </c>
      <c r="I31" s="478"/>
      <c r="J31" s="490">
        <f>SUMIF(97:97,I31,98:98)-SUMIF(97:97,C31,98:98)+100</f>
        <v>100</v>
      </c>
      <c r="K31" s="531"/>
      <c r="L31" s="1749"/>
      <c r="M31" s="1742"/>
      <c r="N31" s="1742"/>
      <c r="O31" s="1742"/>
      <c r="P31" s="3597"/>
      <c r="Q31" s="1306">
        <f t="shared" si="8"/>
        <v>111</v>
      </c>
      <c r="R31" s="1307" t="s">
        <v>5</v>
      </c>
      <c r="S31" s="1308">
        <f t="shared" si="9"/>
        <v>100</v>
      </c>
      <c r="T31" s="1307" t="s">
        <v>5</v>
      </c>
      <c r="U31" s="1308">
        <f t="shared" si="10"/>
        <v>100</v>
      </c>
      <c r="V31" s="1307" t="s">
        <v>5</v>
      </c>
      <c r="W31" s="1308">
        <f t="shared" si="11"/>
        <v>100</v>
      </c>
      <c r="X31" s="1302"/>
      <c r="Y31" s="3597"/>
      <c r="Z31" s="1309">
        <f t="shared" si="12"/>
        <v>111</v>
      </c>
      <c r="AA31" s="1309">
        <f t="shared" si="3"/>
        <v>1</v>
      </c>
      <c r="AB31" s="1309">
        <f t="shared" si="4"/>
        <v>1</v>
      </c>
      <c r="AC31" s="1309">
        <f t="shared" si="5"/>
        <v>1</v>
      </c>
    </row>
    <row r="32" spans="1:29" ht="15.75" thickBot="1">
      <c r="A32" s="493"/>
      <c r="B32" s="836">
        <v>111</v>
      </c>
      <c r="C32" s="837"/>
      <c r="D32" s="496">
        <v>100</v>
      </c>
      <c r="E32" s="833"/>
      <c r="F32" s="496">
        <f>SUMIF(99:99,E32,100:100)-SUMIF(99:99,C32,100:100)+100</f>
        <v>100</v>
      </c>
      <c r="G32" s="832"/>
      <c r="H32" s="496">
        <f>SUMIF(99:99,G32,100:100)-SUMIF(99:99,C32,100:100)+100</f>
        <v>100</v>
      </c>
      <c r="I32" s="478"/>
      <c r="J32" s="496">
        <f>SUMIF(99:99,I32,100:100)-SUMIF(99:99,C32,100:100)+100</f>
        <v>100</v>
      </c>
      <c r="K32" s="531"/>
      <c r="L32" s="1749"/>
      <c r="M32" s="1742"/>
      <c r="N32" s="1742"/>
      <c r="O32" s="1742"/>
      <c r="P32" s="3597"/>
      <c r="Q32" s="1306">
        <f t="shared" si="8"/>
        <v>111</v>
      </c>
      <c r="R32" s="1307" t="s">
        <v>5</v>
      </c>
      <c r="S32" s="1308">
        <f t="shared" si="9"/>
        <v>100</v>
      </c>
      <c r="T32" s="1307" t="s">
        <v>5</v>
      </c>
      <c r="U32" s="1308">
        <f t="shared" si="10"/>
        <v>100</v>
      </c>
      <c r="V32" s="1307" t="s">
        <v>5</v>
      </c>
      <c r="W32" s="1308">
        <f t="shared" si="11"/>
        <v>100</v>
      </c>
      <c r="X32" s="1302"/>
      <c r="Y32" s="3597"/>
      <c r="Z32" s="1309">
        <f t="shared" si="12"/>
        <v>111</v>
      </c>
      <c r="AA32" s="1309">
        <f t="shared" si="3"/>
        <v>1</v>
      </c>
      <c r="AB32" s="1309">
        <f t="shared" si="4"/>
        <v>1</v>
      </c>
      <c r="AC32" s="1309">
        <f t="shared" si="5"/>
        <v>1</v>
      </c>
    </row>
    <row r="33" spans="1:29" ht="15">
      <c r="A33" s="2204"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9"/>
      <c r="M33" s="1742"/>
      <c r="N33" s="1742"/>
      <c r="O33" s="1742"/>
      <c r="P33" s="3598" t="s">
        <v>499</v>
      </c>
      <c r="Q33" s="1306" t="str">
        <f t="shared" si="8"/>
        <v>建筑类型</v>
      </c>
      <c r="R33" s="1307" t="s">
        <v>5</v>
      </c>
      <c r="S33" s="1308">
        <f t="shared" si="9"/>
        <v>100</v>
      </c>
      <c r="T33" s="1307" t="s">
        <v>5</v>
      </c>
      <c r="U33" s="1308">
        <f t="shared" si="10"/>
        <v>100</v>
      </c>
      <c r="V33" s="1307" t="s">
        <v>5</v>
      </c>
      <c r="W33" s="1308">
        <f t="shared" si="11"/>
        <v>100</v>
      </c>
      <c r="X33" s="1302"/>
      <c r="Y33" s="3599" t="s">
        <v>499</v>
      </c>
      <c r="Z33" s="1309" t="str">
        <f t="shared" si="12"/>
        <v>建筑类型</v>
      </c>
      <c r="AA33" s="1309">
        <f t="shared" si="3"/>
        <v>1</v>
      </c>
      <c r="AB33" s="1309">
        <f t="shared" si="4"/>
        <v>1</v>
      </c>
      <c r="AC33" s="1309">
        <f t="shared" si="5"/>
        <v>1</v>
      </c>
    </row>
    <row r="34" spans="1:29" s="1133" customFormat="1" ht="15">
      <c r="A34" s="552"/>
      <c r="B34" s="477" t="s">
        <v>673</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7"/>
      <c r="M34" s="1771"/>
      <c r="N34" s="1771"/>
      <c r="O34" s="1771"/>
      <c r="P34" s="3599"/>
      <c r="Q34" s="819" t="str">
        <f t="shared" si="8"/>
        <v>项目建筑规模</v>
      </c>
      <c r="R34" s="1310" t="s">
        <v>5</v>
      </c>
      <c r="S34" s="1311" t="e">
        <f t="shared" si="9"/>
        <v>#N/A</v>
      </c>
      <c r="T34" s="1310" t="s">
        <v>5</v>
      </c>
      <c r="U34" s="1311" t="e">
        <f t="shared" si="10"/>
        <v>#N/A</v>
      </c>
      <c r="V34" s="1310" t="s">
        <v>5</v>
      </c>
      <c r="W34" s="1311" t="e">
        <f t="shared" si="11"/>
        <v>#N/A</v>
      </c>
      <c r="X34" s="1312"/>
      <c r="Y34" s="3599"/>
      <c r="Z34" s="1313" t="str">
        <f t="shared" si="12"/>
        <v>项目建筑规模</v>
      </c>
      <c r="AA34" s="1309" t="e">
        <f t="shared" si="3"/>
        <v>#N/A</v>
      </c>
      <c r="AB34" s="1309" t="e">
        <f t="shared" si="4"/>
        <v>#N/A</v>
      </c>
      <c r="AC34" s="1309"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9"/>
      <c r="M35" s="1742"/>
      <c r="N35" s="1742"/>
      <c r="O35" s="1742"/>
      <c r="P35" s="3599"/>
      <c r="Q35" s="1306" t="str">
        <f t="shared" si="8"/>
        <v>建筑结构</v>
      </c>
      <c r="R35" s="1307" t="s">
        <v>5</v>
      </c>
      <c r="S35" s="1308">
        <f t="shared" si="9"/>
        <v>100</v>
      </c>
      <c r="T35" s="1307" t="s">
        <v>5</v>
      </c>
      <c r="U35" s="1308">
        <f t="shared" si="10"/>
        <v>100</v>
      </c>
      <c r="V35" s="1307" t="s">
        <v>5</v>
      </c>
      <c r="W35" s="1308">
        <f t="shared" si="11"/>
        <v>100</v>
      </c>
      <c r="X35" s="1302"/>
      <c r="Y35" s="3599"/>
      <c r="Z35" s="1309" t="str">
        <f t="shared" si="12"/>
        <v>建筑结构</v>
      </c>
      <c r="AA35" s="1309">
        <f t="shared" si="3"/>
        <v>1</v>
      </c>
      <c r="AB35" s="1309">
        <f t="shared" si="4"/>
        <v>1</v>
      </c>
      <c r="AC35" s="1309">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9"/>
      <c r="M36" s="1742"/>
      <c r="N36" s="1742"/>
      <c r="O36" s="1742"/>
      <c r="P36" s="3599"/>
      <c r="Q36" s="1306" t="str">
        <f t="shared" si="8"/>
        <v>公共部分装修</v>
      </c>
      <c r="R36" s="1307" t="s">
        <v>5</v>
      </c>
      <c r="S36" s="1308">
        <f t="shared" si="9"/>
        <v>100</v>
      </c>
      <c r="T36" s="1307" t="s">
        <v>5</v>
      </c>
      <c r="U36" s="1308">
        <f t="shared" si="10"/>
        <v>100</v>
      </c>
      <c r="V36" s="1307" t="s">
        <v>5</v>
      </c>
      <c r="W36" s="1308">
        <f t="shared" si="11"/>
        <v>100</v>
      </c>
      <c r="X36" s="1302"/>
      <c r="Y36" s="3599"/>
      <c r="Z36" s="1309" t="str">
        <f t="shared" si="12"/>
        <v>公共部分装修</v>
      </c>
      <c r="AA36" s="1309">
        <f t="shared" si="3"/>
        <v>1</v>
      </c>
      <c r="AB36" s="1309">
        <f t="shared" si="4"/>
        <v>1</v>
      </c>
      <c r="AC36" s="1309">
        <f t="shared" si="5"/>
        <v>1</v>
      </c>
    </row>
    <row r="37" spans="1:29" ht="15">
      <c r="A37" s="543"/>
      <c r="B37" s="477" t="s">
        <v>704</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49"/>
      <c r="M37" s="1742"/>
      <c r="N37" s="1742"/>
      <c r="O37" s="1742"/>
      <c r="P37" s="3599"/>
      <c r="Q37" s="1306" t="str">
        <f t="shared" si="8"/>
        <v>成新度</v>
      </c>
      <c r="R37" s="1307" t="s">
        <v>5</v>
      </c>
      <c r="S37" s="1308" t="e">
        <f t="shared" si="9"/>
        <v>#N/A</v>
      </c>
      <c r="T37" s="1307" t="s">
        <v>5</v>
      </c>
      <c r="U37" s="1308" t="e">
        <f t="shared" si="10"/>
        <v>#N/A</v>
      </c>
      <c r="V37" s="1307" t="s">
        <v>5</v>
      </c>
      <c r="W37" s="1308" t="e">
        <f t="shared" si="11"/>
        <v>#N/A</v>
      </c>
      <c r="X37" s="1302"/>
      <c r="Y37" s="3599"/>
      <c r="Z37" s="1309" t="str">
        <f t="shared" si="12"/>
        <v>成新度</v>
      </c>
      <c r="AA37" s="1309" t="e">
        <f t="shared" si="3"/>
        <v>#N/A</v>
      </c>
      <c r="AB37" s="1309" t="e">
        <f t="shared" si="4"/>
        <v>#N/A</v>
      </c>
      <c r="AC37" s="1309" t="e">
        <f t="shared" si="5"/>
        <v>#N/A</v>
      </c>
    </row>
    <row r="38" spans="1:29" s="1059"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3"/>
      <c r="M38" s="1640"/>
      <c r="N38" s="1640"/>
      <c r="O38" s="1640"/>
      <c r="P38" s="3599"/>
      <c r="Q38" s="818" t="str">
        <f t="shared" si="8"/>
        <v>写字楼等级</v>
      </c>
      <c r="R38" s="1303" t="s">
        <v>5</v>
      </c>
      <c r="S38" s="1304">
        <f t="shared" si="9"/>
        <v>100</v>
      </c>
      <c r="T38" s="1303" t="s">
        <v>5</v>
      </c>
      <c r="U38" s="1304">
        <f t="shared" si="10"/>
        <v>100</v>
      </c>
      <c r="V38" s="1303" t="s">
        <v>5</v>
      </c>
      <c r="W38" s="1304">
        <f t="shared" si="11"/>
        <v>100</v>
      </c>
      <c r="X38" s="1305"/>
      <c r="Y38" s="3599"/>
      <c r="Z38" s="996" t="str">
        <f t="shared" si="12"/>
        <v>写字楼等级</v>
      </c>
      <c r="AA38" s="996">
        <f t="shared" si="3"/>
        <v>1</v>
      </c>
      <c r="AB38" s="996">
        <f t="shared" si="4"/>
        <v>1</v>
      </c>
      <c r="AC38" s="996">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9"/>
      <c r="M39" s="1742"/>
      <c r="N39" s="1742"/>
      <c r="O39" s="1742"/>
      <c r="P39" s="3599" t="s">
        <v>499</v>
      </c>
      <c r="Q39" s="1306" t="str">
        <f t="shared" si="8"/>
        <v>物业管理</v>
      </c>
      <c r="R39" s="1307" t="s">
        <v>5</v>
      </c>
      <c r="S39" s="1308">
        <f t="shared" si="9"/>
        <v>100</v>
      </c>
      <c r="T39" s="1307" t="s">
        <v>5</v>
      </c>
      <c r="U39" s="1308">
        <f t="shared" si="10"/>
        <v>100</v>
      </c>
      <c r="V39" s="1307" t="s">
        <v>5</v>
      </c>
      <c r="W39" s="1308">
        <f t="shared" si="11"/>
        <v>100</v>
      </c>
      <c r="X39" s="1302"/>
      <c r="Y39" s="3599" t="s">
        <v>499</v>
      </c>
      <c r="Z39" s="1309" t="str">
        <f t="shared" si="12"/>
        <v>物业管理</v>
      </c>
      <c r="AA39" s="1309">
        <f t="shared" si="3"/>
        <v>1</v>
      </c>
      <c r="AB39" s="1309">
        <f t="shared" si="4"/>
        <v>1</v>
      </c>
      <c r="AC39" s="1309">
        <f t="shared" si="5"/>
        <v>1</v>
      </c>
    </row>
    <row r="40" spans="1:29" ht="15">
      <c r="A40" s="543"/>
      <c r="B40" s="1554"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9"/>
      <c r="M40" s="1742"/>
      <c r="N40" s="1742"/>
      <c r="O40" s="1742"/>
      <c r="P40" s="3599"/>
      <c r="Q40" s="1306" t="str">
        <f t="shared" si="8"/>
        <v>市政基础设施</v>
      </c>
      <c r="R40" s="1307" t="s">
        <v>5</v>
      </c>
      <c r="S40" s="1308">
        <f t="shared" si="9"/>
        <v>100</v>
      </c>
      <c r="T40" s="1307" t="s">
        <v>5</v>
      </c>
      <c r="U40" s="1308">
        <f t="shared" si="10"/>
        <v>100</v>
      </c>
      <c r="V40" s="1307" t="s">
        <v>5</v>
      </c>
      <c r="W40" s="1308">
        <f t="shared" si="11"/>
        <v>100</v>
      </c>
      <c r="X40" s="1302"/>
      <c r="Y40" s="3599"/>
      <c r="Z40" s="1309" t="str">
        <f t="shared" si="12"/>
        <v>市政基础设施</v>
      </c>
      <c r="AA40" s="1309">
        <f t="shared" si="3"/>
        <v>1</v>
      </c>
      <c r="AB40" s="1309">
        <f t="shared" si="4"/>
        <v>1</v>
      </c>
      <c r="AC40" s="1309">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9"/>
      <c r="M41" s="1742"/>
      <c r="N41" s="1742"/>
      <c r="O41" s="1742"/>
      <c r="P41" s="3599"/>
      <c r="Q41" s="1306" t="str">
        <f t="shared" si="8"/>
        <v>层高</v>
      </c>
      <c r="R41" s="1307" t="s">
        <v>5</v>
      </c>
      <c r="S41" s="1308">
        <f t="shared" si="9"/>
        <v>100</v>
      </c>
      <c r="T41" s="1307" t="s">
        <v>5</v>
      </c>
      <c r="U41" s="1308">
        <f t="shared" si="10"/>
        <v>100</v>
      </c>
      <c r="V41" s="1307" t="s">
        <v>5</v>
      </c>
      <c r="W41" s="1308">
        <f t="shared" si="11"/>
        <v>100</v>
      </c>
      <c r="X41" s="1302"/>
      <c r="Y41" s="3599"/>
      <c r="Z41" s="1309" t="str">
        <f t="shared" si="12"/>
        <v>层高</v>
      </c>
      <c r="AA41" s="1309">
        <f t="shared" si="3"/>
        <v>1</v>
      </c>
      <c r="AB41" s="1309">
        <f t="shared" si="4"/>
        <v>1</v>
      </c>
      <c r="AC41" s="1309">
        <f t="shared" si="5"/>
        <v>1</v>
      </c>
    </row>
    <row r="42" spans="1:29" s="1133"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7"/>
      <c r="M42" s="1771"/>
      <c r="N42" s="1771"/>
      <c r="O42" s="1771"/>
      <c r="P42" s="3599"/>
      <c r="Q42" s="819" t="str">
        <f t="shared" si="8"/>
        <v>单套建筑面积</v>
      </c>
      <c r="R42" s="1310" t="s">
        <v>5</v>
      </c>
      <c r="S42" s="1311">
        <f t="shared" si="9"/>
        <v>100</v>
      </c>
      <c r="T42" s="1310" t="s">
        <v>5</v>
      </c>
      <c r="U42" s="1311">
        <f t="shared" si="10"/>
        <v>100</v>
      </c>
      <c r="V42" s="1310" t="s">
        <v>5</v>
      </c>
      <c r="W42" s="1311">
        <f t="shared" si="11"/>
        <v>100</v>
      </c>
      <c r="X42" s="1312"/>
      <c r="Y42" s="3599"/>
      <c r="Z42" s="1313" t="str">
        <f t="shared" si="12"/>
        <v>单套建筑面积</v>
      </c>
      <c r="AA42" s="1309">
        <f t="shared" si="3"/>
        <v>1</v>
      </c>
      <c r="AB42" s="1309">
        <f t="shared" si="4"/>
        <v>1</v>
      </c>
      <c r="AC42" s="1309">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9"/>
      <c r="M43" s="1742"/>
      <c r="N43" s="1742"/>
      <c r="O43" s="1742"/>
      <c r="P43" s="3599"/>
      <c r="Q43" s="1306" t="str">
        <f t="shared" si="8"/>
        <v>内部装修</v>
      </c>
      <c r="R43" s="1307" t="s">
        <v>5</v>
      </c>
      <c r="S43" s="1308">
        <f t="shared" si="9"/>
        <v>100</v>
      </c>
      <c r="T43" s="1307" t="s">
        <v>5</v>
      </c>
      <c r="U43" s="1308">
        <f t="shared" si="10"/>
        <v>100</v>
      </c>
      <c r="V43" s="1307" t="s">
        <v>5</v>
      </c>
      <c r="W43" s="1308">
        <f t="shared" si="11"/>
        <v>100</v>
      </c>
      <c r="X43" s="1302"/>
      <c r="Y43" s="3599"/>
      <c r="Z43" s="1309" t="str">
        <f t="shared" si="12"/>
        <v>内部装修</v>
      </c>
      <c r="AA43" s="1309">
        <f t="shared" si="3"/>
        <v>1</v>
      </c>
      <c r="AB43" s="1309">
        <f t="shared" si="4"/>
        <v>1</v>
      </c>
      <c r="AC43" s="1309">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9"/>
      <c r="M44" s="1742"/>
      <c r="N44" s="1742"/>
      <c r="O44" s="1742"/>
      <c r="P44" s="3599"/>
      <c r="Q44" s="1306" t="str">
        <f t="shared" si="8"/>
        <v>内部装修维护情况</v>
      </c>
      <c r="R44" s="1307" t="s">
        <v>5</v>
      </c>
      <c r="S44" s="1308">
        <f t="shared" si="9"/>
        <v>100</v>
      </c>
      <c r="T44" s="1307" t="s">
        <v>5</v>
      </c>
      <c r="U44" s="1308">
        <f t="shared" si="10"/>
        <v>100</v>
      </c>
      <c r="V44" s="1307" t="s">
        <v>5</v>
      </c>
      <c r="W44" s="1308">
        <f t="shared" si="11"/>
        <v>100</v>
      </c>
      <c r="X44" s="1302"/>
      <c r="Y44" s="3599"/>
      <c r="Z44" s="1309" t="str">
        <f t="shared" si="12"/>
        <v>内部装修维护情况</v>
      </c>
      <c r="AA44" s="1309">
        <f t="shared" si="3"/>
        <v>1</v>
      </c>
      <c r="AB44" s="1309">
        <f t="shared" si="4"/>
        <v>1</v>
      </c>
      <c r="AC44" s="1309">
        <f t="shared" si="5"/>
        <v>1</v>
      </c>
    </row>
    <row r="45" spans="1:29" s="1059"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3"/>
      <c r="M45" s="1640"/>
      <c r="N45" s="1640"/>
      <c r="O45" s="1640"/>
      <c r="P45" s="3599"/>
      <c r="Q45" s="818">
        <f t="shared" si="8"/>
        <v>111</v>
      </c>
      <c r="R45" s="1303" t="s">
        <v>5</v>
      </c>
      <c r="S45" s="1304">
        <f t="shared" si="9"/>
        <v>100</v>
      </c>
      <c r="T45" s="1303" t="s">
        <v>5</v>
      </c>
      <c r="U45" s="1304">
        <f t="shared" si="10"/>
        <v>100</v>
      </c>
      <c r="V45" s="1303" t="s">
        <v>5</v>
      </c>
      <c r="W45" s="1304">
        <f t="shared" si="11"/>
        <v>100</v>
      </c>
      <c r="X45" s="1305"/>
      <c r="Y45" s="3599"/>
      <c r="Z45" s="996">
        <f t="shared" si="12"/>
        <v>111</v>
      </c>
      <c r="AA45" s="996">
        <f t="shared" si="3"/>
        <v>1</v>
      </c>
      <c r="AB45" s="996">
        <f t="shared" si="4"/>
        <v>1</v>
      </c>
      <c r="AC45" s="996">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9"/>
      <c r="M46" s="1742"/>
      <c r="N46" s="1742"/>
      <c r="O46" s="1742"/>
      <c r="P46" s="3599"/>
      <c r="Q46" s="1306">
        <f t="shared" si="8"/>
        <v>111</v>
      </c>
      <c r="R46" s="1307" t="s">
        <v>5</v>
      </c>
      <c r="S46" s="1308">
        <f t="shared" si="9"/>
        <v>100</v>
      </c>
      <c r="T46" s="1307" t="s">
        <v>5</v>
      </c>
      <c r="U46" s="1308">
        <f t="shared" si="10"/>
        <v>100</v>
      </c>
      <c r="V46" s="1307" t="s">
        <v>5</v>
      </c>
      <c r="W46" s="1308">
        <f t="shared" si="11"/>
        <v>100</v>
      </c>
      <c r="X46" s="1302"/>
      <c r="Y46" s="3599"/>
      <c r="Z46" s="1309">
        <f t="shared" si="12"/>
        <v>111</v>
      </c>
      <c r="AA46" s="1309">
        <f t="shared" si="3"/>
        <v>1</v>
      </c>
      <c r="AB46" s="1309">
        <f t="shared" si="4"/>
        <v>1</v>
      </c>
      <c r="AC46" s="1309">
        <f t="shared" si="5"/>
        <v>1</v>
      </c>
    </row>
    <row r="47" spans="1:29" ht="15.75"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9"/>
      <c r="M47" s="1742"/>
      <c r="N47" s="1742"/>
      <c r="O47" s="1742"/>
      <c r="P47" s="3710"/>
      <c r="Q47" s="1306">
        <f t="shared" si="8"/>
        <v>111</v>
      </c>
      <c r="R47" s="1307" t="s">
        <v>5</v>
      </c>
      <c r="S47" s="1308">
        <f t="shared" si="9"/>
        <v>100</v>
      </c>
      <c r="T47" s="1307" t="s">
        <v>5</v>
      </c>
      <c r="U47" s="1308">
        <f t="shared" si="10"/>
        <v>100</v>
      </c>
      <c r="V47" s="1307" t="s">
        <v>5</v>
      </c>
      <c r="W47" s="1308">
        <f t="shared" si="11"/>
        <v>100</v>
      </c>
      <c r="X47" s="1302"/>
      <c r="Y47" s="3710"/>
      <c r="Z47" s="1309">
        <f t="shared" si="12"/>
        <v>111</v>
      </c>
      <c r="AA47" s="1309">
        <f t="shared" si="3"/>
        <v>1</v>
      </c>
      <c r="AB47" s="1309">
        <f t="shared" si="4"/>
        <v>1</v>
      </c>
      <c r="AC47" s="1309">
        <f t="shared" si="5"/>
        <v>1</v>
      </c>
    </row>
    <row r="48" spans="1:29" ht="15">
      <c r="A48" s="556" t="s">
        <v>683</v>
      </c>
      <c r="B48" s="812"/>
      <c r="C48" s="2081" t="s">
        <v>0</v>
      </c>
      <c r="D48" s="559"/>
      <c r="E48" s="560"/>
      <c r="F48" s="561"/>
      <c r="G48" s="562"/>
      <c r="H48" s="563"/>
      <c r="I48" s="560"/>
      <c r="J48" s="563"/>
      <c r="K48" s="1335"/>
      <c r="L48" s="1751"/>
      <c r="M48" s="1742"/>
      <c r="N48" s="1742"/>
      <c r="O48" s="1742"/>
      <c r="P48" s="3601" t="str">
        <f>A48</f>
        <v>成交单价（元/平方米）</v>
      </c>
      <c r="Q48" s="3594"/>
      <c r="R48" s="3610">
        <f>E48</f>
        <v>0</v>
      </c>
      <c r="S48" s="3610"/>
      <c r="T48" s="3610">
        <f>G48</f>
        <v>0</v>
      </c>
      <c r="U48" s="3610"/>
      <c r="V48" s="3610">
        <f>I48</f>
        <v>0</v>
      </c>
      <c r="W48" s="3610"/>
      <c r="X48" s="799"/>
      <c r="Y48" s="1314"/>
      <c r="Z48" s="799"/>
      <c r="AA48" s="799"/>
      <c r="AB48" s="799"/>
      <c r="AC48" s="799"/>
    </row>
    <row r="49" spans="1:29" ht="15.75" thickBot="1">
      <c r="A49" s="564" t="s">
        <v>2042</v>
      </c>
      <c r="B49" s="813"/>
      <c r="C49" s="2082" t="e">
        <f>R50</f>
        <v>#DIV/0!</v>
      </c>
      <c r="D49" s="2550" t="s">
        <v>2256</v>
      </c>
      <c r="E49" s="2083" t="e">
        <f>R49</f>
        <v>#DIV/0!</v>
      </c>
      <c r="F49" s="2551"/>
      <c r="G49" s="2082" t="e">
        <f>T49</f>
        <v>#DIV/0!</v>
      </c>
      <c r="H49" s="2551"/>
      <c r="I49" s="2083" t="e">
        <f>V49</f>
        <v>#DIV/0!</v>
      </c>
      <c r="J49" s="2551"/>
      <c r="K49" s="2558">
        <f>F49+H49+J49</f>
        <v>0</v>
      </c>
      <c r="L49" s="1751"/>
      <c r="M49" s="1742"/>
      <c r="N49" s="1742"/>
      <c r="O49" s="1742"/>
      <c r="P49" s="3601" t="str">
        <f>A49</f>
        <v>比较价格（元/平方米）</v>
      </c>
      <c r="Q49" s="3594"/>
      <c r="R49" s="3610" t="e">
        <f>IF(F1="售价",ROUND(PRODUCT(R48,AA7:AA47),0),ROUND(PRODUCT(R48,AA7:AA47),1))</f>
        <v>#DIV/0!</v>
      </c>
      <c r="S49" s="3610"/>
      <c r="T49" s="3610" t="e">
        <f>IF(F1="售价",ROUND(PRODUCT(T48,AB7:AB47),0),ROUND(PRODUCT(T48,AB7:AB47),1))</f>
        <v>#DIV/0!</v>
      </c>
      <c r="U49" s="3610"/>
      <c r="V49" s="3610" t="e">
        <f>IF(F1="售价",ROUND(PRODUCT(V48,AC7:AC47),0),ROUND(PRODUCT(V48,AC7:AC47),1))</f>
        <v>#DIV/0!</v>
      </c>
      <c r="W49" s="3610"/>
      <c r="X49" s="799"/>
      <c r="Y49" s="799"/>
      <c r="Z49" s="799"/>
      <c r="AA49" s="799"/>
      <c r="AB49" s="799"/>
      <c r="AC49" s="799"/>
    </row>
    <row r="50" spans="1:29" ht="15.75" thickBot="1">
      <c r="A50" s="568" t="s">
        <v>2193</v>
      </c>
      <c r="B50" s="569"/>
      <c r="C50" s="469" t="e">
        <f>R50</f>
        <v>#DIV/0!</v>
      </c>
      <c r="D50" s="469"/>
      <c r="E50" s="469"/>
      <c r="F50" s="469"/>
      <c r="G50" s="469"/>
      <c r="H50" s="469"/>
      <c r="I50" s="469"/>
      <c r="J50" s="469"/>
      <c r="K50" s="1336"/>
      <c r="L50" s="1751"/>
      <c r="M50" s="1742"/>
      <c r="N50" s="1742"/>
      <c r="O50" s="1742"/>
      <c r="P50" s="3716" t="str">
        <f>A50</f>
        <v>估价对象XX用房的比较价格（楼面单价，元/平方米）</v>
      </c>
      <c r="Q50" s="3601"/>
      <c r="R50" s="3709" t="e">
        <f>IF(F1="售价",ROUND(IF(D49="简单平均",AVERAGE(R49:V49),R49*F49+T49*H49+V49*J49),0),ROUND(IF(D49="简单平均",AVERAGE(R49:V49),R49*F49+T49*H49+V49*J49),1))</f>
        <v>#DIV/0!</v>
      </c>
      <c r="S50" s="3709"/>
      <c r="T50" s="3709"/>
      <c r="U50" s="3709"/>
      <c r="V50" s="3709"/>
      <c r="W50" s="3709"/>
      <c r="X50" s="799"/>
      <c r="Y50" s="799"/>
      <c r="Z50" s="799"/>
      <c r="AA50" s="799"/>
      <c r="AB50" s="799"/>
      <c r="AC50" s="799"/>
    </row>
    <row r="51" spans="1:29">
      <c r="A51" s="2721"/>
      <c r="B51" s="2721"/>
      <c r="C51" s="2721"/>
      <c r="D51" s="2721"/>
      <c r="E51" s="2721"/>
      <c r="F51" s="2721"/>
      <c r="G51" s="2723"/>
      <c r="H51" s="2721"/>
      <c r="I51" s="2721"/>
      <c r="J51" s="2721"/>
      <c r="K51" s="2724"/>
      <c r="L51" s="1755"/>
      <c r="M51" s="1742"/>
      <c r="N51" s="1742"/>
      <c r="O51" s="1742"/>
      <c r="P51" s="1804"/>
      <c r="Q51" s="1742"/>
      <c r="R51" s="1742"/>
      <c r="S51" s="1742"/>
      <c r="T51" s="1742"/>
      <c r="U51" s="1742"/>
      <c r="V51" s="1742"/>
      <c r="W51" s="1742"/>
      <c r="X51" s="1742"/>
      <c r="Y51" s="1742"/>
      <c r="Z51" s="1742"/>
      <c r="AA51" s="1742"/>
      <c r="AB51" s="1742"/>
      <c r="AC51" s="1742"/>
    </row>
    <row r="52" spans="1:29">
      <c r="A52" s="2721"/>
      <c r="B52" s="2721"/>
      <c r="C52" s="2721"/>
      <c r="D52" s="2721"/>
      <c r="E52" s="2721"/>
      <c r="F52" s="2721"/>
      <c r="G52" s="2721"/>
      <c r="H52" s="2721"/>
      <c r="I52" s="2721"/>
      <c r="J52" s="2721"/>
      <c r="K52" s="2724"/>
      <c r="L52" s="1755"/>
      <c r="M52" s="1742"/>
      <c r="N52" s="1742"/>
      <c r="O52" s="1742"/>
      <c r="P52" s="1804"/>
      <c r="Q52" s="1742"/>
      <c r="R52" s="1742"/>
      <c r="S52" s="1742"/>
      <c r="T52" s="1742"/>
      <c r="U52" s="1742"/>
      <c r="V52" s="1742"/>
      <c r="W52" s="1742"/>
      <c r="X52" s="1742"/>
      <c r="Y52" s="1742"/>
      <c r="Z52" s="1742"/>
      <c r="AA52" s="1742"/>
      <c r="AB52" s="1742"/>
      <c r="AC52" s="1742"/>
    </row>
    <row r="53" spans="1:29" ht="13.5" customHeight="1">
      <c r="A53" s="2721"/>
      <c r="B53" s="2721"/>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4"/>
      <c r="L53" s="1755"/>
      <c r="M53" s="1742"/>
      <c r="N53" s="1742"/>
      <c r="O53" s="1742"/>
      <c r="P53" s="1804"/>
      <c r="Q53" s="1742"/>
      <c r="R53" s="1742"/>
      <c r="S53" s="1742"/>
      <c r="T53" s="1742"/>
      <c r="U53" s="1742"/>
      <c r="V53" s="1742"/>
      <c r="W53" s="1742"/>
      <c r="X53" s="1742"/>
      <c r="Y53" s="1742"/>
      <c r="Z53" s="1742"/>
      <c r="AA53" s="1742"/>
      <c r="AB53" s="1742"/>
      <c r="AC53" s="1742"/>
    </row>
    <row r="54" spans="1:29" ht="13.5" customHeight="1">
      <c r="A54" s="2721"/>
      <c r="B54" s="2721"/>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4"/>
      <c r="L54" s="1755"/>
      <c r="M54" s="1742"/>
      <c r="N54" s="1742"/>
      <c r="O54" s="1742"/>
      <c r="P54" s="1804"/>
      <c r="Q54" s="1742"/>
      <c r="R54" s="1742"/>
      <c r="S54" s="1742"/>
      <c r="T54" s="1742"/>
      <c r="U54" s="1742"/>
      <c r="V54" s="1742"/>
      <c r="W54" s="1742"/>
      <c r="X54" s="1742"/>
      <c r="Y54" s="1742"/>
      <c r="Z54" s="1742"/>
      <c r="AA54" s="1742"/>
      <c r="AB54" s="1742"/>
      <c r="AC54" s="1742"/>
    </row>
    <row r="55" spans="1:29" s="1138" customFormat="1" ht="13.5" customHeight="1">
      <c r="A55" s="2722"/>
      <c r="B55" s="2722"/>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5"/>
      <c r="L55" s="1758"/>
      <c r="M55" s="1752"/>
      <c r="N55" s="1752"/>
      <c r="O55" s="1752"/>
      <c r="P55" s="1805"/>
      <c r="Q55" s="1752"/>
      <c r="R55" s="1752"/>
      <c r="S55" s="1752"/>
      <c r="T55" s="1752"/>
      <c r="U55" s="1752"/>
      <c r="V55" s="1752"/>
      <c r="W55" s="1752"/>
      <c r="X55" s="1752"/>
      <c r="Y55" s="1752"/>
      <c r="Z55" s="1752"/>
      <c r="AA55" s="1752"/>
      <c r="AB55" s="1752"/>
      <c r="AC55" s="1752"/>
    </row>
    <row r="56" spans="1:29" s="1138" customFormat="1">
      <c r="A56" s="1752"/>
      <c r="B56" s="1753"/>
      <c r="C56" s="1756"/>
      <c r="D56" s="1752"/>
      <c r="E56" s="1752"/>
      <c r="F56" s="1752"/>
      <c r="G56" s="1752"/>
      <c r="H56" s="1752"/>
      <c r="I56" s="1752"/>
      <c r="J56" s="1752"/>
      <c r="K56" s="1757"/>
      <c r="L56" s="1758"/>
      <c r="M56" s="1752"/>
      <c r="N56" s="1752"/>
      <c r="O56" s="1752"/>
      <c r="P56" s="1805"/>
      <c r="Q56" s="1752"/>
      <c r="R56" s="1752"/>
      <c r="S56" s="1752"/>
      <c r="T56" s="1752"/>
      <c r="U56" s="1752"/>
      <c r="V56" s="1752"/>
      <c r="W56" s="1752"/>
      <c r="X56" s="1752"/>
      <c r="Y56" s="1752"/>
      <c r="Z56" s="1752"/>
      <c r="AA56" s="1752"/>
      <c r="AB56" s="1752"/>
      <c r="AC56" s="1752"/>
    </row>
    <row r="57" spans="1:29">
      <c r="A57" s="1742"/>
      <c r="B57" s="1753"/>
      <c r="C57" s="1756"/>
      <c r="D57" s="1742"/>
      <c r="E57" s="1742"/>
      <c r="F57" s="1742"/>
      <c r="G57" s="1742"/>
      <c r="H57" s="1742"/>
      <c r="I57" s="1742"/>
      <c r="J57" s="1742"/>
      <c r="K57" s="1754"/>
      <c r="L57" s="1755"/>
      <c r="M57" s="1742"/>
      <c r="N57" s="1742"/>
      <c r="O57" s="1742"/>
      <c r="P57" s="1804"/>
      <c r="Q57" s="1742"/>
      <c r="R57" s="1742"/>
      <c r="S57" s="1742"/>
      <c r="T57" s="1742"/>
      <c r="U57" s="1742"/>
      <c r="V57" s="1742"/>
      <c r="W57" s="1742"/>
      <c r="X57" s="1742"/>
      <c r="Y57" s="1742"/>
      <c r="Z57" s="1742"/>
      <c r="AA57" s="1742"/>
      <c r="AB57" s="1742"/>
      <c r="AC57" s="1742"/>
    </row>
    <row r="58" spans="1:29" ht="21.75" thickBot="1">
      <c r="A58" s="1317" t="s">
        <v>522</v>
      </c>
      <c r="B58" s="799"/>
      <c r="C58" s="1316"/>
      <c r="D58" s="1316"/>
      <c r="E58" s="1316"/>
      <c r="F58" s="1318"/>
      <c r="G58" s="1318"/>
      <c r="H58" s="1316"/>
      <c r="I58" s="1316"/>
      <c r="J58" s="1316"/>
      <c r="K58" s="1319"/>
      <c r="L58" s="1315"/>
      <c r="M58" s="1316"/>
      <c r="N58" s="1762"/>
      <c r="O58" s="1762"/>
      <c r="P58" s="1806"/>
      <c r="Q58" s="1763"/>
      <c r="R58" s="1742"/>
      <c r="S58" s="1742"/>
      <c r="T58" s="1742"/>
      <c r="U58" s="1742"/>
      <c r="V58" s="1742"/>
      <c r="W58" s="1742"/>
      <c r="X58" s="1742"/>
      <c r="Y58" s="1742"/>
      <c r="Z58" s="1742"/>
      <c r="AA58" s="1742"/>
      <c r="AB58" s="1742"/>
      <c r="AC58" s="1742"/>
    </row>
    <row r="59" spans="1:29" s="1140" customFormat="1" ht="15">
      <c r="A59" s="592" t="s">
        <v>478</v>
      </c>
      <c r="B59" s="593"/>
      <c r="C59" s="2113" t="str">
        <f>YEAR(C7)&amp;"-"&amp;MONTH(C7)</f>
        <v>2023-5</v>
      </c>
      <c r="D59" s="2115">
        <f>EDATE(C59,-1)</f>
        <v>45017</v>
      </c>
      <c r="E59" s="2115">
        <f t="shared" ref="E59:O59" si="13">EDATE(D59,-1)</f>
        <v>44986</v>
      </c>
      <c r="F59" s="2115">
        <f t="shared" si="13"/>
        <v>44958</v>
      </c>
      <c r="G59" s="2115">
        <f t="shared" si="13"/>
        <v>44927</v>
      </c>
      <c r="H59" s="2115">
        <f t="shared" si="13"/>
        <v>44896</v>
      </c>
      <c r="I59" s="2115">
        <f t="shared" si="13"/>
        <v>44866</v>
      </c>
      <c r="J59" s="2115">
        <f t="shared" si="13"/>
        <v>44835</v>
      </c>
      <c r="K59" s="2115">
        <f t="shared" si="13"/>
        <v>44805</v>
      </c>
      <c r="L59" s="2115">
        <f t="shared" si="13"/>
        <v>44774</v>
      </c>
      <c r="M59" s="2115">
        <f t="shared" si="13"/>
        <v>44743</v>
      </c>
      <c r="N59" s="2115">
        <f t="shared" si="13"/>
        <v>44713</v>
      </c>
      <c r="O59" s="2115">
        <f t="shared" si="13"/>
        <v>44682</v>
      </c>
      <c r="P59" s="1807"/>
      <c r="Q59" s="1765"/>
      <c r="R59" s="1765"/>
      <c r="S59" s="1765"/>
      <c r="T59" s="1765"/>
      <c r="U59" s="1765"/>
      <c r="V59" s="1765"/>
      <c r="W59" s="1765"/>
      <c r="X59" s="1765"/>
      <c r="Y59" s="1765"/>
      <c r="Z59" s="1765"/>
      <c r="AA59" s="1765"/>
      <c r="AB59" s="1765"/>
      <c r="AC59" s="1765"/>
    </row>
    <row r="60" spans="1:29" s="1059" customFormat="1" ht="15">
      <c r="A60" s="527"/>
      <c r="B60" s="594"/>
      <c r="C60" s="595">
        <v>100</v>
      </c>
      <c r="D60" s="596"/>
      <c r="E60" s="596"/>
      <c r="F60" s="596"/>
      <c r="G60" s="596"/>
      <c r="H60" s="596"/>
      <c r="I60" s="596"/>
      <c r="J60" s="596"/>
      <c r="K60" s="596"/>
      <c r="L60" s="596"/>
      <c r="M60" s="487"/>
      <c r="N60" s="596"/>
      <c r="O60" s="487"/>
      <c r="P60" s="1808"/>
      <c r="Q60" s="1640"/>
      <c r="R60" s="1640"/>
      <c r="S60" s="1640"/>
      <c r="T60" s="1640"/>
      <c r="U60" s="1640"/>
      <c r="V60" s="1640"/>
      <c r="W60" s="1640"/>
      <c r="X60" s="1640"/>
      <c r="Y60" s="1640"/>
      <c r="Z60" s="1640"/>
      <c r="AA60" s="1640"/>
      <c r="AB60" s="1640"/>
      <c r="AC60" s="1640"/>
    </row>
    <row r="61" spans="1:29" s="1059" customFormat="1" ht="15.75" thickBot="1">
      <c r="A61" s="262" t="s">
        <v>523</v>
      </c>
      <c r="B61" s="598"/>
      <c r="C61" s="599"/>
      <c r="D61" s="600"/>
      <c r="E61" s="600"/>
      <c r="F61" s="600"/>
      <c r="G61" s="600"/>
      <c r="H61" s="600"/>
      <c r="I61" s="600"/>
      <c r="J61" s="600"/>
      <c r="K61" s="600"/>
      <c r="L61" s="600"/>
      <c r="M61" s="601"/>
      <c r="N61" s="600"/>
      <c r="O61" s="601"/>
      <c r="P61" s="1808"/>
      <c r="Q61" s="1763"/>
      <c r="R61" s="1640"/>
      <c r="S61" s="1640"/>
      <c r="T61" s="1640"/>
      <c r="U61" s="1640"/>
      <c r="V61" s="1640"/>
      <c r="W61" s="1640"/>
      <c r="X61" s="1640"/>
      <c r="Y61" s="1640"/>
      <c r="Z61" s="1640"/>
      <c r="AA61" s="1640"/>
      <c r="AB61" s="1640"/>
      <c r="AC61" s="1640"/>
    </row>
    <row r="62" spans="1:29" s="1059" customFormat="1" ht="15">
      <c r="A62" s="603" t="s">
        <v>480</v>
      </c>
      <c r="B62" s="594"/>
      <c r="C62" s="604" t="s">
        <v>524</v>
      </c>
      <c r="D62" s="80"/>
      <c r="E62" s="80"/>
      <c r="F62" s="80"/>
      <c r="G62" s="80"/>
      <c r="H62" s="80"/>
      <c r="I62" s="80"/>
      <c r="J62" s="80"/>
      <c r="K62" s="80"/>
      <c r="L62" s="605"/>
      <c r="M62" s="606"/>
      <c r="N62" s="1766"/>
      <c r="O62" s="1766"/>
      <c r="P62" s="1809"/>
      <c r="Q62" s="1763"/>
      <c r="R62" s="1640"/>
      <c r="S62" s="1640"/>
      <c r="T62" s="1640"/>
      <c r="U62" s="1640"/>
      <c r="V62" s="1640"/>
      <c r="W62" s="1640"/>
      <c r="X62" s="1640"/>
      <c r="Y62" s="1640"/>
      <c r="Z62" s="1640"/>
      <c r="AA62" s="1640"/>
      <c r="AB62" s="1640"/>
      <c r="AC62" s="1640"/>
    </row>
    <row r="63" spans="1:29" s="1059" customFormat="1" ht="15.75" thickBot="1">
      <c r="A63" s="603"/>
      <c r="B63" s="594"/>
      <c r="C63" s="814">
        <v>100</v>
      </c>
      <c r="D63" s="596"/>
      <c r="E63" s="596"/>
      <c r="F63" s="596"/>
      <c r="G63" s="596"/>
      <c r="H63" s="596"/>
      <c r="I63" s="596"/>
      <c r="J63" s="596"/>
      <c r="K63" s="596"/>
      <c r="L63" s="596"/>
      <c r="M63" s="597"/>
      <c r="N63" s="1766"/>
      <c r="O63" s="1766"/>
      <c r="P63" s="1808"/>
      <c r="Q63" s="1763"/>
      <c r="R63" s="1640"/>
      <c r="S63" s="1640"/>
      <c r="T63" s="1640"/>
      <c r="U63" s="1640"/>
      <c r="V63" s="1640"/>
      <c r="W63" s="1640"/>
      <c r="X63" s="1640"/>
      <c r="Y63" s="1640"/>
      <c r="Z63" s="1640"/>
      <c r="AA63" s="1640"/>
      <c r="AB63" s="1640"/>
      <c r="AC63" s="1640"/>
    </row>
    <row r="64" spans="1:29">
      <c r="A64" s="607" t="s">
        <v>525</v>
      </c>
      <c r="B64" s="608" t="s">
        <v>483</v>
      </c>
      <c r="C64" s="645">
        <f>C9</f>
        <v>0</v>
      </c>
      <c r="D64" s="547"/>
      <c r="E64" s="547"/>
      <c r="F64" s="547"/>
      <c r="G64" s="547"/>
      <c r="H64" s="547"/>
      <c r="I64" s="547"/>
      <c r="J64" s="547"/>
      <c r="K64" s="609"/>
      <c r="L64" s="610"/>
      <c r="M64" s="611"/>
      <c r="N64" s="1767"/>
      <c r="O64" s="1767"/>
      <c r="P64" s="1810"/>
      <c r="Q64" s="1763"/>
      <c r="R64" s="1742"/>
      <c r="S64" s="1742"/>
      <c r="T64" s="1742"/>
      <c r="U64" s="1742"/>
      <c r="V64" s="1742"/>
      <c r="W64" s="1742"/>
      <c r="X64" s="1742"/>
      <c r="Y64" s="1742"/>
      <c r="Z64" s="1742"/>
      <c r="AA64" s="1742"/>
      <c r="AB64" s="1742"/>
      <c r="AC64" s="1742"/>
    </row>
    <row r="65" spans="1:29" ht="15.75" thickBot="1">
      <c r="A65" s="482"/>
      <c r="B65" s="612"/>
      <c r="C65" s="613"/>
      <c r="D65" s="613"/>
      <c r="E65" s="613"/>
      <c r="F65" s="613"/>
      <c r="G65" s="613"/>
      <c r="H65" s="613"/>
      <c r="I65" s="613"/>
      <c r="J65" s="613"/>
      <c r="K65" s="613"/>
      <c r="L65" s="613"/>
      <c r="M65" s="614"/>
      <c r="N65" s="1768"/>
      <c r="O65" s="1768"/>
      <c r="P65" s="1810"/>
      <c r="Q65" s="1763"/>
      <c r="R65" s="1742"/>
      <c r="S65" s="1742"/>
      <c r="T65" s="1742"/>
      <c r="U65" s="1742"/>
      <c r="V65" s="1742"/>
      <c r="W65" s="1742"/>
      <c r="X65" s="1742"/>
      <c r="Y65" s="1742"/>
      <c r="Z65" s="1742"/>
      <c r="AA65" s="1742"/>
      <c r="AB65" s="1742"/>
      <c r="AC65" s="1742"/>
    </row>
    <row r="66" spans="1:29" ht="27.75" thickTop="1">
      <c r="A66" s="482"/>
      <c r="B66" s="615" t="s">
        <v>486</v>
      </c>
      <c r="C66" s="658"/>
      <c r="D66" s="658"/>
      <c r="E66" s="658"/>
      <c r="F66" s="658"/>
      <c r="G66" s="658"/>
      <c r="H66" s="658"/>
      <c r="I66" s="658"/>
      <c r="J66" s="658"/>
      <c r="K66" s="659"/>
      <c r="L66" s="660"/>
      <c r="M66" s="661"/>
      <c r="N66" s="1767"/>
      <c r="O66" s="1767"/>
      <c r="P66" s="1810"/>
      <c r="Q66" s="1763"/>
      <c r="R66" s="1742"/>
      <c r="S66" s="1742"/>
      <c r="T66" s="1742"/>
      <c r="U66" s="1742"/>
      <c r="V66" s="1742"/>
      <c r="W66" s="1742"/>
      <c r="X66" s="1742"/>
      <c r="Y66" s="1742"/>
      <c r="Z66" s="1742"/>
      <c r="AA66" s="1742"/>
      <c r="AB66" s="1742"/>
      <c r="AC66" s="1742"/>
    </row>
    <row r="67" spans="1:29" ht="15.75" thickBot="1">
      <c r="A67" s="482"/>
      <c r="B67" s="620"/>
      <c r="C67" s="613"/>
      <c r="D67" s="613"/>
      <c r="E67" s="613"/>
      <c r="F67" s="613"/>
      <c r="G67" s="613"/>
      <c r="H67" s="613"/>
      <c r="I67" s="613"/>
      <c r="J67" s="613"/>
      <c r="K67" s="613"/>
      <c r="L67" s="613"/>
      <c r="M67" s="614"/>
      <c r="N67" s="1768"/>
      <c r="O67" s="1768"/>
      <c r="P67" s="1810"/>
      <c r="Q67" s="1763"/>
      <c r="R67" s="1742"/>
      <c r="S67" s="1742"/>
      <c r="T67" s="1742"/>
      <c r="U67" s="1742"/>
      <c r="V67" s="1742"/>
      <c r="W67" s="1742"/>
      <c r="X67" s="1742"/>
      <c r="Y67" s="1742"/>
      <c r="Z67" s="1742"/>
      <c r="AA67" s="1742"/>
      <c r="AB67" s="1742"/>
      <c r="AC67" s="1742"/>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8"/>
      <c r="O68" s="1768"/>
      <c r="P68" s="1810"/>
      <c r="Q68" s="1763"/>
      <c r="R68" s="1742"/>
      <c r="S68" s="1742"/>
      <c r="T68" s="1742"/>
      <c r="U68" s="1742"/>
      <c r="V68" s="1742"/>
      <c r="W68" s="1742"/>
      <c r="X68" s="1742"/>
      <c r="Y68" s="1742"/>
      <c r="Z68" s="1742"/>
      <c r="AA68" s="1742"/>
      <c r="AB68" s="1742"/>
      <c r="AC68" s="1742"/>
    </row>
    <row r="69" spans="1:29" ht="15">
      <c r="A69" s="482"/>
      <c r="B69" s="625"/>
      <c r="C69" s="491"/>
      <c r="D69" s="491"/>
      <c r="E69" s="491"/>
      <c r="F69" s="491"/>
      <c r="G69" s="491"/>
      <c r="H69" s="491"/>
      <c r="I69" s="491"/>
      <c r="J69" s="491"/>
      <c r="K69" s="626"/>
      <c r="L69" s="627"/>
      <c r="M69" s="628"/>
      <c r="N69" s="1767"/>
      <c r="O69" s="1767"/>
      <c r="P69" s="1810"/>
      <c r="Q69" s="1763"/>
      <c r="R69" s="1742"/>
      <c r="S69" s="1742"/>
      <c r="T69" s="1742"/>
      <c r="U69" s="1742"/>
      <c r="V69" s="1742"/>
      <c r="W69" s="1742"/>
      <c r="X69" s="1742"/>
      <c r="Y69" s="1742"/>
      <c r="Z69" s="1742"/>
      <c r="AA69" s="1742"/>
      <c r="AB69" s="1742"/>
      <c r="AC69" s="1742"/>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8"/>
      <c r="O70" s="1768"/>
      <c r="P70" s="1810"/>
      <c r="Q70" s="1763"/>
      <c r="R70" s="1742"/>
      <c r="S70" s="1742"/>
      <c r="T70" s="1742"/>
      <c r="U70" s="1742"/>
      <c r="V70" s="1742"/>
      <c r="W70" s="1742"/>
      <c r="X70" s="1742"/>
      <c r="Y70" s="1742"/>
      <c r="Z70" s="1742"/>
      <c r="AA70" s="1742"/>
      <c r="AB70" s="1742"/>
      <c r="AC70" s="1742"/>
    </row>
    <row r="71" spans="1:29" s="1133" customFormat="1" ht="15.75" thickTop="1">
      <c r="A71" s="629"/>
      <c r="B71" s="615">
        <f>B12</f>
        <v>111</v>
      </c>
      <c r="C71" s="630"/>
      <c r="D71" s="630"/>
      <c r="E71" s="630"/>
      <c r="F71" s="630"/>
      <c r="G71" s="630"/>
      <c r="H71" s="631"/>
      <c r="I71" s="631"/>
      <c r="J71" s="631"/>
      <c r="K71" s="631"/>
      <c r="L71" s="632"/>
      <c r="M71" s="633"/>
      <c r="N71" s="1769"/>
      <c r="O71" s="1769"/>
      <c r="P71" s="1811"/>
      <c r="Q71" s="1770"/>
      <c r="R71" s="1771"/>
      <c r="S71" s="1771"/>
      <c r="T71" s="1771"/>
      <c r="U71" s="1771"/>
      <c r="V71" s="1771"/>
      <c r="W71" s="1771"/>
      <c r="X71" s="1771"/>
      <c r="Y71" s="1771"/>
      <c r="Z71" s="1771"/>
      <c r="AA71" s="1771"/>
      <c r="AB71" s="1771"/>
      <c r="AC71" s="1771"/>
    </row>
    <row r="72" spans="1:29" s="1133" customFormat="1" ht="15.75" thickBot="1">
      <c r="A72" s="629"/>
      <c r="B72" s="620"/>
      <c r="C72" s="634"/>
      <c r="D72" s="613"/>
      <c r="E72" s="613"/>
      <c r="F72" s="613"/>
      <c r="G72" s="613"/>
      <c r="H72" s="613"/>
      <c r="I72" s="613"/>
      <c r="J72" s="613"/>
      <c r="K72" s="613"/>
      <c r="L72" s="613"/>
      <c r="M72" s="614"/>
      <c r="N72" s="1768"/>
      <c r="O72" s="1768"/>
      <c r="P72" s="1811"/>
      <c r="Q72" s="1770"/>
      <c r="R72" s="1771"/>
      <c r="S72" s="1771"/>
      <c r="T72" s="1771"/>
      <c r="U72" s="1771"/>
      <c r="V72" s="1771"/>
      <c r="W72" s="1771"/>
      <c r="X72" s="1771"/>
      <c r="Y72" s="1771"/>
      <c r="Z72" s="1771"/>
      <c r="AA72" s="1771"/>
      <c r="AB72" s="1771"/>
      <c r="AC72" s="1771"/>
    </row>
    <row r="73" spans="1:29" s="1133" customFormat="1" ht="15.75" thickTop="1">
      <c r="A73" s="629"/>
      <c r="B73" s="615">
        <f>B13</f>
        <v>111</v>
      </c>
      <c r="C73" s="630"/>
      <c r="D73" s="630"/>
      <c r="E73" s="630"/>
      <c r="F73" s="630"/>
      <c r="G73" s="630"/>
      <c r="H73" s="631"/>
      <c r="I73" s="631"/>
      <c r="J73" s="631"/>
      <c r="K73" s="631"/>
      <c r="L73" s="632"/>
      <c r="M73" s="633"/>
      <c r="N73" s="1769"/>
      <c r="O73" s="1769"/>
      <c r="P73" s="1812"/>
      <c r="Q73" s="1772"/>
      <c r="R73" s="1771"/>
      <c r="S73" s="1771"/>
      <c r="T73" s="1771"/>
      <c r="U73" s="1771"/>
      <c r="V73" s="1771"/>
      <c r="W73" s="1771"/>
      <c r="X73" s="1771"/>
      <c r="Y73" s="1771"/>
      <c r="Z73" s="1771"/>
      <c r="AA73" s="1771"/>
      <c r="AB73" s="1771"/>
      <c r="AC73" s="1771"/>
    </row>
    <row r="74" spans="1:29" s="1133" customFormat="1" ht="15.75" thickBot="1">
      <c r="A74" s="629"/>
      <c r="B74" s="620"/>
      <c r="C74" s="634"/>
      <c r="D74" s="634"/>
      <c r="E74" s="634"/>
      <c r="F74" s="634"/>
      <c r="G74" s="634"/>
      <c r="H74" s="635"/>
      <c r="I74" s="635"/>
      <c r="J74" s="635"/>
      <c r="K74" s="635"/>
      <c r="L74" s="635"/>
      <c r="M74" s="636"/>
      <c r="N74" s="1769"/>
      <c r="O74" s="1769"/>
      <c r="P74" s="1811"/>
      <c r="Q74" s="1770"/>
      <c r="R74" s="1771"/>
      <c r="S74" s="1771"/>
      <c r="T74" s="1771"/>
      <c r="U74" s="1771"/>
      <c r="V74" s="1771"/>
      <c r="W74" s="1771"/>
      <c r="X74" s="1771"/>
      <c r="Y74" s="1771"/>
      <c r="Z74" s="1771"/>
      <c r="AA74" s="1771"/>
      <c r="AB74" s="1771"/>
      <c r="AC74" s="1771"/>
    </row>
    <row r="75" spans="1:29" s="1133" customFormat="1" ht="15.75" thickTop="1">
      <c r="A75" s="629"/>
      <c r="B75" s="623">
        <f>B14</f>
        <v>111</v>
      </c>
      <c r="C75" s="80"/>
      <c r="D75" s="80"/>
      <c r="E75" s="80"/>
      <c r="F75" s="80"/>
      <c r="G75" s="80"/>
      <c r="H75" s="637"/>
      <c r="I75" s="637"/>
      <c r="J75" s="637"/>
      <c r="K75" s="637"/>
      <c r="L75" s="638"/>
      <c r="M75" s="639"/>
      <c r="N75" s="1769"/>
      <c r="O75" s="1769"/>
      <c r="P75" s="1813"/>
      <c r="Q75" s="1770"/>
      <c r="R75" s="1771"/>
      <c r="S75" s="1771"/>
      <c r="T75" s="1771"/>
      <c r="U75" s="1771"/>
      <c r="V75" s="1771"/>
      <c r="W75" s="1771"/>
      <c r="X75" s="1771"/>
      <c r="Y75" s="1771"/>
      <c r="Z75" s="1771"/>
      <c r="AA75" s="1771"/>
      <c r="AB75" s="1771"/>
      <c r="AC75" s="1771"/>
    </row>
    <row r="76" spans="1:29" s="1133" customFormat="1" ht="15.75" thickBot="1">
      <c r="A76" s="640"/>
      <c r="B76" s="641"/>
      <c r="C76" s="642"/>
      <c r="D76" s="642"/>
      <c r="E76" s="642"/>
      <c r="F76" s="642"/>
      <c r="G76" s="642"/>
      <c r="H76" s="643"/>
      <c r="I76" s="643"/>
      <c r="J76" s="643"/>
      <c r="K76" s="643"/>
      <c r="L76" s="643"/>
      <c r="M76" s="644"/>
      <c r="N76" s="1769"/>
      <c r="O76" s="1769"/>
      <c r="P76" s="1811"/>
      <c r="Q76" s="1770"/>
      <c r="R76" s="1771"/>
      <c r="S76" s="1771"/>
      <c r="T76" s="1771"/>
      <c r="U76" s="1771"/>
      <c r="V76" s="1771"/>
      <c r="W76" s="1771"/>
      <c r="X76" s="1771"/>
      <c r="Y76" s="1771"/>
      <c r="Z76" s="1771"/>
      <c r="AA76" s="1771"/>
      <c r="AB76" s="1771"/>
      <c r="AC76" s="1771"/>
    </row>
    <row r="77" spans="1:29">
      <c r="A77" s="607" t="s">
        <v>488</v>
      </c>
      <c r="B77" s="608" t="s">
        <v>533</v>
      </c>
      <c r="C77" s="143" t="s">
        <v>527</v>
      </c>
      <c r="D77" s="143" t="s">
        <v>528</v>
      </c>
      <c r="E77" s="143" t="s">
        <v>529</v>
      </c>
      <c r="F77" s="143" t="s">
        <v>530</v>
      </c>
      <c r="G77" s="143" t="s">
        <v>531</v>
      </c>
      <c r="H77" s="645"/>
      <c r="I77" s="645"/>
      <c r="J77" s="645"/>
      <c r="K77" s="646"/>
      <c r="L77" s="647"/>
      <c r="M77" s="648"/>
      <c r="N77" s="1767"/>
      <c r="O77" s="1767"/>
      <c r="P77" s="1814"/>
      <c r="Q77" s="1763"/>
      <c r="R77" s="1742"/>
      <c r="S77" s="1742"/>
      <c r="T77" s="1742"/>
      <c r="U77" s="1742"/>
      <c r="V77" s="1742"/>
      <c r="W77" s="1742"/>
      <c r="X77" s="1742"/>
      <c r="Y77" s="1742"/>
      <c r="Z77" s="1742"/>
      <c r="AA77" s="1742"/>
      <c r="AB77" s="1742"/>
      <c r="AC77" s="1742"/>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8"/>
      <c r="O78" s="1768"/>
      <c r="P78" s="1810"/>
      <c r="Q78" s="1763"/>
      <c r="R78" s="1742"/>
      <c r="S78" s="1742"/>
      <c r="T78" s="1742"/>
      <c r="U78" s="1742"/>
      <c r="V78" s="1742"/>
      <c r="W78" s="1742"/>
      <c r="X78" s="1742"/>
      <c r="Y78" s="1742"/>
      <c r="Z78" s="1742"/>
      <c r="AA78" s="1742"/>
      <c r="AB78" s="1742"/>
      <c r="AC78" s="1742"/>
    </row>
    <row r="79" spans="1:29" ht="15.75" thickTop="1">
      <c r="A79" s="482"/>
      <c r="B79" s="615" t="s">
        <v>534</v>
      </c>
      <c r="C79" s="649" t="s">
        <v>527</v>
      </c>
      <c r="D79" s="649" t="s">
        <v>528</v>
      </c>
      <c r="E79" s="649" t="s">
        <v>529</v>
      </c>
      <c r="F79" s="649" t="s">
        <v>530</v>
      </c>
      <c r="G79" s="649" t="s">
        <v>531</v>
      </c>
      <c r="H79" s="616"/>
      <c r="I79" s="616"/>
      <c r="J79" s="616"/>
      <c r="K79" s="617"/>
      <c r="L79" s="618"/>
      <c r="M79" s="619"/>
      <c r="N79" s="1767"/>
      <c r="O79" s="1767"/>
      <c r="P79" s="1810"/>
      <c r="Q79" s="1763"/>
      <c r="R79" s="1742"/>
      <c r="S79" s="1742"/>
      <c r="T79" s="1742"/>
      <c r="U79" s="1742"/>
      <c r="V79" s="1742"/>
      <c r="W79" s="1742"/>
      <c r="X79" s="1742"/>
      <c r="Y79" s="1742"/>
      <c r="Z79" s="1742"/>
      <c r="AA79" s="1742"/>
      <c r="AB79" s="1742"/>
      <c r="AC79" s="1742"/>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8"/>
      <c r="O80" s="1768"/>
      <c r="P80" s="1810"/>
      <c r="Q80" s="1763"/>
      <c r="R80" s="1742"/>
      <c r="S80" s="1742"/>
      <c r="T80" s="1742"/>
      <c r="U80" s="1742"/>
      <c r="V80" s="1742"/>
      <c r="W80" s="1742"/>
      <c r="X80" s="1742"/>
      <c r="Y80" s="1742"/>
      <c r="Z80" s="1742"/>
      <c r="AA80" s="1742"/>
      <c r="AB80" s="1742"/>
      <c r="AC80" s="1742"/>
    </row>
    <row r="81" spans="1:29" ht="15.75" thickTop="1">
      <c r="A81" s="482"/>
      <c r="B81" s="1555" t="s">
        <v>1840</v>
      </c>
      <c r="C81" s="649" t="s">
        <v>527</v>
      </c>
      <c r="D81" s="649" t="s">
        <v>528</v>
      </c>
      <c r="E81" s="649" t="s">
        <v>529</v>
      </c>
      <c r="F81" s="649" t="s">
        <v>530</v>
      </c>
      <c r="G81" s="649" t="s">
        <v>531</v>
      </c>
      <c r="H81" s="616"/>
      <c r="I81" s="616"/>
      <c r="J81" s="616"/>
      <c r="K81" s="617"/>
      <c r="L81" s="618"/>
      <c r="M81" s="619"/>
      <c r="N81" s="1767"/>
      <c r="O81" s="1767"/>
      <c r="P81" s="1810"/>
      <c r="Q81" s="1763"/>
      <c r="R81" s="1742"/>
      <c r="S81" s="1742"/>
      <c r="T81" s="1742"/>
      <c r="U81" s="1742"/>
      <c r="V81" s="1742"/>
      <c r="W81" s="1742"/>
      <c r="X81" s="1742"/>
      <c r="Y81" s="1742"/>
      <c r="Z81" s="1742"/>
      <c r="AA81" s="1742"/>
      <c r="AB81" s="1742"/>
      <c r="AC81" s="1742"/>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8"/>
      <c r="O82" s="1768"/>
      <c r="P82" s="1810"/>
      <c r="Q82" s="1763"/>
      <c r="R82" s="1742"/>
      <c r="S82" s="1742"/>
      <c r="T82" s="1742"/>
      <c r="U82" s="1742"/>
      <c r="V82" s="1742"/>
      <c r="W82" s="1742"/>
      <c r="X82" s="1742"/>
      <c r="Y82" s="1742"/>
      <c r="Z82" s="1742"/>
      <c r="AA82" s="1742"/>
      <c r="AB82" s="1742"/>
      <c r="AC82" s="1742"/>
    </row>
    <row r="83" spans="1:29" ht="15.75" thickTop="1">
      <c r="A83" s="482"/>
      <c r="B83" s="2056" t="s">
        <v>1841</v>
      </c>
      <c r="C83" s="2057" t="s">
        <v>1842</v>
      </c>
      <c r="D83" s="2057" t="s">
        <v>1843</v>
      </c>
      <c r="E83" s="2057" t="s">
        <v>1844</v>
      </c>
      <c r="F83" s="2057" t="s">
        <v>1845</v>
      </c>
      <c r="G83" s="2057" t="s">
        <v>1846</v>
      </c>
      <c r="H83" s="616"/>
      <c r="I83" s="616"/>
      <c r="J83" s="616"/>
      <c r="K83" s="616"/>
      <c r="L83" s="616"/>
      <c r="M83" s="2060"/>
      <c r="N83" s="1768"/>
      <c r="O83" s="1768"/>
      <c r="P83" s="1810"/>
      <c r="Q83" s="1763"/>
      <c r="R83" s="1742"/>
      <c r="S83" s="1742"/>
      <c r="T83" s="1742"/>
      <c r="U83" s="1742"/>
      <c r="V83" s="1742"/>
      <c r="W83" s="1742"/>
      <c r="X83" s="1742"/>
      <c r="Y83" s="1742"/>
      <c r="Z83" s="1742"/>
      <c r="AA83" s="1742"/>
      <c r="AB83" s="1742"/>
      <c r="AC83" s="1742"/>
    </row>
    <row r="84" spans="1:29" ht="15.75" thickBot="1">
      <c r="A84" s="482"/>
      <c r="B84" s="623"/>
      <c r="C84" s="621">
        <v>100</v>
      </c>
      <c r="D84" s="621">
        <f>C84-$K21</f>
        <v>100</v>
      </c>
      <c r="E84" s="621">
        <f>D84-$K21</f>
        <v>100</v>
      </c>
      <c r="F84" s="621">
        <f>E84-$K21</f>
        <v>100</v>
      </c>
      <c r="G84" s="621">
        <f>F84-$K21</f>
        <v>100</v>
      </c>
      <c r="H84" s="855"/>
      <c r="I84" s="855"/>
      <c r="J84" s="855"/>
      <c r="K84" s="855"/>
      <c r="L84" s="855"/>
      <c r="M84" s="509"/>
      <c r="N84" s="1768"/>
      <c r="O84" s="1768"/>
      <c r="P84" s="1810"/>
      <c r="Q84" s="1763"/>
      <c r="R84" s="1742"/>
      <c r="S84" s="1742"/>
      <c r="T84" s="1742"/>
      <c r="U84" s="1742"/>
      <c r="V84" s="1742"/>
      <c r="W84" s="1742"/>
      <c r="X84" s="1742"/>
      <c r="Y84" s="1742"/>
      <c r="Z84" s="1742"/>
      <c r="AA84" s="1742"/>
      <c r="AB84" s="1742"/>
      <c r="AC84" s="1742"/>
    </row>
    <row r="85" spans="1:29" ht="15.75" thickTop="1">
      <c r="A85" s="482"/>
      <c r="B85" s="615" t="s">
        <v>724</v>
      </c>
      <c r="C85" s="649" t="s">
        <v>527</v>
      </c>
      <c r="D85" s="649" t="s">
        <v>528</v>
      </c>
      <c r="E85" s="649" t="s">
        <v>529</v>
      </c>
      <c r="F85" s="649" t="s">
        <v>530</v>
      </c>
      <c r="G85" s="649" t="s">
        <v>531</v>
      </c>
      <c r="H85" s="616"/>
      <c r="I85" s="616"/>
      <c r="J85" s="616"/>
      <c r="K85" s="617"/>
      <c r="L85" s="618"/>
      <c r="M85" s="619"/>
      <c r="N85" s="1767"/>
      <c r="O85" s="1767"/>
      <c r="P85" s="1810"/>
      <c r="Q85" s="1763"/>
      <c r="R85" s="1742"/>
      <c r="S85" s="1742"/>
      <c r="T85" s="1742"/>
      <c r="U85" s="1742"/>
      <c r="V85" s="1742"/>
      <c r="W85" s="1742"/>
      <c r="X85" s="1742"/>
      <c r="Y85" s="1742"/>
      <c r="Z85" s="1742"/>
      <c r="AA85" s="1742"/>
      <c r="AB85" s="1742"/>
      <c r="AC85" s="1742"/>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8"/>
      <c r="O86" s="1768"/>
      <c r="P86" s="1810"/>
      <c r="Q86" s="1763"/>
      <c r="R86" s="1742"/>
      <c r="S86" s="1742"/>
      <c r="T86" s="1742"/>
      <c r="U86" s="1742"/>
      <c r="V86" s="1742"/>
      <c r="W86" s="1742"/>
      <c r="X86" s="1742"/>
      <c r="Y86" s="1742"/>
      <c r="Z86" s="1742"/>
      <c r="AA86" s="1742"/>
      <c r="AB86" s="1742"/>
      <c r="AC86" s="1742"/>
    </row>
    <row r="87" spans="1:29" s="1059" customFormat="1" ht="27.75" thickTop="1">
      <c r="A87" s="486"/>
      <c r="B87" s="615" t="s">
        <v>725</v>
      </c>
      <c r="C87" s="630"/>
      <c r="D87" s="630"/>
      <c r="E87" s="630"/>
      <c r="F87" s="630"/>
      <c r="G87" s="630"/>
      <c r="H87" s="630"/>
      <c r="I87" s="630"/>
      <c r="J87" s="630"/>
      <c r="K87" s="630"/>
      <c r="L87" s="815"/>
      <c r="M87" s="816"/>
      <c r="N87" s="1766"/>
      <c r="O87" s="1766"/>
      <c r="P87" s="1810"/>
      <c r="Q87" s="1763"/>
      <c r="R87" s="1640"/>
      <c r="S87" s="1640"/>
      <c r="T87" s="1640"/>
      <c r="U87" s="1640"/>
      <c r="V87" s="1640"/>
      <c r="W87" s="1640"/>
      <c r="X87" s="1640"/>
      <c r="Y87" s="1640"/>
      <c r="Z87" s="1640"/>
      <c r="AA87" s="1640"/>
      <c r="AB87" s="1640"/>
      <c r="AC87" s="1640"/>
    </row>
    <row r="88" spans="1:29" s="1059"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8"/>
      <c r="O88" s="1768"/>
      <c r="P88" s="1810"/>
      <c r="Q88" s="1763"/>
      <c r="R88" s="1640"/>
      <c r="S88" s="1640"/>
      <c r="T88" s="1640"/>
      <c r="U88" s="1640"/>
      <c r="V88" s="1640"/>
      <c r="W88" s="1640"/>
      <c r="X88" s="1640"/>
      <c r="Y88" s="1640"/>
      <c r="Z88" s="1640"/>
      <c r="AA88" s="1640"/>
      <c r="AB88" s="1640"/>
      <c r="AC88" s="1640"/>
    </row>
    <row r="89" spans="1:29" s="1059" customFormat="1" ht="15.75" thickTop="1">
      <c r="A89" s="486"/>
      <c r="B89" s="615" t="str">
        <f>B27</f>
        <v>楼层</v>
      </c>
      <c r="C89" s="630"/>
      <c r="D89" s="630"/>
      <c r="E89" s="630"/>
      <c r="F89" s="817"/>
      <c r="G89" s="630"/>
      <c r="H89" s="630"/>
      <c r="I89" s="630"/>
      <c r="J89" s="630"/>
      <c r="K89" s="630"/>
      <c r="L89" s="630"/>
      <c r="M89" s="816"/>
      <c r="N89" s="1766"/>
      <c r="O89" s="1766"/>
      <c r="P89" s="1810"/>
      <c r="Q89" s="1763"/>
      <c r="R89" s="1640"/>
      <c r="S89" s="1640"/>
      <c r="T89" s="1640"/>
      <c r="U89" s="1640"/>
      <c r="V89" s="1640"/>
      <c r="W89" s="1640"/>
      <c r="X89" s="1640"/>
      <c r="Y89" s="1640"/>
      <c r="Z89" s="1640"/>
      <c r="AA89" s="1640"/>
      <c r="AB89" s="1640"/>
      <c r="AC89" s="1640"/>
    </row>
    <row r="90" spans="1:29" s="1059"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8"/>
      <c r="O90" s="1768"/>
      <c r="P90" s="1810"/>
      <c r="Q90" s="1763"/>
      <c r="R90" s="1640"/>
      <c r="S90" s="1640"/>
      <c r="T90" s="1640"/>
      <c r="U90" s="1640"/>
      <c r="V90" s="1640"/>
      <c r="W90" s="1640"/>
      <c r="X90" s="1640"/>
      <c r="Y90" s="1640"/>
      <c r="Z90" s="1640"/>
      <c r="AA90" s="1640"/>
      <c r="AB90" s="1640"/>
      <c r="AC90" s="1640"/>
    </row>
    <row r="91" spans="1:29" s="1133" customFormat="1" ht="15.75" thickTop="1">
      <c r="A91" s="629"/>
      <c r="B91" s="615" t="str">
        <f>B28</f>
        <v>朝向</v>
      </c>
      <c r="C91" s="630"/>
      <c r="D91" s="630"/>
      <c r="E91" s="630"/>
      <c r="F91" s="630"/>
      <c r="G91" s="630"/>
      <c r="H91" s="631"/>
      <c r="I91" s="631"/>
      <c r="J91" s="631"/>
      <c r="K91" s="631"/>
      <c r="L91" s="632"/>
      <c r="M91" s="633"/>
      <c r="N91" s="1769"/>
      <c r="O91" s="1769"/>
      <c r="P91" s="1811"/>
      <c r="Q91" s="1770"/>
      <c r="R91" s="1771"/>
      <c r="S91" s="1771"/>
      <c r="T91" s="1771"/>
      <c r="U91" s="1771"/>
      <c r="V91" s="1771"/>
      <c r="W91" s="1771"/>
      <c r="X91" s="1771"/>
      <c r="Y91" s="1771"/>
      <c r="Z91" s="1771"/>
      <c r="AA91" s="1771"/>
      <c r="AB91" s="1771"/>
      <c r="AC91" s="1771"/>
    </row>
    <row r="92" spans="1:29" s="1133"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9"/>
      <c r="O92" s="1769"/>
      <c r="P92" s="1811"/>
      <c r="Q92" s="1770"/>
      <c r="R92" s="1771"/>
      <c r="S92" s="1771"/>
      <c r="T92" s="1771"/>
      <c r="U92" s="1771"/>
      <c r="V92" s="1771"/>
      <c r="W92" s="1771"/>
      <c r="X92" s="1771"/>
      <c r="Y92" s="1771"/>
      <c r="Z92" s="1771"/>
      <c r="AA92" s="1771"/>
      <c r="AB92" s="1771"/>
      <c r="AC92" s="1771"/>
    </row>
    <row r="93" spans="1:29" ht="15.75" thickTop="1">
      <c r="A93" s="482"/>
      <c r="B93" s="615">
        <f>B29</f>
        <v>111</v>
      </c>
      <c r="C93" s="630"/>
      <c r="D93" s="630"/>
      <c r="E93" s="630"/>
      <c r="F93" s="630"/>
      <c r="G93" s="630"/>
      <c r="H93" s="630"/>
      <c r="I93" s="630"/>
      <c r="J93" s="630"/>
      <c r="K93" s="630"/>
      <c r="L93" s="815"/>
      <c r="M93" s="816"/>
      <c r="N93" s="1767"/>
      <c r="O93" s="1767"/>
      <c r="P93" s="1810"/>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13"/>
      <c r="H94" s="613"/>
      <c r="I94" s="613"/>
      <c r="J94" s="613"/>
      <c r="K94" s="613"/>
      <c r="L94" s="613"/>
      <c r="M94" s="614"/>
      <c r="N94" s="1768"/>
      <c r="O94" s="1768"/>
      <c r="P94" s="1810"/>
      <c r="Q94" s="1763"/>
      <c r="R94" s="1742"/>
      <c r="S94" s="1742"/>
      <c r="T94" s="1742"/>
      <c r="U94" s="1742"/>
      <c r="V94" s="1742"/>
      <c r="W94" s="1742"/>
      <c r="X94" s="1742"/>
      <c r="Y94" s="1742"/>
      <c r="Z94" s="1742"/>
      <c r="AA94" s="1742"/>
      <c r="AB94" s="1742"/>
      <c r="AC94" s="1742"/>
    </row>
    <row r="95" spans="1:29" ht="15.75" thickTop="1">
      <c r="A95" s="482"/>
      <c r="B95" s="615">
        <f>B30</f>
        <v>111</v>
      </c>
      <c r="C95" s="630"/>
      <c r="D95" s="630"/>
      <c r="E95" s="630"/>
      <c r="F95" s="630"/>
      <c r="G95" s="658"/>
      <c r="H95" s="658"/>
      <c r="I95" s="658"/>
      <c r="J95" s="658"/>
      <c r="K95" s="659"/>
      <c r="L95" s="660"/>
      <c r="M95" s="661"/>
      <c r="N95" s="1767"/>
      <c r="O95" s="1767"/>
      <c r="P95" s="1810"/>
      <c r="Q95" s="176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13"/>
      <c r="H96" s="613"/>
      <c r="I96" s="613"/>
      <c r="J96" s="613"/>
      <c r="K96" s="613"/>
      <c r="L96" s="613"/>
      <c r="M96" s="614"/>
      <c r="N96" s="1768"/>
      <c r="O96" s="1768"/>
      <c r="P96" s="1810"/>
      <c r="Q96" s="1763"/>
      <c r="R96" s="1742"/>
      <c r="S96" s="1742"/>
      <c r="T96" s="1742"/>
      <c r="U96" s="1742"/>
      <c r="V96" s="1742"/>
      <c r="W96" s="1742"/>
      <c r="X96" s="1742"/>
      <c r="Y96" s="1742"/>
      <c r="Z96" s="1742"/>
      <c r="AA96" s="1742"/>
      <c r="AB96" s="1742"/>
      <c r="AC96" s="1742"/>
    </row>
    <row r="97" spans="1:29" ht="15.75" thickTop="1">
      <c r="A97" s="482"/>
      <c r="B97" s="615">
        <f>B31</f>
        <v>111</v>
      </c>
      <c r="C97" s="630"/>
      <c r="D97" s="630"/>
      <c r="E97" s="630"/>
      <c r="F97" s="630"/>
      <c r="G97" s="658"/>
      <c r="H97" s="658"/>
      <c r="I97" s="658"/>
      <c r="J97" s="658"/>
      <c r="K97" s="659"/>
      <c r="L97" s="660"/>
      <c r="M97" s="661"/>
      <c r="N97" s="1767"/>
      <c r="O97" s="1767"/>
      <c r="P97" s="1810"/>
      <c r="Q97" s="176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13"/>
      <c r="H98" s="613"/>
      <c r="I98" s="613"/>
      <c r="J98" s="613"/>
      <c r="K98" s="613"/>
      <c r="L98" s="613"/>
      <c r="M98" s="614"/>
      <c r="N98" s="1768"/>
      <c r="O98" s="1768"/>
      <c r="P98" s="1810"/>
      <c r="Q98" s="1763"/>
      <c r="R98" s="1742"/>
      <c r="S98" s="1742"/>
      <c r="T98" s="1742"/>
      <c r="U98" s="1742"/>
      <c r="V98" s="1742"/>
      <c r="W98" s="1742"/>
      <c r="X98" s="1742"/>
      <c r="Y98" s="1742"/>
      <c r="Z98" s="1742"/>
      <c r="AA98" s="1742"/>
      <c r="AB98" s="1742"/>
      <c r="AC98" s="1742"/>
    </row>
    <row r="99" spans="1:29" ht="15.75" thickTop="1">
      <c r="A99" s="482"/>
      <c r="B99" s="623">
        <f>B32</f>
        <v>111</v>
      </c>
      <c r="C99" s="80"/>
      <c r="D99" s="80"/>
      <c r="E99" s="80"/>
      <c r="F99" s="80"/>
      <c r="G99" s="662"/>
      <c r="H99" s="662"/>
      <c r="I99" s="662"/>
      <c r="J99" s="662"/>
      <c r="K99" s="663"/>
      <c r="L99" s="664"/>
      <c r="M99" s="665"/>
      <c r="N99" s="1767"/>
      <c r="O99" s="1767"/>
      <c r="P99" s="1810"/>
      <c r="Q99" s="1763"/>
      <c r="R99" s="1742"/>
      <c r="S99" s="1742"/>
      <c r="T99" s="1742"/>
      <c r="U99" s="1742"/>
      <c r="V99" s="1742"/>
      <c r="W99" s="1742"/>
      <c r="X99" s="1742"/>
      <c r="Y99" s="1742"/>
      <c r="Z99" s="1742"/>
      <c r="AA99" s="1742"/>
      <c r="AB99" s="1742"/>
      <c r="AC99" s="1742"/>
    </row>
    <row r="100" spans="1:29" ht="15.75" thickBot="1">
      <c r="A100" s="493"/>
      <c r="B100" s="641"/>
      <c r="C100" s="642"/>
      <c r="D100" s="642"/>
      <c r="E100" s="642"/>
      <c r="F100" s="642"/>
      <c r="G100" s="666"/>
      <c r="H100" s="666"/>
      <c r="I100" s="666"/>
      <c r="J100" s="666"/>
      <c r="K100" s="666"/>
      <c r="L100" s="666"/>
      <c r="M100" s="667"/>
      <c r="N100" s="1768"/>
      <c r="O100" s="1768"/>
      <c r="P100" s="1810"/>
      <c r="Q100" s="1763"/>
      <c r="R100" s="1742"/>
      <c r="S100" s="1742"/>
      <c r="T100" s="1742"/>
      <c r="U100" s="1742"/>
      <c r="V100" s="1742"/>
      <c r="W100" s="1742"/>
      <c r="X100" s="1742"/>
      <c r="Y100" s="1742"/>
      <c r="Z100" s="1742"/>
      <c r="AA100" s="1742"/>
      <c r="AB100" s="1742"/>
      <c r="AC100" s="1742"/>
    </row>
    <row r="101" spans="1:29">
      <c r="A101" s="607" t="s">
        <v>500</v>
      </c>
      <c r="B101" s="608" t="s">
        <v>687</v>
      </c>
      <c r="C101" s="547"/>
      <c r="D101" s="547"/>
      <c r="E101" s="547"/>
      <c r="F101" s="547"/>
      <c r="G101" s="547"/>
      <c r="H101" s="547"/>
      <c r="I101" s="547"/>
      <c r="J101" s="547"/>
      <c r="K101" s="609"/>
      <c r="L101" s="610"/>
      <c r="M101" s="611"/>
      <c r="N101" s="1767"/>
      <c r="O101" s="1767"/>
      <c r="P101" s="1810"/>
      <c r="Q101" s="1763"/>
      <c r="R101" s="1742"/>
      <c r="S101" s="1742"/>
      <c r="T101" s="1742"/>
      <c r="U101" s="1742"/>
      <c r="V101" s="1742"/>
      <c r="W101" s="1742"/>
      <c r="X101" s="1742"/>
      <c r="Y101" s="1742"/>
      <c r="Z101" s="1742"/>
      <c r="AA101" s="1742"/>
      <c r="AB101" s="1742"/>
      <c r="AC101" s="1742"/>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8"/>
      <c r="O102" s="1768"/>
      <c r="P102" s="1810"/>
      <c r="Q102" s="1763"/>
      <c r="R102" s="1742"/>
      <c r="S102" s="1742"/>
      <c r="T102" s="1742"/>
      <c r="U102" s="1742"/>
      <c r="V102" s="1742"/>
      <c r="W102" s="1742"/>
      <c r="X102" s="1742"/>
      <c r="Y102" s="1742"/>
      <c r="Z102" s="1742"/>
      <c r="AA102" s="1742"/>
      <c r="AB102" s="1742"/>
      <c r="AC102" s="1742"/>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6"/>
      <c r="O103" s="1766"/>
      <c r="P103" s="1810"/>
      <c r="Q103" s="1763"/>
      <c r="R103" s="1742"/>
      <c r="S103" s="1742"/>
      <c r="T103" s="1742"/>
      <c r="U103" s="1742"/>
      <c r="V103" s="1742"/>
      <c r="W103" s="1742"/>
      <c r="X103" s="1742"/>
      <c r="Y103" s="1742"/>
      <c r="Z103" s="1742"/>
      <c r="AA103" s="1742"/>
      <c r="AB103" s="1742"/>
      <c r="AC103" s="1742"/>
    </row>
    <row r="104" spans="1:29" s="1133" customFormat="1">
      <c r="A104" s="552"/>
      <c r="B104" s="668"/>
      <c r="C104" s="79"/>
      <c r="D104" s="79"/>
      <c r="E104" s="79"/>
      <c r="F104" s="79"/>
      <c r="G104" s="79"/>
      <c r="H104" s="79"/>
      <c r="I104" s="79"/>
      <c r="J104" s="669"/>
      <c r="K104" s="669"/>
      <c r="L104" s="670"/>
      <c r="M104" s="671"/>
      <c r="N104" s="1769"/>
      <c r="O104" s="1769"/>
      <c r="P104" s="1811"/>
      <c r="Q104" s="1770"/>
      <c r="R104" s="1771"/>
      <c r="S104" s="1771"/>
      <c r="T104" s="1771"/>
      <c r="U104" s="1771"/>
      <c r="V104" s="1771"/>
      <c r="W104" s="1771"/>
      <c r="X104" s="1771"/>
      <c r="Y104" s="1771"/>
      <c r="Z104" s="1771"/>
      <c r="AA104" s="1771"/>
      <c r="AB104" s="1771"/>
      <c r="AC104" s="1771"/>
    </row>
    <row r="105" spans="1:29" s="1133" customFormat="1" ht="15.75" thickBot="1">
      <c r="A105" s="629"/>
      <c r="B105" s="620"/>
      <c r="C105" s="634"/>
      <c r="D105" s="613"/>
      <c r="E105" s="613"/>
      <c r="F105" s="613"/>
      <c r="G105" s="613"/>
      <c r="H105" s="613"/>
      <c r="I105" s="613"/>
      <c r="J105" s="613"/>
      <c r="K105" s="613"/>
      <c r="L105" s="613"/>
      <c r="M105" s="614"/>
      <c r="N105" s="1768"/>
      <c r="O105" s="1768"/>
      <c r="P105" s="1811"/>
      <c r="Q105" s="1770"/>
      <c r="R105" s="1771"/>
      <c r="S105" s="1771"/>
      <c r="T105" s="1771"/>
      <c r="U105" s="1771"/>
      <c r="V105" s="1771"/>
      <c r="W105" s="1771"/>
      <c r="X105" s="1771"/>
      <c r="Y105" s="1771"/>
      <c r="Z105" s="1771"/>
      <c r="AA105" s="1771"/>
      <c r="AB105" s="1771"/>
      <c r="AC105" s="1771"/>
    </row>
    <row r="106" spans="1:29" ht="15" thickTop="1">
      <c r="A106" s="543"/>
      <c r="B106" s="615" t="s">
        <v>689</v>
      </c>
      <c r="C106" s="630"/>
      <c r="D106" s="630"/>
      <c r="E106" s="658"/>
      <c r="F106" s="658"/>
      <c r="G106" s="658"/>
      <c r="H106" s="658"/>
      <c r="I106" s="658"/>
      <c r="J106" s="658"/>
      <c r="K106" s="659"/>
      <c r="L106" s="660"/>
      <c r="M106" s="661"/>
      <c r="N106" s="1767"/>
      <c r="O106" s="1767"/>
      <c r="P106" s="1810"/>
      <c r="Q106" s="1763"/>
      <c r="R106" s="1742"/>
      <c r="S106" s="1742"/>
      <c r="T106" s="1742"/>
      <c r="U106" s="1742"/>
      <c r="V106" s="1742"/>
      <c r="W106" s="1742"/>
      <c r="X106" s="1742"/>
      <c r="Y106" s="1742"/>
      <c r="Z106" s="1742"/>
      <c r="AA106" s="1742"/>
      <c r="AB106" s="1742"/>
      <c r="AC106" s="1742"/>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8"/>
      <c r="O107" s="1768"/>
      <c r="P107" s="1810"/>
      <c r="Q107" s="1763"/>
      <c r="R107" s="1742"/>
      <c r="S107" s="1742"/>
      <c r="T107" s="1742"/>
      <c r="U107" s="1742"/>
      <c r="V107" s="1742"/>
      <c r="W107" s="1742"/>
      <c r="X107" s="1742"/>
      <c r="Y107" s="1742"/>
      <c r="Z107" s="1742"/>
      <c r="AA107" s="1742"/>
      <c r="AB107" s="1742"/>
      <c r="AC107" s="1742"/>
    </row>
    <row r="108" spans="1:29" ht="15" thickTop="1">
      <c r="A108" s="543"/>
      <c r="B108" s="615" t="s">
        <v>691</v>
      </c>
      <c r="C108" s="630"/>
      <c r="D108" s="630"/>
      <c r="E108" s="630"/>
      <c r="F108" s="658"/>
      <c r="G108" s="658"/>
      <c r="H108" s="658"/>
      <c r="I108" s="658"/>
      <c r="J108" s="658"/>
      <c r="K108" s="659"/>
      <c r="L108" s="660"/>
      <c r="M108" s="661"/>
      <c r="N108" s="1767"/>
      <c r="O108" s="1767"/>
      <c r="P108" s="1810"/>
      <c r="Q108" s="1763"/>
      <c r="R108" s="1742"/>
      <c r="S108" s="1742"/>
      <c r="T108" s="1742"/>
      <c r="U108" s="1742"/>
      <c r="V108" s="1742"/>
      <c r="W108" s="1742"/>
      <c r="X108" s="1742"/>
      <c r="Y108" s="1742"/>
      <c r="Z108" s="1742"/>
      <c r="AA108" s="1742"/>
      <c r="AB108" s="1742"/>
      <c r="AC108" s="1742"/>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8"/>
      <c r="O109" s="1768"/>
      <c r="P109" s="1810"/>
      <c r="Q109" s="1763"/>
      <c r="R109" s="1742"/>
      <c r="S109" s="1742"/>
      <c r="T109" s="1742"/>
      <c r="U109" s="1742"/>
      <c r="V109" s="1742"/>
      <c r="W109" s="1742"/>
      <c r="X109" s="1742"/>
      <c r="Y109" s="1742"/>
      <c r="Z109" s="1742"/>
      <c r="AA109" s="1742"/>
      <c r="AB109" s="1742"/>
      <c r="AC109" s="1742"/>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7"/>
      <c r="O110" s="1767"/>
      <c r="P110" s="1810"/>
      <c r="Q110" s="1763"/>
      <c r="R110" s="1742"/>
      <c r="S110" s="1742"/>
      <c r="T110" s="1742"/>
      <c r="U110" s="1742"/>
      <c r="V110" s="1742"/>
      <c r="W110" s="1742"/>
      <c r="X110" s="1742"/>
      <c r="Y110" s="1742"/>
      <c r="Z110" s="1742"/>
      <c r="AA110" s="1742"/>
      <c r="AB110" s="1742"/>
      <c r="AC110" s="1742"/>
    </row>
    <row r="111" spans="1:29">
      <c r="A111" s="543"/>
      <c r="B111" s="623"/>
      <c r="C111" s="818">
        <v>0.5</v>
      </c>
      <c r="D111" s="818">
        <v>0.6</v>
      </c>
      <c r="E111" s="818">
        <v>0.7</v>
      </c>
      <c r="F111" s="818">
        <v>0.8</v>
      </c>
      <c r="G111" s="818">
        <v>0.9</v>
      </c>
      <c r="H111" s="818">
        <v>1.0001</v>
      </c>
      <c r="I111" s="827"/>
      <c r="J111" s="827"/>
      <c r="K111" s="828"/>
      <c r="L111" s="829"/>
      <c r="M111" s="830"/>
      <c r="N111" s="1767"/>
      <c r="O111" s="1767"/>
      <c r="P111" s="1810"/>
      <c r="Q111" s="1763"/>
      <c r="R111" s="1742"/>
      <c r="S111" s="1742"/>
      <c r="T111" s="1742"/>
      <c r="U111" s="1742"/>
      <c r="V111" s="1742"/>
      <c r="W111" s="1742"/>
      <c r="X111" s="1742"/>
      <c r="Y111" s="1742"/>
      <c r="Z111" s="1742"/>
      <c r="AA111" s="1742"/>
      <c r="AB111" s="1742"/>
      <c r="AC111" s="1742"/>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8"/>
      <c r="O112" s="1768"/>
      <c r="P112" s="1810"/>
      <c r="Q112" s="1763"/>
      <c r="R112" s="1742"/>
      <c r="S112" s="1742"/>
      <c r="T112" s="1742"/>
      <c r="U112" s="1742"/>
      <c r="V112" s="1742"/>
      <c r="W112" s="1742"/>
      <c r="X112" s="1742"/>
      <c r="Y112" s="1742"/>
      <c r="Z112" s="1742"/>
      <c r="AA112" s="1742"/>
      <c r="AB112" s="1742"/>
      <c r="AC112" s="1742"/>
    </row>
    <row r="113" spans="1:29" s="1133" customFormat="1" ht="15" thickTop="1">
      <c r="A113" s="552"/>
      <c r="B113" s="615" t="s">
        <v>726</v>
      </c>
      <c r="C113" s="630"/>
      <c r="D113" s="630"/>
      <c r="E113" s="630"/>
      <c r="F113" s="630"/>
      <c r="G113" s="630"/>
      <c r="H113" s="658"/>
      <c r="I113" s="658"/>
      <c r="J113" s="658"/>
      <c r="K113" s="659"/>
      <c r="L113" s="660"/>
      <c r="M113" s="661"/>
      <c r="N113" s="1769"/>
      <c r="O113" s="1769"/>
      <c r="P113" s="1811"/>
      <c r="Q113" s="1770"/>
      <c r="R113" s="1771"/>
      <c r="S113" s="1771"/>
      <c r="T113" s="1771"/>
      <c r="U113" s="1771"/>
      <c r="V113" s="1771"/>
      <c r="W113" s="1771"/>
      <c r="X113" s="1771"/>
      <c r="Y113" s="1771"/>
      <c r="Z113" s="1771"/>
      <c r="AA113" s="1771"/>
      <c r="AB113" s="1771"/>
      <c r="AC113" s="1771"/>
    </row>
    <row r="114" spans="1:29" s="1133"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9"/>
      <c r="O114" s="1769"/>
      <c r="P114" s="1811"/>
      <c r="Q114" s="1770"/>
      <c r="R114" s="1771"/>
      <c r="S114" s="1771"/>
      <c r="T114" s="1771"/>
      <c r="U114" s="1771"/>
      <c r="V114" s="1771"/>
      <c r="W114" s="1771"/>
      <c r="X114" s="1771"/>
      <c r="Y114" s="1771"/>
      <c r="Z114" s="1771"/>
      <c r="AA114" s="1771"/>
      <c r="AB114" s="1771"/>
      <c r="AC114" s="1771"/>
    </row>
    <row r="115" spans="1:29" ht="15" thickTop="1">
      <c r="A115" s="543"/>
      <c r="B115" s="615" t="s">
        <v>693</v>
      </c>
      <c r="C115" s="630"/>
      <c r="D115" s="630"/>
      <c r="E115" s="658"/>
      <c r="F115" s="658"/>
      <c r="G115" s="658"/>
      <c r="H115" s="658"/>
      <c r="I115" s="658"/>
      <c r="J115" s="658"/>
      <c r="K115" s="659"/>
      <c r="L115" s="660"/>
      <c r="M115" s="661"/>
      <c r="N115" s="1767"/>
      <c r="O115" s="1767"/>
      <c r="P115" s="1810"/>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8"/>
      <c r="O116" s="1768"/>
      <c r="P116" s="1810"/>
      <c r="Q116" s="1763"/>
      <c r="R116" s="1742"/>
      <c r="S116" s="1742"/>
      <c r="T116" s="1742"/>
      <c r="U116" s="1742"/>
      <c r="V116" s="1742"/>
      <c r="W116" s="1742"/>
      <c r="X116" s="1742"/>
      <c r="Y116" s="1742"/>
      <c r="Z116" s="1742"/>
      <c r="AA116" s="1742"/>
      <c r="AB116" s="1742"/>
      <c r="AC116" s="1742"/>
    </row>
    <row r="117" spans="1:29" ht="15" thickTop="1">
      <c r="A117" s="543"/>
      <c r="B117" s="1555" t="s">
        <v>1839</v>
      </c>
      <c r="C117" s="630"/>
      <c r="D117" s="630"/>
      <c r="E117" s="630"/>
      <c r="F117" s="630"/>
      <c r="G117" s="630"/>
      <c r="H117" s="658"/>
      <c r="I117" s="658"/>
      <c r="J117" s="658"/>
      <c r="K117" s="659"/>
      <c r="L117" s="660"/>
      <c r="M117" s="661"/>
      <c r="N117" s="1767"/>
      <c r="O117" s="1767"/>
      <c r="P117" s="1810"/>
      <c r="Q117" s="1763"/>
      <c r="R117" s="1742"/>
      <c r="S117" s="1742"/>
      <c r="T117" s="1742"/>
      <c r="U117" s="1742"/>
      <c r="V117" s="1742"/>
      <c r="W117" s="1742"/>
      <c r="X117" s="1742"/>
      <c r="Y117" s="1742"/>
      <c r="Z117" s="1742"/>
      <c r="AA117" s="1742"/>
      <c r="AB117" s="1742"/>
      <c r="AC117" s="1742"/>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8"/>
      <c r="O118" s="1768"/>
      <c r="P118" s="1810"/>
      <c r="Q118" s="1763"/>
      <c r="R118" s="1742"/>
      <c r="S118" s="1742"/>
      <c r="T118" s="1742"/>
      <c r="U118" s="1742"/>
      <c r="V118" s="1742"/>
      <c r="W118" s="1742"/>
      <c r="X118" s="1742"/>
      <c r="Y118" s="1742"/>
      <c r="Z118" s="1742"/>
      <c r="AA118" s="1742"/>
      <c r="AB118" s="1742"/>
      <c r="AC118" s="1742"/>
    </row>
    <row r="119" spans="1:29" ht="15" thickTop="1">
      <c r="A119" s="543"/>
      <c r="B119" s="838" t="s">
        <v>727</v>
      </c>
      <c r="C119" s="658"/>
      <c r="D119" s="658"/>
      <c r="E119" s="658"/>
      <c r="F119" s="658"/>
      <c r="G119" s="658"/>
      <c r="H119" s="658"/>
      <c r="I119" s="658"/>
      <c r="J119" s="658"/>
      <c r="K119" s="658"/>
      <c r="L119" s="839"/>
      <c r="M119" s="840"/>
      <c r="N119" s="1768"/>
      <c r="O119" s="1768"/>
      <c r="P119" s="1815"/>
      <c r="Q119" s="1803"/>
      <c r="R119" s="1742"/>
      <c r="S119" s="1742"/>
      <c r="T119" s="1742"/>
      <c r="U119" s="1742"/>
      <c r="V119" s="1742"/>
      <c r="W119" s="1742"/>
      <c r="X119" s="1742"/>
      <c r="Y119" s="1742"/>
      <c r="Z119" s="1742"/>
      <c r="AA119" s="1742"/>
      <c r="AB119" s="1742"/>
      <c r="AC119" s="1742"/>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8"/>
      <c r="O120" s="1768"/>
      <c r="P120" s="1810"/>
      <c r="Q120" s="1763"/>
      <c r="R120" s="1742"/>
      <c r="S120" s="1742"/>
      <c r="T120" s="1742"/>
      <c r="U120" s="1742"/>
      <c r="V120" s="1742"/>
      <c r="W120" s="1742"/>
      <c r="X120" s="1742"/>
      <c r="Y120" s="1742"/>
      <c r="Z120" s="1742"/>
      <c r="AA120" s="1742"/>
      <c r="AB120" s="1742"/>
      <c r="AC120" s="1742"/>
    </row>
    <row r="121" spans="1:29" s="1133" customFormat="1" ht="15" thickTop="1">
      <c r="A121" s="552"/>
      <c r="B121" s="615" t="s">
        <v>715</v>
      </c>
      <c r="C121" s="630"/>
      <c r="D121" s="630"/>
      <c r="E121" s="630"/>
      <c r="F121" s="658"/>
      <c r="G121" s="631"/>
      <c r="H121" s="631"/>
      <c r="I121" s="631"/>
      <c r="J121" s="631"/>
      <c r="K121" s="631"/>
      <c r="L121" s="632"/>
      <c r="M121" s="633"/>
      <c r="N121" s="1769"/>
      <c r="O121" s="1769"/>
      <c r="P121" s="1811"/>
      <c r="Q121" s="1770"/>
      <c r="R121" s="1771"/>
      <c r="S121" s="1771"/>
      <c r="T121" s="1771"/>
      <c r="U121" s="1771"/>
      <c r="V121" s="1771"/>
      <c r="W121" s="1771"/>
      <c r="X121" s="1771"/>
      <c r="Y121" s="1771"/>
      <c r="Z121" s="1771"/>
      <c r="AA121" s="1771"/>
      <c r="AB121" s="1771"/>
      <c r="AC121" s="1771"/>
    </row>
    <row r="122" spans="1:29" s="1133" customFormat="1" ht="15.75" thickBot="1">
      <c r="A122" s="629"/>
      <c r="B122" s="612"/>
      <c r="C122" s="634"/>
      <c r="D122" s="634"/>
      <c r="E122" s="634"/>
      <c r="F122" s="634"/>
      <c r="G122" s="634"/>
      <c r="H122" s="634"/>
      <c r="I122" s="634"/>
      <c r="J122" s="634"/>
      <c r="K122" s="634"/>
      <c r="L122" s="634"/>
      <c r="M122" s="634"/>
      <c r="N122" s="1769"/>
      <c r="O122" s="1769"/>
      <c r="P122" s="1811"/>
      <c r="Q122" s="1770"/>
      <c r="R122" s="1771"/>
      <c r="S122" s="1771"/>
      <c r="T122" s="1771"/>
      <c r="U122" s="1771"/>
      <c r="V122" s="1771"/>
      <c r="W122" s="1771"/>
      <c r="X122" s="1771"/>
      <c r="Y122" s="1771"/>
      <c r="Z122" s="1771"/>
      <c r="AA122" s="1771"/>
      <c r="AB122" s="1771"/>
      <c r="AC122" s="1771"/>
    </row>
    <row r="123" spans="1:29" ht="15" thickTop="1">
      <c r="A123" s="543"/>
      <c r="B123" s="615" t="s">
        <v>695</v>
      </c>
      <c r="C123" s="630"/>
      <c r="D123" s="630"/>
      <c r="E123" s="630"/>
      <c r="F123" s="658"/>
      <c r="G123" s="658"/>
      <c r="H123" s="658"/>
      <c r="I123" s="658"/>
      <c r="J123" s="658"/>
      <c r="K123" s="659"/>
      <c r="L123" s="660"/>
      <c r="M123" s="661"/>
      <c r="N123" s="1767"/>
      <c r="O123" s="1767"/>
      <c r="P123" s="1810"/>
      <c r="Q123" s="1763"/>
      <c r="R123" s="1742"/>
      <c r="S123" s="1742"/>
      <c r="T123" s="1742"/>
      <c r="U123" s="1742"/>
      <c r="V123" s="1742"/>
      <c r="W123" s="1742"/>
      <c r="X123" s="1742"/>
      <c r="Y123" s="1742"/>
      <c r="Z123" s="1742"/>
      <c r="AA123" s="1742"/>
      <c r="AB123" s="1742"/>
      <c r="AC123" s="1742"/>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8"/>
      <c r="O124" s="1768"/>
      <c r="P124" s="1810"/>
      <c r="Q124" s="1763"/>
      <c r="R124" s="1742"/>
      <c r="S124" s="1742"/>
      <c r="T124" s="1742"/>
      <c r="U124" s="1742"/>
      <c r="V124" s="1742"/>
      <c r="W124" s="1742"/>
      <c r="X124" s="1742"/>
      <c r="Y124" s="1742"/>
      <c r="Z124" s="1742"/>
      <c r="AA124" s="1742"/>
      <c r="AB124" s="1742"/>
      <c r="AC124" s="1742"/>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7"/>
      <c r="O125" s="1767"/>
      <c r="P125" s="1811"/>
      <c r="Q125" s="1763"/>
      <c r="R125" s="1742"/>
      <c r="S125" s="1742"/>
      <c r="T125" s="1742"/>
      <c r="U125" s="1742"/>
      <c r="V125" s="1742"/>
      <c r="W125" s="1742"/>
      <c r="X125" s="1742"/>
      <c r="Y125" s="1742"/>
      <c r="Z125" s="1742"/>
      <c r="AA125" s="1742"/>
      <c r="AB125" s="1742"/>
      <c r="AC125" s="1742"/>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8"/>
      <c r="O126" s="1768"/>
      <c r="P126" s="1810"/>
      <c r="Q126" s="1763"/>
      <c r="R126" s="1742"/>
      <c r="S126" s="1742"/>
      <c r="T126" s="1742"/>
      <c r="U126" s="1742"/>
      <c r="V126" s="1742"/>
      <c r="W126" s="1742"/>
      <c r="X126" s="1742"/>
      <c r="Y126" s="1742"/>
      <c r="Z126" s="1742"/>
      <c r="AA126" s="1742"/>
      <c r="AB126" s="1742"/>
      <c r="AC126" s="1742"/>
    </row>
    <row r="127" spans="1:29" s="1133" customFormat="1" ht="15" thickTop="1">
      <c r="A127" s="552"/>
      <c r="B127" s="615">
        <f>B45</f>
        <v>111</v>
      </c>
      <c r="C127" s="630"/>
      <c r="D127" s="630"/>
      <c r="E127" s="630"/>
      <c r="F127" s="630"/>
      <c r="G127" s="630"/>
      <c r="H127" s="631"/>
      <c r="I127" s="631"/>
      <c r="J127" s="631"/>
      <c r="K127" s="631"/>
      <c r="L127" s="632"/>
      <c r="M127" s="633"/>
      <c r="N127" s="1769"/>
      <c r="O127" s="1769"/>
      <c r="P127" s="1811"/>
      <c r="Q127" s="1770"/>
      <c r="R127" s="1771"/>
      <c r="S127" s="1771"/>
      <c r="T127" s="1771"/>
      <c r="U127" s="1771"/>
      <c r="V127" s="1771"/>
      <c r="W127" s="1771"/>
      <c r="X127" s="1771"/>
      <c r="Y127" s="1771"/>
      <c r="Z127" s="1771"/>
      <c r="AA127" s="1771"/>
      <c r="AB127" s="1771"/>
      <c r="AC127" s="1771"/>
    </row>
    <row r="128" spans="1:29" s="1133" customFormat="1" ht="15.75" thickBot="1">
      <c r="A128" s="629"/>
      <c r="B128" s="620"/>
      <c r="C128" s="634"/>
      <c r="D128" s="613"/>
      <c r="E128" s="613"/>
      <c r="F128" s="613"/>
      <c r="G128" s="634"/>
      <c r="H128" s="635"/>
      <c r="I128" s="635"/>
      <c r="J128" s="635"/>
      <c r="K128" s="635"/>
      <c r="L128" s="635"/>
      <c r="M128" s="636"/>
      <c r="N128" s="1769"/>
      <c r="O128" s="1769"/>
      <c r="P128" s="1811"/>
      <c r="Q128" s="1770"/>
      <c r="R128" s="1771"/>
      <c r="S128" s="1771"/>
      <c r="T128" s="1771"/>
      <c r="U128" s="1771"/>
      <c r="V128" s="1771"/>
      <c r="W128" s="1771"/>
      <c r="X128" s="1771"/>
      <c r="Y128" s="1771"/>
      <c r="Z128" s="1771"/>
      <c r="AA128" s="1771"/>
      <c r="AB128" s="1771"/>
      <c r="AC128" s="1771"/>
    </row>
    <row r="129" spans="1:29" ht="15" thickTop="1">
      <c r="A129" s="543"/>
      <c r="B129" s="615">
        <f>B46</f>
        <v>111</v>
      </c>
      <c r="C129" s="630"/>
      <c r="D129" s="630"/>
      <c r="E129" s="630"/>
      <c r="F129" s="630"/>
      <c r="G129" s="658"/>
      <c r="H129" s="658"/>
      <c r="I129" s="658"/>
      <c r="J129" s="658"/>
      <c r="K129" s="659"/>
      <c r="L129" s="660"/>
      <c r="M129" s="661"/>
      <c r="N129" s="1767"/>
      <c r="O129" s="1767"/>
      <c r="P129" s="1810"/>
      <c r="Q129" s="1763"/>
      <c r="R129" s="1742"/>
      <c r="S129" s="1742"/>
      <c r="T129" s="1742"/>
      <c r="U129" s="1742"/>
      <c r="V129" s="1742"/>
      <c r="W129" s="1742"/>
      <c r="X129" s="1742"/>
      <c r="Y129" s="1742"/>
      <c r="Z129" s="1742"/>
      <c r="AA129" s="1742"/>
      <c r="AB129" s="1742"/>
      <c r="AC129" s="1742"/>
    </row>
    <row r="130" spans="1:29" ht="15.75" thickBot="1">
      <c r="A130" s="482"/>
      <c r="B130" s="620"/>
      <c r="C130" s="634"/>
      <c r="D130" s="634"/>
      <c r="E130" s="634"/>
      <c r="F130" s="634"/>
      <c r="G130" s="613"/>
      <c r="H130" s="613"/>
      <c r="I130" s="613"/>
      <c r="J130" s="613"/>
      <c r="K130" s="613"/>
      <c r="L130" s="613"/>
      <c r="M130" s="614"/>
      <c r="N130" s="1768"/>
      <c r="O130" s="1768"/>
      <c r="P130" s="1810"/>
      <c r="Q130" s="1763"/>
      <c r="R130" s="1742"/>
      <c r="S130" s="1742"/>
      <c r="T130" s="1742"/>
      <c r="U130" s="1742"/>
      <c r="V130" s="1742"/>
      <c r="W130" s="1742"/>
      <c r="X130" s="1742"/>
      <c r="Y130" s="1742"/>
      <c r="Z130" s="1742"/>
      <c r="AA130" s="1742"/>
      <c r="AB130" s="1742"/>
      <c r="AC130" s="1742"/>
    </row>
    <row r="131" spans="1:29" ht="15" thickTop="1">
      <c r="A131" s="543"/>
      <c r="B131" s="623">
        <f>B47</f>
        <v>111</v>
      </c>
      <c r="C131" s="80"/>
      <c r="D131" s="80"/>
      <c r="E131" s="80"/>
      <c r="F131" s="80"/>
      <c r="G131" s="662"/>
      <c r="H131" s="662"/>
      <c r="I131" s="662"/>
      <c r="J131" s="662"/>
      <c r="K131" s="80"/>
      <c r="L131" s="605"/>
      <c r="M131" s="665"/>
      <c r="N131" s="1767"/>
      <c r="O131" s="1767"/>
      <c r="P131" s="1810"/>
      <c r="Q131" s="1763"/>
      <c r="R131" s="1742"/>
      <c r="S131" s="1742"/>
      <c r="T131" s="1742"/>
      <c r="U131" s="1742"/>
      <c r="V131" s="1742"/>
      <c r="W131" s="1742"/>
      <c r="X131" s="1742"/>
      <c r="Y131" s="1742"/>
      <c r="Z131" s="1742"/>
      <c r="AA131" s="1742"/>
      <c r="AB131" s="1742"/>
      <c r="AC131" s="1742"/>
    </row>
    <row r="132" spans="1:29" ht="15.75" thickBot="1">
      <c r="A132" s="493"/>
      <c r="B132" s="641"/>
      <c r="C132" s="642"/>
      <c r="D132" s="642"/>
      <c r="E132" s="642"/>
      <c r="F132" s="642"/>
      <c r="G132" s="666"/>
      <c r="H132" s="666"/>
      <c r="I132" s="666"/>
      <c r="J132" s="666"/>
      <c r="K132" s="666"/>
      <c r="L132" s="666"/>
      <c r="M132" s="667"/>
      <c r="N132" s="1768"/>
      <c r="O132" s="1768"/>
      <c r="P132" s="1810"/>
      <c r="Q132" s="1763"/>
      <c r="R132" s="1742"/>
      <c r="S132" s="1742"/>
      <c r="T132" s="1742"/>
      <c r="U132" s="1742"/>
      <c r="V132" s="1742"/>
      <c r="W132" s="1742"/>
      <c r="X132" s="1742"/>
      <c r="Y132" s="1742"/>
      <c r="Z132" s="1742"/>
      <c r="AA132" s="1742"/>
      <c r="AB132" s="1742"/>
      <c r="AC132" s="1742"/>
    </row>
    <row r="133" spans="1:29">
      <c r="A133" s="1779"/>
      <c r="B133" s="1779"/>
      <c r="C133" s="1779"/>
      <c r="D133" s="1779"/>
      <c r="E133" s="1779"/>
      <c r="F133" s="1779"/>
      <c r="G133" s="1779"/>
      <c r="H133" s="1779"/>
      <c r="I133" s="1779"/>
      <c r="J133" s="1779"/>
      <c r="K133" s="1780"/>
      <c r="L133" s="1781"/>
      <c r="M133" s="1779"/>
      <c r="N133" s="1779"/>
      <c r="O133" s="1779"/>
      <c r="P133" s="1816"/>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816"/>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816"/>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816"/>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816"/>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816"/>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816"/>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816"/>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816"/>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816"/>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816"/>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816"/>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816"/>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816"/>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816"/>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816"/>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816"/>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816"/>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816"/>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816"/>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816"/>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816"/>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816"/>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816"/>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816"/>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816"/>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816"/>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816"/>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816"/>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816"/>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816"/>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816"/>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816"/>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816"/>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816"/>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816"/>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816"/>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816"/>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816"/>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816"/>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816"/>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816"/>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816"/>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816"/>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816"/>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816"/>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816"/>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816"/>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816"/>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816"/>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816"/>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816"/>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816"/>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816"/>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816"/>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816"/>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816"/>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816"/>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816"/>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816"/>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816"/>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816"/>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816"/>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816"/>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816"/>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816"/>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816"/>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816"/>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816"/>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816"/>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816"/>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816"/>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816"/>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816"/>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816"/>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816"/>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816"/>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816"/>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816"/>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816"/>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816"/>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816"/>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816"/>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816"/>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816"/>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816"/>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816"/>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816"/>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816"/>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816"/>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816"/>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816"/>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816"/>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816"/>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816"/>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816"/>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816"/>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816"/>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816"/>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816"/>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816"/>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816"/>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816"/>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816"/>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816"/>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816"/>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816"/>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816"/>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816"/>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816"/>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816"/>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816"/>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816"/>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816"/>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816"/>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816"/>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816"/>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816"/>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816"/>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816"/>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816"/>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816"/>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816"/>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816"/>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816"/>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816"/>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816"/>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816"/>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816"/>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816"/>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816"/>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816"/>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816"/>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816"/>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816"/>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816"/>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816"/>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816"/>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816"/>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816"/>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816"/>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816"/>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816"/>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816"/>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816"/>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816"/>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816"/>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816"/>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816"/>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816"/>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816"/>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816"/>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816"/>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816"/>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816"/>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816"/>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816"/>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816"/>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816"/>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816"/>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816"/>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816"/>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816"/>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816"/>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816"/>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816"/>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816"/>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816"/>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816"/>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816"/>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816"/>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816"/>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816"/>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816"/>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816"/>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816"/>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816"/>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816"/>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816"/>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816"/>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816"/>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816"/>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816"/>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816"/>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816"/>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816"/>
      <c r="Q318" s="1779"/>
      <c r="R318" s="1779"/>
      <c r="S318" s="1779"/>
      <c r="T318" s="1779"/>
      <c r="U318" s="1779"/>
      <c r="V318" s="1779"/>
      <c r="W318" s="1779"/>
      <c r="X318" s="1779"/>
      <c r="Y318" s="1779"/>
      <c r="Z318" s="1779"/>
      <c r="AA318" s="1779"/>
      <c r="AB318" s="1779"/>
      <c r="AC318" s="1779"/>
    </row>
    <row r="319" spans="1:29">
      <c r="A319" s="1779"/>
      <c r="B319" s="1779"/>
      <c r="C319" s="1779"/>
      <c r="D319" s="1779"/>
      <c r="E319" s="1779"/>
      <c r="F319" s="1779"/>
      <c r="G319" s="1779"/>
      <c r="H319" s="1779"/>
      <c r="I319" s="1779"/>
      <c r="J319" s="1779"/>
      <c r="K319" s="1780"/>
      <c r="L319" s="1781"/>
      <c r="M319" s="1779"/>
      <c r="N319" s="1779"/>
      <c r="O319" s="1779"/>
      <c r="P319" s="1816"/>
      <c r="Q319" s="1779"/>
      <c r="R319" s="1779"/>
      <c r="S319" s="1779"/>
      <c r="T319" s="1779"/>
      <c r="U319" s="1779"/>
      <c r="V319" s="1779"/>
      <c r="W319" s="1779"/>
      <c r="X319" s="1779"/>
      <c r="Y319" s="1779"/>
      <c r="Z319" s="1779"/>
      <c r="AA319" s="1779"/>
      <c r="AB319" s="1779"/>
      <c r="AC319" s="1779"/>
    </row>
    <row r="320" spans="1:29">
      <c r="A320" s="1779"/>
      <c r="B320" s="1779"/>
      <c r="C320" s="1779"/>
      <c r="D320" s="1779"/>
      <c r="E320" s="1779"/>
      <c r="F320" s="1779"/>
      <c r="G320" s="1779"/>
      <c r="H320" s="1779"/>
      <c r="I320" s="1779"/>
      <c r="J320" s="1779"/>
      <c r="K320" s="1780"/>
      <c r="L320" s="1781"/>
      <c r="M320" s="1779"/>
      <c r="N320" s="1779"/>
      <c r="O320" s="1779"/>
      <c r="P320" s="1816"/>
      <c r="Q320" s="1779"/>
      <c r="R320" s="1779"/>
      <c r="S320" s="1779"/>
      <c r="T320" s="1779"/>
      <c r="U320" s="1779"/>
      <c r="V320" s="1779"/>
      <c r="W320" s="1779"/>
      <c r="X320" s="1779"/>
      <c r="Y320" s="1779"/>
      <c r="Z320" s="1779"/>
      <c r="AA320" s="1779"/>
      <c r="AB320" s="1779"/>
      <c r="AC320" s="1779"/>
    </row>
    <row r="321" spans="1:29">
      <c r="A321" s="1779"/>
      <c r="B321" s="1779"/>
      <c r="C321" s="1779"/>
      <c r="D321" s="1779"/>
      <c r="E321" s="1779"/>
      <c r="F321" s="1779"/>
      <c r="G321" s="1779"/>
      <c r="H321" s="1779"/>
      <c r="I321" s="1779"/>
      <c r="J321" s="1779"/>
      <c r="K321" s="1780"/>
      <c r="L321" s="1781"/>
      <c r="M321" s="1779"/>
      <c r="N321" s="1779"/>
      <c r="O321" s="1779"/>
      <c r="P321" s="1816"/>
      <c r="Q321" s="1779"/>
      <c r="R321" s="1779"/>
      <c r="S321" s="1779"/>
      <c r="T321" s="1779"/>
      <c r="U321" s="1779"/>
      <c r="V321" s="1779"/>
      <c r="W321" s="1779"/>
      <c r="X321" s="1779"/>
      <c r="Y321" s="1779"/>
      <c r="Z321" s="1779"/>
      <c r="AA321" s="1779"/>
      <c r="AB321" s="1779"/>
      <c r="AC321" s="1779"/>
    </row>
    <row r="322" spans="1:29">
      <c r="A322" s="1779"/>
      <c r="B322" s="1779"/>
      <c r="C322" s="1779"/>
      <c r="D322" s="1779"/>
      <c r="E322" s="1779"/>
      <c r="F322" s="1779"/>
      <c r="G322" s="1779"/>
      <c r="H322" s="1779"/>
      <c r="I322" s="1779"/>
      <c r="J322" s="1779"/>
      <c r="K322" s="1780"/>
      <c r="L322" s="1781"/>
      <c r="M322" s="1779"/>
      <c r="N322" s="1779"/>
      <c r="O322" s="1779"/>
      <c r="P322" s="1816"/>
      <c r="Q322" s="1779"/>
      <c r="R322" s="1779"/>
      <c r="S322" s="1779"/>
      <c r="T322" s="1779"/>
      <c r="U322" s="1779"/>
      <c r="V322" s="1779"/>
      <c r="W322" s="1779"/>
      <c r="X322" s="1779"/>
      <c r="Y322" s="1779"/>
      <c r="Z322" s="1779"/>
      <c r="AA322" s="1779"/>
      <c r="AB322" s="1779"/>
      <c r="AC322" s="1779"/>
    </row>
    <row r="323" spans="1:29">
      <c r="A323" s="1779"/>
      <c r="B323" s="1779"/>
      <c r="C323" s="1779"/>
      <c r="D323" s="1779"/>
      <c r="E323" s="1779"/>
      <c r="F323" s="1779"/>
      <c r="G323" s="1779"/>
      <c r="H323" s="1779"/>
      <c r="I323" s="1779"/>
      <c r="J323" s="1779"/>
      <c r="K323" s="1780"/>
      <c r="L323" s="1781"/>
      <c r="M323" s="1779"/>
      <c r="N323" s="1779"/>
      <c r="O323" s="1779"/>
      <c r="P323" s="1816"/>
      <c r="Q323" s="1779"/>
      <c r="R323" s="1779"/>
      <c r="S323" s="1779"/>
      <c r="T323" s="1779"/>
      <c r="U323" s="1779"/>
      <c r="V323" s="1779"/>
      <c r="W323" s="1779"/>
      <c r="X323" s="1779"/>
      <c r="Y323" s="1779"/>
      <c r="Z323" s="1779"/>
      <c r="AA323" s="1779"/>
      <c r="AB323" s="1779"/>
      <c r="AC323" s="1779"/>
    </row>
    <row r="324" spans="1:29">
      <c r="A324" s="1779"/>
      <c r="B324" s="1779"/>
      <c r="C324" s="1779"/>
      <c r="D324" s="1779"/>
      <c r="E324" s="1779"/>
      <c r="F324" s="1779"/>
      <c r="G324" s="1779"/>
      <c r="H324" s="1779"/>
      <c r="I324" s="1779"/>
      <c r="J324" s="1779"/>
      <c r="K324" s="1780"/>
      <c r="L324" s="1781"/>
      <c r="M324" s="1779"/>
      <c r="N324" s="1779"/>
      <c r="O324" s="1779"/>
      <c r="P324" s="1816"/>
      <c r="Q324" s="1779"/>
      <c r="R324" s="1779"/>
      <c r="S324" s="1779"/>
      <c r="T324" s="1779"/>
      <c r="U324" s="1779"/>
      <c r="V324" s="1779"/>
      <c r="W324" s="1779"/>
      <c r="X324" s="1779"/>
      <c r="Y324" s="1779"/>
      <c r="Z324" s="1779"/>
      <c r="AA324" s="1779"/>
      <c r="AB324" s="1779"/>
      <c r="AC324" s="1779"/>
    </row>
    <row r="325" spans="1:29">
      <c r="A325" s="1779"/>
      <c r="B325" s="1779"/>
      <c r="C325" s="1779"/>
      <c r="D325" s="1779"/>
      <c r="E325" s="1779"/>
      <c r="F325" s="1779"/>
      <c r="G325" s="1779"/>
      <c r="H325" s="1779"/>
      <c r="I325" s="1779"/>
      <c r="J325" s="1779"/>
      <c r="K325" s="1780"/>
      <c r="L325" s="1781"/>
      <c r="M325" s="1779"/>
      <c r="N325" s="1779"/>
      <c r="O325" s="1779"/>
      <c r="P325" s="1816"/>
      <c r="Q325" s="1779"/>
      <c r="R325" s="1779"/>
      <c r="S325" s="1779"/>
      <c r="T325" s="1779"/>
      <c r="U325" s="1779"/>
      <c r="V325" s="1779"/>
      <c r="W325" s="1779"/>
      <c r="X325" s="1779"/>
      <c r="Y325" s="1779"/>
      <c r="Z325" s="1779"/>
      <c r="AA325" s="1779"/>
      <c r="AB325" s="1779"/>
      <c r="AC325" s="1779"/>
    </row>
    <row r="326" spans="1:29">
      <c r="A326" s="1779"/>
      <c r="B326" s="1779"/>
      <c r="C326" s="1779"/>
      <c r="D326" s="1779"/>
      <c r="E326" s="1779"/>
      <c r="F326" s="1779"/>
      <c r="G326" s="1779"/>
      <c r="H326" s="1779"/>
      <c r="I326" s="1779"/>
      <c r="J326" s="1779"/>
      <c r="K326" s="1780"/>
      <c r="L326" s="1781"/>
      <c r="M326" s="1779"/>
      <c r="N326" s="1779"/>
      <c r="O326" s="1779"/>
      <c r="P326" s="1816"/>
      <c r="Q326" s="1779"/>
      <c r="R326" s="1779"/>
      <c r="S326" s="1779"/>
      <c r="T326" s="1779"/>
      <c r="U326" s="1779"/>
      <c r="V326" s="1779"/>
      <c r="W326" s="1779"/>
      <c r="X326" s="1779"/>
      <c r="Y326" s="1779"/>
      <c r="Z326" s="1779"/>
      <c r="AA326" s="1779"/>
      <c r="AB326" s="1779"/>
      <c r="AC326" s="1779"/>
    </row>
    <row r="327" spans="1:29">
      <c r="A327" s="1779"/>
      <c r="B327" s="1779"/>
      <c r="C327" s="1779"/>
      <c r="D327" s="1779"/>
      <c r="E327" s="1779"/>
      <c r="F327" s="1779"/>
      <c r="G327" s="1779"/>
      <c r="H327" s="1779"/>
      <c r="I327" s="1779"/>
      <c r="J327" s="1779"/>
      <c r="K327" s="1780"/>
      <c r="L327" s="1781"/>
      <c r="M327" s="1779"/>
      <c r="N327" s="1779"/>
      <c r="O327" s="1779"/>
      <c r="P327" s="1816"/>
      <c r="Q327" s="1779"/>
      <c r="R327" s="1779"/>
      <c r="S327" s="1779"/>
      <c r="T327" s="1779"/>
      <c r="U327" s="1779"/>
      <c r="V327" s="1779"/>
      <c r="W327" s="1779"/>
      <c r="X327" s="1779"/>
      <c r="Y327" s="1779"/>
      <c r="Z327" s="1779"/>
      <c r="AA327" s="1779"/>
      <c r="AB327" s="1779"/>
      <c r="AC327" s="1779"/>
    </row>
    <row r="328" spans="1:29">
      <c r="A328" s="1779"/>
      <c r="B328" s="1779"/>
      <c r="C328" s="1779"/>
      <c r="D328" s="1779"/>
      <c r="E328" s="1779"/>
      <c r="F328" s="1779"/>
      <c r="G328" s="1779"/>
      <c r="H328" s="1779"/>
      <c r="I328" s="1779"/>
      <c r="J328" s="1779"/>
      <c r="K328" s="1780"/>
      <c r="L328" s="1781"/>
      <c r="M328" s="1779"/>
      <c r="N328" s="1779"/>
      <c r="O328" s="1779"/>
      <c r="P328" s="1816"/>
      <c r="Q328" s="1779"/>
      <c r="R328" s="1779"/>
      <c r="S328" s="1779"/>
      <c r="T328" s="1779"/>
      <c r="U328" s="1779"/>
      <c r="V328" s="1779"/>
      <c r="W328" s="1779"/>
      <c r="X328" s="1779"/>
      <c r="Y328" s="1779"/>
      <c r="Z328" s="1779"/>
      <c r="AA328" s="1779"/>
      <c r="AB328" s="1779"/>
      <c r="AC328" s="1779"/>
    </row>
    <row r="329" spans="1:29">
      <c r="A329" s="1779"/>
      <c r="B329" s="1779"/>
      <c r="C329" s="1779"/>
      <c r="D329" s="1779"/>
      <c r="E329" s="1779"/>
      <c r="F329" s="1779"/>
      <c r="G329" s="1779"/>
      <c r="H329" s="1779"/>
      <c r="I329" s="1779"/>
      <c r="J329" s="1779"/>
      <c r="K329" s="1780"/>
      <c r="L329" s="1781"/>
      <c r="M329" s="1779"/>
      <c r="N329" s="1779"/>
      <c r="O329" s="1779"/>
      <c r="P329" s="1816"/>
      <c r="Q329" s="1779"/>
      <c r="R329" s="1779"/>
      <c r="S329" s="1779"/>
      <c r="T329" s="1779"/>
      <c r="U329" s="1779"/>
      <c r="V329" s="1779"/>
      <c r="W329" s="1779"/>
      <c r="X329" s="1779"/>
      <c r="Y329" s="1779"/>
      <c r="Z329" s="1779"/>
      <c r="AA329" s="1779"/>
      <c r="AB329" s="1779"/>
      <c r="AC329" s="1779"/>
    </row>
    <row r="330" spans="1:29">
      <c r="A330" s="1779"/>
      <c r="B330" s="1779"/>
      <c r="C330" s="1779"/>
      <c r="D330" s="1779"/>
      <c r="E330" s="1779"/>
      <c r="F330" s="1779"/>
      <c r="G330" s="1779"/>
      <c r="H330" s="1779"/>
      <c r="I330" s="1779"/>
      <c r="J330" s="1779"/>
      <c r="K330" s="1780"/>
      <c r="L330" s="1781"/>
      <c r="M330" s="1779"/>
      <c r="N330" s="1779"/>
      <c r="O330" s="1779"/>
      <c r="P330" s="1816"/>
      <c r="Q330" s="1779"/>
      <c r="R330" s="1779"/>
      <c r="S330" s="1779"/>
      <c r="T330" s="1779"/>
      <c r="U330" s="1779"/>
      <c r="V330" s="1779"/>
      <c r="W330" s="1779"/>
      <c r="X330" s="1779"/>
      <c r="Y330" s="1779"/>
      <c r="Z330" s="1779"/>
      <c r="AA330" s="1779"/>
      <c r="AB330" s="1779"/>
      <c r="AC330" s="1779"/>
    </row>
    <row r="331" spans="1:29">
      <c r="A331" s="1779"/>
      <c r="B331" s="1779"/>
      <c r="C331" s="1779"/>
      <c r="D331" s="1779"/>
      <c r="E331" s="1779"/>
      <c r="F331" s="1779"/>
      <c r="G331" s="1779"/>
      <c r="H331" s="1779"/>
      <c r="I331" s="1779"/>
      <c r="J331" s="1779"/>
      <c r="K331" s="1780"/>
      <c r="L331" s="1781"/>
      <c r="M331" s="1779"/>
      <c r="N331" s="1779"/>
      <c r="O331" s="1779"/>
      <c r="P331" s="1816"/>
      <c r="Q331" s="1779"/>
      <c r="R331" s="1779"/>
      <c r="S331" s="1779"/>
      <c r="T331" s="1779"/>
      <c r="U331" s="1779"/>
      <c r="V331" s="1779"/>
      <c r="W331" s="1779"/>
      <c r="X331" s="1779"/>
      <c r="Y331" s="1779"/>
      <c r="Z331" s="1779"/>
      <c r="AA331" s="1779"/>
      <c r="AB331" s="1779"/>
      <c r="AC331" s="1779"/>
    </row>
    <row r="332" spans="1:29">
      <c r="A332" s="1779"/>
      <c r="B332" s="1779"/>
      <c r="C332" s="1779"/>
      <c r="D332" s="1779"/>
      <c r="E332" s="1779"/>
      <c r="F332" s="1779"/>
      <c r="G332" s="1779"/>
      <c r="H332" s="1779"/>
      <c r="I332" s="1779"/>
      <c r="J332" s="1779"/>
      <c r="K332" s="1780"/>
      <c r="L332" s="1781"/>
      <c r="M332" s="1779"/>
      <c r="N332" s="1779"/>
      <c r="O332" s="1779"/>
      <c r="P332" s="1816"/>
      <c r="Q332" s="1779"/>
      <c r="R332" s="1779"/>
      <c r="S332" s="1779"/>
      <c r="T332" s="1779"/>
      <c r="U332" s="1779"/>
      <c r="V332" s="1779"/>
      <c r="W332" s="1779"/>
      <c r="X332" s="1779"/>
      <c r="Y332" s="1779"/>
      <c r="Z332" s="1779"/>
      <c r="AA332" s="1779"/>
      <c r="AB332" s="1779"/>
      <c r="AC332" s="1779"/>
    </row>
    <row r="333" spans="1:29">
      <c r="A333" s="1779"/>
      <c r="B333" s="1779"/>
      <c r="C333" s="1779"/>
      <c r="D333" s="1779"/>
      <c r="E333" s="1779"/>
      <c r="F333" s="1779"/>
      <c r="G333" s="1779"/>
      <c r="H333" s="1779"/>
      <c r="I333" s="1779"/>
      <c r="J333" s="1779"/>
      <c r="K333" s="1780"/>
      <c r="L333" s="1781"/>
      <c r="M333" s="1779"/>
      <c r="N333" s="1779"/>
      <c r="O333" s="1779"/>
      <c r="P333" s="1816"/>
      <c r="Q333" s="1779"/>
      <c r="R333" s="1779"/>
      <c r="S333" s="1779"/>
      <c r="T333" s="1779"/>
      <c r="U333" s="1779"/>
      <c r="V333" s="1779"/>
      <c r="W333" s="1779"/>
      <c r="X333" s="1779"/>
      <c r="Y333" s="1779"/>
      <c r="Z333" s="1779"/>
      <c r="AA333" s="1779"/>
      <c r="AB333" s="1779"/>
      <c r="AC333" s="1779"/>
    </row>
    <row r="334" spans="1:29">
      <c r="A334" s="1779"/>
      <c r="B334" s="1779"/>
      <c r="C334" s="1779"/>
      <c r="D334" s="1779"/>
      <c r="E334" s="1779"/>
      <c r="F334" s="1779"/>
      <c r="G334" s="1779"/>
      <c r="H334" s="1779"/>
      <c r="I334" s="1779"/>
      <c r="J334" s="1779"/>
      <c r="K334" s="1780"/>
      <c r="L334" s="1781"/>
      <c r="M334" s="1779"/>
      <c r="N334" s="1779"/>
      <c r="O334" s="1779"/>
      <c r="P334" s="1816"/>
      <c r="Q334" s="1779"/>
      <c r="R334" s="1779"/>
      <c r="S334" s="1779"/>
      <c r="T334" s="1779"/>
      <c r="U334" s="1779"/>
      <c r="V334" s="1779"/>
      <c r="W334" s="1779"/>
      <c r="X334" s="1779"/>
      <c r="Y334" s="1779"/>
      <c r="Z334" s="1779"/>
      <c r="AA334" s="1779"/>
      <c r="AB334" s="1779"/>
      <c r="AC334" s="1779"/>
    </row>
    <row r="335" spans="1:29">
      <c r="A335" s="1779"/>
      <c r="B335" s="1779"/>
      <c r="C335" s="1779"/>
      <c r="D335" s="1779"/>
      <c r="E335" s="1779"/>
      <c r="F335" s="1779"/>
      <c r="G335" s="1779"/>
      <c r="H335" s="1779"/>
      <c r="I335" s="1779"/>
      <c r="J335" s="1779"/>
      <c r="K335" s="1780"/>
      <c r="L335" s="1781"/>
      <c r="M335" s="1779"/>
      <c r="N335" s="1779"/>
      <c r="O335" s="1779"/>
      <c r="P335" s="1816"/>
      <c r="Q335" s="1779"/>
      <c r="R335" s="1779"/>
      <c r="S335" s="1779"/>
      <c r="T335" s="1779"/>
      <c r="U335" s="1779"/>
      <c r="V335" s="1779"/>
      <c r="W335" s="1779"/>
      <c r="X335" s="1779"/>
      <c r="Y335" s="1779"/>
      <c r="Z335" s="1779"/>
      <c r="AA335" s="1779"/>
      <c r="AB335" s="1779"/>
      <c r="AC335" s="1779"/>
    </row>
    <row r="336" spans="1:29">
      <c r="A336" s="1779"/>
      <c r="B336" s="1779"/>
      <c r="C336" s="1779"/>
      <c r="D336" s="1779"/>
      <c r="E336" s="1779"/>
      <c r="F336" s="1779"/>
      <c r="G336" s="1779"/>
      <c r="H336" s="1779"/>
      <c r="I336" s="1779"/>
      <c r="J336" s="1779"/>
      <c r="K336" s="1780"/>
      <c r="L336" s="1781"/>
      <c r="M336" s="1779"/>
      <c r="N336" s="1779"/>
      <c r="O336" s="1779"/>
      <c r="P336" s="1816"/>
      <c r="Q336" s="1779"/>
      <c r="R336" s="1779"/>
      <c r="S336" s="1779"/>
      <c r="T336" s="1779"/>
      <c r="U336" s="1779"/>
      <c r="V336" s="1779"/>
      <c r="W336" s="1779"/>
      <c r="X336" s="1779"/>
      <c r="Y336" s="1779"/>
      <c r="Z336" s="1779"/>
      <c r="AA336" s="1779"/>
      <c r="AB336" s="1779"/>
      <c r="AC336" s="1779"/>
    </row>
    <row r="337" spans="1:29">
      <c r="A337" s="1779"/>
      <c r="B337" s="1779"/>
      <c r="C337" s="1779"/>
      <c r="D337" s="1779"/>
      <c r="E337" s="1779"/>
      <c r="F337" s="1779"/>
      <c r="G337" s="1779"/>
      <c r="H337" s="1779"/>
      <c r="I337" s="1779"/>
      <c r="J337" s="1779"/>
      <c r="K337" s="1780"/>
      <c r="L337" s="1781"/>
      <c r="M337" s="1779"/>
      <c r="N337" s="1779"/>
      <c r="O337" s="1779"/>
      <c r="P337" s="1816"/>
      <c r="Q337" s="1779"/>
      <c r="R337" s="1779"/>
      <c r="S337" s="1779"/>
      <c r="T337" s="1779"/>
      <c r="U337" s="1779"/>
      <c r="V337" s="1779"/>
      <c r="W337" s="1779"/>
      <c r="X337" s="1779"/>
      <c r="Y337" s="1779"/>
      <c r="Z337" s="1779"/>
      <c r="AA337" s="1779"/>
      <c r="AB337" s="1779"/>
      <c r="AC337" s="1779"/>
    </row>
    <row r="338" spans="1:29">
      <c r="A338" s="1779"/>
      <c r="B338" s="1779"/>
      <c r="C338" s="1779"/>
      <c r="D338" s="1779"/>
      <c r="E338" s="1779"/>
      <c r="F338" s="1779"/>
      <c r="G338" s="1779"/>
      <c r="H338" s="1779"/>
      <c r="I338" s="1779"/>
      <c r="J338" s="1779"/>
      <c r="K338" s="1780"/>
      <c r="L338" s="1781"/>
      <c r="M338" s="1779"/>
      <c r="N338" s="1779"/>
      <c r="O338" s="1779"/>
      <c r="P338" s="1816"/>
      <c r="Q338" s="1779"/>
      <c r="R338" s="1779"/>
      <c r="S338" s="1779"/>
      <c r="T338" s="1779"/>
      <c r="U338" s="1779"/>
      <c r="V338" s="1779"/>
      <c r="W338" s="1779"/>
      <c r="X338" s="1779"/>
      <c r="Y338" s="1779"/>
      <c r="Z338" s="1779"/>
      <c r="AA338" s="1779"/>
      <c r="AB338" s="1779"/>
      <c r="AC338" s="1779"/>
    </row>
    <row r="339" spans="1:29">
      <c r="A339" s="1779"/>
      <c r="B339" s="1779"/>
      <c r="C339" s="1779"/>
      <c r="D339" s="1779"/>
      <c r="E339" s="1779"/>
      <c r="F339" s="1779"/>
      <c r="G339" s="1779"/>
      <c r="H339" s="1779"/>
      <c r="I339" s="1779"/>
      <c r="J339" s="1779"/>
      <c r="K339" s="1780"/>
      <c r="L339" s="1781"/>
      <c r="M339" s="1779"/>
      <c r="N339" s="1779"/>
      <c r="O339" s="1779"/>
      <c r="P339" s="1816"/>
      <c r="Q339" s="1779"/>
      <c r="R339" s="1779"/>
      <c r="S339" s="1779"/>
      <c r="T339" s="1779"/>
      <c r="U339" s="1779"/>
      <c r="V339" s="1779"/>
      <c r="W339" s="1779"/>
      <c r="X339" s="1779"/>
      <c r="Y339" s="1779"/>
      <c r="Z339" s="1779"/>
      <c r="AA339" s="1779"/>
      <c r="AB339" s="1779"/>
      <c r="AC339" s="1779"/>
    </row>
    <row r="340" spans="1:29">
      <c r="A340" s="1779"/>
      <c r="B340" s="1779"/>
      <c r="C340" s="1779"/>
      <c r="D340" s="1779"/>
      <c r="E340" s="1779"/>
      <c r="F340" s="1779"/>
      <c r="G340" s="1779"/>
      <c r="H340" s="1779"/>
      <c r="I340" s="1779"/>
      <c r="J340" s="1779"/>
      <c r="K340" s="1780"/>
      <c r="L340" s="1781"/>
      <c r="M340" s="1779"/>
      <c r="N340" s="1779"/>
      <c r="O340" s="1779"/>
      <c r="P340" s="1816"/>
      <c r="Q340" s="1779"/>
      <c r="R340" s="1779"/>
      <c r="S340" s="1779"/>
      <c r="T340" s="1779"/>
      <c r="U340" s="1779"/>
      <c r="V340" s="1779"/>
      <c r="W340" s="1779"/>
      <c r="X340" s="1779"/>
      <c r="Y340" s="1779"/>
      <c r="Z340" s="1779"/>
      <c r="AA340" s="1779"/>
      <c r="AB340" s="1779"/>
      <c r="AC340" s="1779"/>
    </row>
    <row r="341" spans="1:29">
      <c r="A341" s="1779"/>
      <c r="B341" s="1779"/>
      <c r="C341" s="1779"/>
      <c r="D341" s="1779"/>
      <c r="E341" s="1779"/>
      <c r="F341" s="1779"/>
      <c r="G341" s="1779"/>
      <c r="H341" s="1779"/>
      <c r="I341" s="1779"/>
      <c r="J341" s="1779"/>
      <c r="K341" s="1780"/>
      <c r="L341" s="1781"/>
      <c r="M341" s="1779"/>
      <c r="N341" s="1779"/>
      <c r="O341" s="1779"/>
      <c r="P341" s="1816"/>
      <c r="Q341" s="1779"/>
      <c r="R341" s="1779"/>
      <c r="S341" s="1779"/>
      <c r="T341" s="1779"/>
      <c r="U341" s="1779"/>
      <c r="V341" s="1779"/>
      <c r="W341" s="1779"/>
      <c r="X341" s="1779"/>
      <c r="Y341" s="1779"/>
      <c r="Z341" s="1779"/>
      <c r="AA341" s="1779"/>
      <c r="AB341" s="1779"/>
      <c r="AC341" s="1779"/>
    </row>
    <row r="342" spans="1:29">
      <c r="A342" s="1779"/>
      <c r="B342" s="1779"/>
      <c r="C342" s="1779"/>
      <c r="D342" s="1779"/>
      <c r="E342" s="1779"/>
      <c r="F342" s="1779"/>
      <c r="G342" s="1779"/>
      <c r="H342" s="1779"/>
      <c r="I342" s="1779"/>
      <c r="J342" s="1779"/>
      <c r="K342" s="1780"/>
      <c r="L342" s="1781"/>
      <c r="M342" s="1779"/>
      <c r="N342" s="1779"/>
      <c r="O342" s="1779"/>
      <c r="P342" s="1816"/>
      <c r="Q342" s="1779"/>
      <c r="R342" s="1779"/>
      <c r="S342" s="1779"/>
      <c r="T342" s="1779"/>
      <c r="U342" s="1779"/>
      <c r="V342" s="1779"/>
      <c r="W342" s="1779"/>
      <c r="X342" s="1779"/>
      <c r="Y342" s="1779"/>
      <c r="Z342" s="1779"/>
      <c r="AA342" s="1779"/>
      <c r="AB342" s="1779"/>
      <c r="AC342" s="1779"/>
    </row>
    <row r="343" spans="1:29">
      <c r="A343" s="1779"/>
      <c r="B343" s="1779"/>
      <c r="C343" s="1779"/>
      <c r="D343" s="1779"/>
      <c r="E343" s="1779"/>
      <c r="F343" s="1779"/>
      <c r="G343" s="1779"/>
      <c r="H343" s="1779"/>
      <c r="I343" s="1779"/>
      <c r="J343" s="1779"/>
      <c r="K343" s="1780"/>
      <c r="L343" s="1781"/>
      <c r="M343" s="1779"/>
      <c r="N343" s="1779"/>
      <c r="O343" s="1779"/>
      <c r="P343" s="1816"/>
      <c r="Q343" s="1779"/>
      <c r="R343" s="1779"/>
      <c r="S343" s="1779"/>
      <c r="T343" s="1779"/>
      <c r="U343" s="1779"/>
      <c r="V343" s="1779"/>
      <c r="W343" s="1779"/>
      <c r="X343" s="1779"/>
      <c r="Y343" s="1779"/>
      <c r="Z343" s="1779"/>
      <c r="AA343" s="1779"/>
      <c r="AB343" s="1779"/>
      <c r="AC343" s="1779"/>
    </row>
    <row r="344" spans="1:29">
      <c r="A344" s="1779"/>
      <c r="B344" s="1779"/>
      <c r="C344" s="1779"/>
      <c r="D344" s="1779"/>
      <c r="E344" s="1779"/>
      <c r="F344" s="1779"/>
      <c r="G344" s="1779"/>
      <c r="H344" s="1779"/>
      <c r="I344" s="1779"/>
      <c r="J344" s="1779"/>
      <c r="K344" s="1780"/>
      <c r="L344" s="1781"/>
      <c r="M344" s="1779"/>
      <c r="N344" s="1779"/>
      <c r="O344" s="1779"/>
      <c r="P344" s="1816"/>
      <c r="Q344" s="1779"/>
      <c r="R344" s="1779"/>
      <c r="S344" s="1779"/>
      <c r="T344" s="1779"/>
      <c r="U344" s="1779"/>
      <c r="V344" s="1779"/>
      <c r="W344" s="1779"/>
      <c r="X344" s="1779"/>
      <c r="Y344" s="1779"/>
      <c r="Z344" s="1779"/>
      <c r="AA344" s="1779"/>
      <c r="AB344" s="1779"/>
      <c r="AC344" s="1779"/>
    </row>
    <row r="345" spans="1:29">
      <c r="A345" s="1779"/>
      <c r="B345" s="1779"/>
      <c r="C345" s="1779"/>
      <c r="D345" s="1779"/>
      <c r="E345" s="1779"/>
      <c r="F345" s="1779"/>
      <c r="G345" s="1779"/>
      <c r="H345" s="1779"/>
      <c r="I345" s="1779"/>
      <c r="J345" s="1779"/>
      <c r="K345" s="1780"/>
      <c r="L345" s="1781"/>
      <c r="M345" s="1779"/>
      <c r="N345" s="1779"/>
      <c r="O345" s="1779"/>
      <c r="P345" s="1816"/>
      <c r="Q345" s="1779"/>
      <c r="R345" s="1779"/>
      <c r="S345" s="1779"/>
      <c r="T345" s="1779"/>
      <c r="U345" s="1779"/>
      <c r="V345" s="1779"/>
      <c r="W345" s="1779"/>
      <c r="X345" s="1779"/>
      <c r="Y345" s="1779"/>
      <c r="Z345" s="1779"/>
      <c r="AA345" s="1779"/>
      <c r="AB345" s="1779"/>
      <c r="AC345" s="1779"/>
    </row>
    <row r="346" spans="1:29">
      <c r="A346" s="1779"/>
      <c r="B346" s="1779"/>
      <c r="C346" s="1779"/>
      <c r="D346" s="1779"/>
      <c r="E346" s="1779"/>
      <c r="F346" s="1779"/>
      <c r="G346" s="1779"/>
      <c r="H346" s="1779"/>
      <c r="I346" s="1779"/>
      <c r="J346" s="1779"/>
      <c r="K346" s="1780"/>
      <c r="L346" s="1781"/>
      <c r="M346" s="1779"/>
      <c r="N346" s="1779"/>
      <c r="O346" s="1779"/>
      <c r="P346" s="1816"/>
      <c r="Q346" s="1779"/>
      <c r="R346" s="1779"/>
      <c r="S346" s="1779"/>
      <c r="T346" s="1779"/>
      <c r="U346" s="1779"/>
      <c r="V346" s="1779"/>
      <c r="W346" s="1779"/>
      <c r="X346" s="1779"/>
      <c r="Y346" s="1779"/>
      <c r="Z346" s="1779"/>
      <c r="AA346" s="1779"/>
      <c r="AB346" s="1779"/>
      <c r="AC346" s="1779"/>
    </row>
    <row r="347" spans="1:29">
      <c r="A347" s="1779"/>
      <c r="B347" s="1779"/>
      <c r="C347" s="1779"/>
      <c r="D347" s="1779"/>
      <c r="E347" s="1779"/>
      <c r="F347" s="1779"/>
      <c r="G347" s="1779"/>
      <c r="H347" s="1779"/>
      <c r="I347" s="1779"/>
      <c r="J347" s="1779"/>
      <c r="K347" s="1780"/>
      <c r="L347" s="1781"/>
      <c r="M347" s="1779"/>
      <c r="N347" s="1779"/>
      <c r="O347" s="1779"/>
      <c r="P347" s="1816"/>
      <c r="Q347" s="1779"/>
      <c r="R347" s="1779"/>
      <c r="S347" s="1779"/>
      <c r="T347" s="1779"/>
      <c r="U347" s="1779"/>
      <c r="V347" s="1779"/>
      <c r="W347" s="1779"/>
      <c r="X347" s="1779"/>
      <c r="Y347" s="1779"/>
      <c r="Z347" s="1779"/>
      <c r="AA347" s="1779"/>
      <c r="AB347" s="1779"/>
      <c r="AC347" s="1779"/>
    </row>
    <row r="348" spans="1:29">
      <c r="A348" s="1779"/>
      <c r="B348" s="1779"/>
      <c r="C348" s="1779"/>
      <c r="D348" s="1779"/>
      <c r="E348" s="1779"/>
      <c r="F348" s="1779"/>
      <c r="G348" s="1779"/>
      <c r="H348" s="1779"/>
      <c r="I348" s="1779"/>
      <c r="J348" s="1779"/>
      <c r="K348" s="1780"/>
      <c r="L348" s="1781"/>
      <c r="M348" s="1779"/>
      <c r="N348" s="1779"/>
      <c r="O348" s="1779"/>
      <c r="P348" s="1816"/>
      <c r="Q348" s="1779"/>
      <c r="R348" s="1779"/>
      <c r="S348" s="1779"/>
      <c r="T348" s="1779"/>
      <c r="U348" s="1779"/>
      <c r="V348" s="1779"/>
      <c r="W348" s="1779"/>
      <c r="X348" s="1779"/>
      <c r="Y348" s="1779"/>
      <c r="Z348" s="1779"/>
      <c r="AA348" s="1779"/>
      <c r="AB348" s="1779"/>
      <c r="AC348" s="1779"/>
    </row>
    <row r="349" spans="1:29">
      <c r="A349" s="1779"/>
      <c r="B349" s="1779"/>
      <c r="C349" s="1779"/>
      <c r="D349" s="1779"/>
      <c r="E349" s="1779"/>
      <c r="F349" s="1779"/>
      <c r="G349" s="1779"/>
      <c r="H349" s="1779"/>
      <c r="I349" s="1779"/>
      <c r="J349" s="1779"/>
      <c r="K349" s="1780"/>
      <c r="L349" s="1781"/>
      <c r="M349" s="1779"/>
      <c r="N349" s="1779"/>
      <c r="O349" s="1779"/>
      <c r="P349" s="1816"/>
      <c r="Q349" s="1779"/>
      <c r="R349" s="1779"/>
      <c r="S349" s="1779"/>
      <c r="T349" s="1779"/>
      <c r="U349" s="1779"/>
      <c r="V349" s="1779"/>
      <c r="W349" s="1779"/>
      <c r="X349" s="1779"/>
      <c r="Y349" s="1779"/>
      <c r="Z349" s="1779"/>
      <c r="AA349" s="1779"/>
      <c r="AB349" s="1779"/>
      <c r="AC349" s="1779"/>
    </row>
    <row r="350" spans="1:29">
      <c r="A350" s="1779"/>
      <c r="B350" s="1779"/>
      <c r="C350" s="1779"/>
      <c r="D350" s="1779"/>
      <c r="E350" s="1779"/>
      <c r="F350" s="1779"/>
      <c r="G350" s="1779"/>
      <c r="H350" s="1779"/>
      <c r="I350" s="1779"/>
      <c r="J350" s="1779"/>
      <c r="K350" s="1780"/>
      <c r="L350" s="1781"/>
      <c r="M350" s="1779"/>
      <c r="N350" s="1779"/>
      <c r="O350" s="1779"/>
      <c r="P350" s="1816"/>
      <c r="Q350" s="1779"/>
      <c r="R350" s="1779"/>
      <c r="S350" s="1779"/>
      <c r="T350" s="1779"/>
      <c r="U350" s="1779"/>
      <c r="V350" s="1779"/>
      <c r="W350" s="1779"/>
      <c r="X350" s="1779"/>
      <c r="Y350" s="1779"/>
      <c r="Z350" s="1779"/>
      <c r="AA350" s="1779"/>
      <c r="AB350" s="1779"/>
      <c r="AC350" s="1779"/>
    </row>
    <row r="351" spans="1:29">
      <c r="A351" s="1779"/>
      <c r="B351" s="1779"/>
      <c r="C351" s="1779"/>
      <c r="D351" s="1779"/>
      <c r="E351" s="1779"/>
      <c r="F351" s="1779"/>
      <c r="G351" s="1779"/>
      <c r="H351" s="1779"/>
      <c r="I351" s="1779"/>
      <c r="J351" s="1779"/>
      <c r="K351" s="1780"/>
      <c r="L351" s="1781"/>
      <c r="M351" s="1779"/>
      <c r="N351" s="1779"/>
      <c r="O351" s="1779"/>
      <c r="P351" s="1816"/>
      <c r="Q351" s="1779"/>
      <c r="R351" s="1779"/>
      <c r="S351" s="1779"/>
      <c r="T351" s="1779"/>
      <c r="U351" s="1779"/>
      <c r="V351" s="1779"/>
      <c r="W351" s="1779"/>
      <c r="X351" s="1779"/>
      <c r="Y351" s="1779"/>
      <c r="Z351" s="1779"/>
      <c r="AA351" s="1779"/>
      <c r="AB351" s="1779"/>
      <c r="AC351" s="1779"/>
    </row>
    <row r="352" spans="1:29">
      <c r="A352" s="1779"/>
      <c r="B352" s="1779"/>
      <c r="C352" s="1779"/>
      <c r="D352" s="1779"/>
      <c r="E352" s="1779"/>
      <c r="F352" s="1779"/>
      <c r="G352" s="1779"/>
      <c r="H352" s="1779"/>
      <c r="I352" s="1779"/>
      <c r="J352" s="1779"/>
      <c r="K352" s="1780"/>
      <c r="L352" s="1781"/>
      <c r="M352" s="1779"/>
      <c r="N352" s="1779"/>
      <c r="O352" s="1779"/>
      <c r="P352" s="1816"/>
      <c r="Q352" s="1779"/>
      <c r="R352" s="1779"/>
      <c r="S352" s="1779"/>
      <c r="T352" s="1779"/>
      <c r="U352" s="1779"/>
      <c r="V352" s="1779"/>
      <c r="W352" s="1779"/>
      <c r="X352" s="1779"/>
      <c r="Y352" s="1779"/>
      <c r="Z352" s="1779"/>
      <c r="AA352" s="1779"/>
      <c r="AB352" s="1779"/>
      <c r="AC352" s="1779"/>
    </row>
    <row r="353" spans="1:29">
      <c r="A353" s="1779"/>
      <c r="B353" s="1779"/>
      <c r="C353" s="1779"/>
      <c r="D353" s="1779"/>
      <c r="E353" s="1779"/>
      <c r="F353" s="1779"/>
      <c r="G353" s="1779"/>
      <c r="H353" s="1779"/>
      <c r="I353" s="1779"/>
      <c r="J353" s="1779"/>
      <c r="K353" s="1780"/>
      <c r="L353" s="1781"/>
      <c r="M353" s="1779"/>
      <c r="N353" s="1779"/>
      <c r="O353" s="1779"/>
      <c r="P353" s="1816"/>
      <c r="Q353" s="1779"/>
      <c r="R353" s="1779"/>
      <c r="S353" s="1779"/>
      <c r="T353" s="1779"/>
      <c r="U353" s="1779"/>
      <c r="V353" s="1779"/>
      <c r="W353" s="1779"/>
      <c r="X353" s="1779"/>
      <c r="Y353" s="1779"/>
      <c r="Z353" s="1779"/>
      <c r="AA353" s="1779"/>
      <c r="AB353" s="1779"/>
      <c r="AC353" s="1779"/>
    </row>
    <row r="354" spans="1:29">
      <c r="A354" s="1779"/>
      <c r="B354" s="1779"/>
      <c r="C354" s="1779"/>
      <c r="D354" s="1779"/>
      <c r="E354" s="1779"/>
      <c r="F354" s="1779"/>
      <c r="G354" s="1779"/>
      <c r="H354" s="1779"/>
      <c r="I354" s="1779"/>
      <c r="J354" s="1779"/>
      <c r="K354" s="1780"/>
      <c r="L354" s="1781"/>
      <c r="M354" s="1779"/>
      <c r="N354" s="1779"/>
      <c r="O354" s="1779"/>
      <c r="P354" s="1816"/>
      <c r="Q354" s="1779"/>
      <c r="R354" s="1779"/>
      <c r="S354" s="1779"/>
      <c r="T354" s="1779"/>
      <c r="U354" s="1779"/>
      <c r="V354" s="1779"/>
      <c r="W354" s="1779"/>
      <c r="X354" s="1779"/>
      <c r="Y354" s="1779"/>
      <c r="Z354" s="1779"/>
      <c r="AA354" s="1779"/>
      <c r="AB354" s="1779"/>
      <c r="AC354" s="1779"/>
    </row>
    <row r="355" spans="1:29">
      <c r="A355" s="1779"/>
      <c r="B355" s="1779"/>
      <c r="C355" s="1779"/>
      <c r="D355" s="1779"/>
      <c r="E355" s="1779"/>
      <c r="F355" s="1779"/>
      <c r="G355" s="1779"/>
      <c r="H355" s="1779"/>
      <c r="I355" s="1779"/>
      <c r="J355" s="1779"/>
      <c r="K355" s="1780"/>
      <c r="L355" s="1781"/>
      <c r="M355" s="1779"/>
      <c r="N355" s="1779"/>
      <c r="O355" s="1779"/>
      <c r="P355" s="1816"/>
      <c r="Q355" s="1779"/>
      <c r="R355" s="1779"/>
      <c r="S355" s="1779"/>
      <c r="T355" s="1779"/>
      <c r="U355" s="1779"/>
      <c r="V355" s="1779"/>
      <c r="W355" s="1779"/>
      <c r="X355" s="1779"/>
      <c r="Y355" s="1779"/>
      <c r="Z355" s="1779"/>
      <c r="AA355" s="1779"/>
      <c r="AB355" s="1779"/>
      <c r="AC355" s="1779"/>
    </row>
    <row r="356" spans="1:29">
      <c r="A356" s="1779"/>
      <c r="B356" s="1779"/>
      <c r="C356" s="1779"/>
      <c r="D356" s="1779"/>
      <c r="E356" s="1779"/>
      <c r="F356" s="1779"/>
      <c r="G356" s="1779"/>
      <c r="H356" s="1779"/>
      <c r="I356" s="1779"/>
      <c r="J356" s="1779"/>
      <c r="K356" s="1780"/>
      <c r="L356" s="1781"/>
      <c r="M356" s="1779"/>
      <c r="N356" s="1779"/>
      <c r="O356" s="1779"/>
      <c r="P356" s="1816"/>
      <c r="Q356" s="1779"/>
      <c r="R356" s="1779"/>
      <c r="S356" s="1779"/>
      <c r="T356" s="1779"/>
      <c r="U356" s="1779"/>
      <c r="V356" s="1779"/>
      <c r="W356" s="1779"/>
      <c r="X356" s="1779"/>
      <c r="Y356" s="1779"/>
      <c r="Z356" s="1779"/>
      <c r="AA356" s="1779"/>
      <c r="AB356" s="1779"/>
      <c r="AC356" s="1779"/>
    </row>
    <row r="357" spans="1:29">
      <c r="A357" s="1779"/>
      <c r="B357" s="1779"/>
      <c r="C357" s="1779"/>
      <c r="D357" s="1779"/>
      <c r="E357" s="1779"/>
      <c r="F357" s="1779"/>
      <c r="G357" s="1779"/>
      <c r="H357" s="1779"/>
      <c r="I357" s="1779"/>
      <c r="J357" s="1779"/>
      <c r="K357" s="1780"/>
      <c r="L357" s="1781"/>
      <c r="M357" s="1779"/>
      <c r="N357" s="1779"/>
      <c r="O357" s="1779"/>
      <c r="P357" s="1816"/>
      <c r="Q357" s="1779"/>
      <c r="R357" s="1779"/>
      <c r="S357" s="1779"/>
      <c r="T357" s="1779"/>
      <c r="U357" s="1779"/>
      <c r="V357" s="1779"/>
      <c r="W357" s="1779"/>
      <c r="X357" s="1779"/>
      <c r="Y357" s="1779"/>
      <c r="Z357" s="1779"/>
      <c r="AA357" s="1779"/>
      <c r="AB357" s="1779"/>
      <c r="AC357" s="1779"/>
    </row>
    <row r="358" spans="1:29">
      <c r="A358" s="1779"/>
      <c r="B358" s="1779"/>
      <c r="C358" s="1779"/>
      <c r="D358" s="1779"/>
      <c r="E358" s="1779"/>
      <c r="F358" s="1779"/>
      <c r="G358" s="1779"/>
      <c r="H358" s="1779"/>
      <c r="I358" s="1779"/>
      <c r="J358" s="1779"/>
      <c r="K358" s="1780"/>
      <c r="L358" s="1781"/>
      <c r="M358" s="1779"/>
      <c r="N358" s="1779"/>
      <c r="O358" s="1779"/>
      <c r="P358" s="1816"/>
      <c r="Q358" s="1779"/>
      <c r="R358" s="1779"/>
      <c r="S358" s="1779"/>
      <c r="T358" s="1779"/>
      <c r="U358" s="1779"/>
      <c r="V358" s="1779"/>
      <c r="W358" s="1779"/>
      <c r="X358" s="1779"/>
      <c r="Y358" s="1779"/>
      <c r="Z358" s="1779"/>
      <c r="AA358" s="1779"/>
      <c r="AB358" s="1779"/>
      <c r="AC358" s="1779"/>
    </row>
    <row r="359" spans="1:29">
      <c r="A359" s="1779"/>
      <c r="B359" s="1779"/>
      <c r="C359" s="1779"/>
      <c r="D359" s="1779"/>
      <c r="E359" s="1779"/>
      <c r="F359" s="1779"/>
      <c r="G359" s="1779"/>
      <c r="H359" s="1779"/>
      <c r="I359" s="1779"/>
      <c r="J359" s="1779"/>
      <c r="K359" s="1780"/>
      <c r="L359" s="1781"/>
      <c r="M359" s="1779"/>
      <c r="N359" s="1779"/>
      <c r="O359" s="1779"/>
      <c r="P359" s="1816"/>
      <c r="Q359" s="1779"/>
      <c r="R359" s="1779"/>
      <c r="S359" s="1779"/>
      <c r="T359" s="1779"/>
      <c r="U359" s="1779"/>
      <c r="V359" s="1779"/>
      <c r="W359" s="1779"/>
      <c r="X359" s="1779"/>
      <c r="Y359" s="1779"/>
      <c r="Z359" s="1779"/>
      <c r="AA359" s="1779"/>
      <c r="AB359" s="1779"/>
      <c r="AC359" s="1779"/>
    </row>
    <row r="360" spans="1:29">
      <c r="A360" s="1779"/>
      <c r="B360" s="1779"/>
      <c r="C360" s="1779"/>
      <c r="D360" s="1779"/>
      <c r="E360" s="1779"/>
      <c r="F360" s="1779"/>
      <c r="G360" s="1779"/>
      <c r="H360" s="1779"/>
      <c r="I360" s="1779"/>
      <c r="J360" s="1779"/>
      <c r="K360" s="1780"/>
      <c r="L360" s="1781"/>
      <c r="M360" s="1779"/>
      <c r="N360" s="1779"/>
      <c r="O360" s="1779"/>
      <c r="P360" s="1816"/>
      <c r="Q360" s="1779"/>
      <c r="R360" s="1779"/>
      <c r="S360" s="1779"/>
      <c r="T360" s="1779"/>
      <c r="U360" s="1779"/>
      <c r="V360" s="1779"/>
      <c r="W360" s="1779"/>
      <c r="X360" s="1779"/>
      <c r="Y360" s="1779"/>
      <c r="Z360" s="1779"/>
      <c r="AA360" s="1779"/>
      <c r="AB360" s="1779"/>
      <c r="AC360" s="1779"/>
    </row>
    <row r="361" spans="1:29">
      <c r="A361" s="1779"/>
      <c r="B361" s="1779"/>
      <c r="C361" s="1779"/>
      <c r="D361" s="1779"/>
      <c r="E361" s="1779"/>
      <c r="F361" s="1779"/>
      <c r="G361" s="1779"/>
      <c r="H361" s="1779"/>
      <c r="I361" s="1779"/>
      <c r="J361" s="1779"/>
      <c r="K361" s="1780"/>
      <c r="L361" s="1781"/>
      <c r="M361" s="1779"/>
      <c r="N361" s="1779"/>
      <c r="O361" s="1779"/>
      <c r="P361" s="1816"/>
      <c r="Q361" s="1779"/>
      <c r="R361" s="1779"/>
      <c r="S361" s="1779"/>
      <c r="T361" s="1779"/>
      <c r="U361" s="1779"/>
      <c r="V361" s="1779"/>
      <c r="W361" s="1779"/>
      <c r="X361" s="1779"/>
      <c r="Y361" s="1779"/>
      <c r="Z361" s="1779"/>
      <c r="AA361" s="1779"/>
      <c r="AB361" s="1779"/>
      <c r="AC361" s="1779"/>
    </row>
    <row r="362" spans="1:29">
      <c r="A362" s="1779"/>
      <c r="B362" s="1779"/>
      <c r="C362" s="1779"/>
      <c r="D362" s="1779"/>
      <c r="E362" s="1779"/>
      <c r="F362" s="1779"/>
      <c r="G362" s="1779"/>
      <c r="H362" s="1779"/>
      <c r="I362" s="1779"/>
      <c r="J362" s="1779"/>
      <c r="K362" s="1780"/>
      <c r="L362" s="1781"/>
      <c r="M362" s="1779"/>
      <c r="N362" s="1779"/>
      <c r="O362" s="1779"/>
      <c r="P362" s="1816"/>
      <c r="Q362" s="1779"/>
      <c r="R362" s="1779"/>
      <c r="S362" s="1779"/>
      <c r="T362" s="1779"/>
      <c r="U362" s="1779"/>
      <c r="V362" s="1779"/>
      <c r="W362" s="1779"/>
      <c r="X362" s="1779"/>
      <c r="Y362" s="1779"/>
      <c r="Z362" s="1779"/>
      <c r="AA362" s="1779"/>
      <c r="AB362" s="1779"/>
      <c r="AC362" s="1779"/>
    </row>
    <row r="363" spans="1:29">
      <c r="A363" s="1779"/>
      <c r="B363" s="1779"/>
      <c r="C363" s="1779"/>
      <c r="D363" s="1779"/>
      <c r="E363" s="1779"/>
      <c r="F363" s="1779"/>
      <c r="G363" s="1779"/>
      <c r="H363" s="1779"/>
      <c r="I363" s="1779"/>
      <c r="J363" s="1779"/>
      <c r="K363" s="1780"/>
      <c r="L363" s="1781"/>
      <c r="M363" s="1779"/>
      <c r="N363" s="1779"/>
      <c r="O363" s="1779"/>
      <c r="P363" s="1816"/>
      <c r="Q363" s="1779"/>
      <c r="R363" s="1779"/>
      <c r="S363" s="1779"/>
      <c r="T363" s="1779"/>
      <c r="U363" s="1779"/>
      <c r="V363" s="1779"/>
      <c r="W363" s="1779"/>
      <c r="X363" s="1779"/>
      <c r="Y363" s="1779"/>
      <c r="Z363" s="1779"/>
      <c r="AA363" s="1779"/>
      <c r="AB363" s="1779"/>
      <c r="AC363" s="1779"/>
    </row>
    <row r="364" spans="1:29">
      <c r="A364" s="1779"/>
      <c r="B364" s="1779"/>
      <c r="C364" s="1779"/>
      <c r="D364" s="1779"/>
      <c r="E364" s="1779"/>
      <c r="F364" s="1779"/>
      <c r="G364" s="1779"/>
      <c r="H364" s="1779"/>
      <c r="I364" s="1779"/>
      <c r="J364" s="1779"/>
      <c r="K364" s="1780"/>
      <c r="L364" s="1781"/>
      <c r="M364" s="1779"/>
      <c r="N364" s="1779"/>
      <c r="O364" s="1779"/>
      <c r="P364" s="1816"/>
      <c r="Q364" s="1779"/>
      <c r="R364" s="1779"/>
      <c r="S364" s="1779"/>
      <c r="T364" s="1779"/>
      <c r="U364" s="1779"/>
      <c r="V364" s="1779"/>
      <c r="W364" s="1779"/>
      <c r="X364" s="1779"/>
      <c r="Y364" s="1779"/>
      <c r="Z364" s="1779"/>
      <c r="AA364" s="1779"/>
      <c r="AB364" s="1779"/>
      <c r="AC364" s="1779"/>
    </row>
    <row r="365" spans="1:29">
      <c r="A365" s="1779"/>
      <c r="B365" s="1779"/>
      <c r="C365" s="1779"/>
      <c r="D365" s="1779"/>
      <c r="E365" s="1779"/>
      <c r="F365" s="1779"/>
      <c r="G365" s="1779"/>
      <c r="H365" s="1779"/>
      <c r="I365" s="1779"/>
      <c r="J365" s="1779"/>
      <c r="K365" s="1780"/>
      <c r="L365" s="1781"/>
      <c r="M365" s="1779"/>
      <c r="N365" s="1779"/>
      <c r="O365" s="1779"/>
      <c r="P365" s="1816"/>
      <c r="Q365" s="1779"/>
      <c r="R365" s="1779"/>
      <c r="S365" s="1779"/>
      <c r="T365" s="1779"/>
      <c r="U365" s="1779"/>
      <c r="V365" s="1779"/>
      <c r="W365" s="1779"/>
      <c r="X365" s="1779"/>
      <c r="Y365" s="1779"/>
      <c r="Z365" s="1779"/>
      <c r="AA365" s="1779"/>
      <c r="AB365" s="1779"/>
      <c r="AC365" s="1779"/>
    </row>
    <row r="366" spans="1:29">
      <c r="A366" s="1779"/>
      <c r="B366" s="1779"/>
      <c r="C366" s="1779"/>
      <c r="D366" s="1779"/>
      <c r="E366" s="1779"/>
      <c r="F366" s="1779"/>
      <c r="G366" s="1779"/>
      <c r="H366" s="1779"/>
      <c r="I366" s="1779"/>
      <c r="J366" s="1779"/>
      <c r="K366" s="1780"/>
      <c r="L366" s="1781"/>
      <c r="M366" s="1779"/>
      <c r="N366" s="1779"/>
      <c r="O366" s="1779"/>
      <c r="P366" s="1816"/>
      <c r="Q366" s="1779"/>
      <c r="R366" s="1779"/>
      <c r="S366" s="1779"/>
      <c r="T366" s="1779"/>
      <c r="U366" s="1779"/>
      <c r="V366" s="1779"/>
      <c r="W366" s="1779"/>
      <c r="X366" s="1779"/>
      <c r="Y366" s="1779"/>
      <c r="Z366" s="1779"/>
      <c r="AA366" s="1779"/>
      <c r="AB366" s="1779"/>
      <c r="AC366" s="1779"/>
    </row>
    <row r="367" spans="1:29">
      <c r="A367" s="1779"/>
      <c r="B367" s="1779"/>
      <c r="C367" s="1779"/>
      <c r="D367" s="1779"/>
      <c r="E367" s="1779"/>
      <c r="F367" s="1779"/>
      <c r="G367" s="1779"/>
      <c r="H367" s="1779"/>
      <c r="I367" s="1779"/>
      <c r="J367" s="1779"/>
      <c r="K367" s="1780"/>
      <c r="L367" s="1781"/>
      <c r="M367" s="1779"/>
      <c r="N367" s="1779"/>
      <c r="O367" s="1779"/>
      <c r="P367" s="1816"/>
      <c r="Q367" s="1779"/>
      <c r="R367" s="1779"/>
      <c r="S367" s="1779"/>
      <c r="T367" s="1779"/>
      <c r="U367" s="1779"/>
      <c r="V367" s="1779"/>
      <c r="W367" s="1779"/>
      <c r="X367" s="1779"/>
      <c r="Y367" s="1779"/>
      <c r="Z367" s="1779"/>
      <c r="AA367" s="1779"/>
      <c r="AB367" s="1779"/>
      <c r="AC367" s="1779"/>
    </row>
    <row r="368" spans="1:29">
      <c r="A368" s="1779"/>
      <c r="B368" s="1779"/>
      <c r="C368" s="1779"/>
      <c r="D368" s="1779"/>
      <c r="E368" s="1779"/>
      <c r="F368" s="1779"/>
      <c r="G368" s="1779"/>
      <c r="H368" s="1779"/>
      <c r="I368" s="1779"/>
      <c r="J368" s="1779"/>
      <c r="K368" s="1780"/>
      <c r="L368" s="1781"/>
      <c r="M368" s="1779"/>
      <c r="N368" s="1779"/>
      <c r="O368" s="1779"/>
      <c r="P368" s="1816"/>
      <c r="Q368" s="1779"/>
      <c r="R368" s="1779"/>
      <c r="S368" s="1779"/>
      <c r="T368" s="1779"/>
      <c r="U368" s="1779"/>
      <c r="V368" s="1779"/>
      <c r="W368" s="1779"/>
      <c r="X368" s="1779"/>
      <c r="Y368" s="1779"/>
      <c r="Z368" s="1779"/>
      <c r="AA368" s="1779"/>
      <c r="AB368" s="1779"/>
      <c r="AC368" s="1779"/>
    </row>
    <row r="369" spans="1:29">
      <c r="A369" s="1779"/>
      <c r="B369" s="1779"/>
      <c r="C369" s="1779"/>
      <c r="D369" s="1779"/>
      <c r="E369" s="1779"/>
      <c r="F369" s="1779"/>
      <c r="G369" s="1779"/>
      <c r="H369" s="1779"/>
      <c r="I369" s="1779"/>
      <c r="J369" s="1779"/>
      <c r="K369" s="1780"/>
      <c r="L369" s="1781"/>
      <c r="M369" s="1779"/>
      <c r="N369" s="1779"/>
      <c r="O369" s="1779"/>
      <c r="P369" s="1816"/>
      <c r="Q369" s="1779"/>
      <c r="R369" s="1779"/>
      <c r="S369" s="1779"/>
      <c r="T369" s="1779"/>
      <c r="U369" s="1779"/>
      <c r="V369" s="1779"/>
      <c r="W369" s="1779"/>
      <c r="X369" s="1779"/>
      <c r="Y369" s="1779"/>
      <c r="Z369" s="1779"/>
      <c r="AA369" s="1779"/>
      <c r="AB369" s="1779"/>
      <c r="AC369" s="1779"/>
    </row>
    <row r="370" spans="1:29">
      <c r="A370" s="1779"/>
      <c r="B370" s="1779"/>
      <c r="C370" s="1779"/>
      <c r="D370" s="1779"/>
      <c r="E370" s="1779"/>
      <c r="F370" s="1779"/>
      <c r="G370" s="1779"/>
      <c r="H370" s="1779"/>
      <c r="I370" s="1779"/>
      <c r="J370" s="1779"/>
      <c r="K370" s="1780"/>
      <c r="L370" s="1781"/>
      <c r="M370" s="1779"/>
      <c r="N370" s="1779"/>
      <c r="O370" s="1779"/>
      <c r="P370" s="1816"/>
      <c r="Q370" s="1779"/>
      <c r="R370" s="1779"/>
      <c r="S370" s="1779"/>
      <c r="T370" s="1779"/>
      <c r="U370" s="1779"/>
      <c r="V370" s="1779"/>
      <c r="W370" s="1779"/>
      <c r="X370" s="1779"/>
      <c r="Y370" s="1779"/>
      <c r="Z370" s="1779"/>
      <c r="AA370" s="1779"/>
      <c r="AB370" s="1779"/>
      <c r="AC370" s="1779"/>
    </row>
    <row r="371" spans="1:29">
      <c r="A371" s="1779"/>
      <c r="B371" s="1779"/>
      <c r="C371" s="1779"/>
      <c r="D371" s="1779"/>
      <c r="E371" s="1779"/>
      <c r="F371" s="1779"/>
      <c r="G371" s="1779"/>
      <c r="H371" s="1779"/>
      <c r="I371" s="1779"/>
      <c r="J371" s="1779"/>
      <c r="K371" s="1780"/>
      <c r="L371" s="1781"/>
      <c r="M371" s="1779"/>
      <c r="N371" s="1779"/>
      <c r="O371" s="1779"/>
      <c r="P371" s="1816"/>
      <c r="Q371" s="1779"/>
      <c r="R371" s="1779"/>
      <c r="S371" s="1779"/>
      <c r="T371" s="1779"/>
      <c r="U371" s="1779"/>
      <c r="V371" s="1779"/>
      <c r="W371" s="1779"/>
      <c r="X371" s="1779"/>
      <c r="Y371" s="1779"/>
      <c r="Z371" s="1779"/>
      <c r="AA371" s="1779"/>
      <c r="AB371" s="1779"/>
      <c r="AC371" s="1779"/>
    </row>
    <row r="372" spans="1:29">
      <c r="A372" s="1779"/>
      <c r="B372" s="1779"/>
      <c r="C372" s="1779"/>
      <c r="D372" s="1779"/>
      <c r="E372" s="1779"/>
      <c r="F372" s="1779"/>
      <c r="G372" s="1779"/>
      <c r="H372" s="1779"/>
      <c r="I372" s="1779"/>
      <c r="J372" s="1779"/>
      <c r="K372" s="1780"/>
      <c r="L372" s="1781"/>
      <c r="M372" s="1779"/>
      <c r="N372" s="1779"/>
      <c r="O372" s="1779"/>
      <c r="P372" s="1816"/>
      <c r="Q372" s="1779"/>
      <c r="R372" s="1779"/>
      <c r="S372" s="1779"/>
      <c r="T372" s="1779"/>
      <c r="U372" s="1779"/>
      <c r="V372" s="1779"/>
      <c r="W372" s="1779"/>
      <c r="X372" s="1779"/>
      <c r="Y372" s="1779"/>
      <c r="Z372" s="1779"/>
      <c r="AA372" s="1779"/>
      <c r="AB372" s="1779"/>
      <c r="AC372" s="1779"/>
    </row>
    <row r="373" spans="1:29">
      <c r="A373" s="1779"/>
      <c r="B373" s="1779"/>
      <c r="C373" s="1779"/>
      <c r="D373" s="1779"/>
      <c r="E373" s="1779"/>
      <c r="F373" s="1779"/>
      <c r="G373" s="1779"/>
      <c r="H373" s="1779"/>
      <c r="I373" s="1779"/>
      <c r="J373" s="1779"/>
      <c r="K373" s="1780"/>
      <c r="L373" s="1781"/>
      <c r="M373" s="1779"/>
      <c r="N373" s="1779"/>
      <c r="O373" s="1779"/>
      <c r="P373" s="1816"/>
      <c r="Q373" s="1779"/>
      <c r="R373" s="1779"/>
      <c r="S373" s="1779"/>
      <c r="T373" s="1779"/>
      <c r="U373" s="1779"/>
      <c r="V373" s="1779"/>
      <c r="W373" s="1779"/>
      <c r="X373" s="1779"/>
      <c r="Y373" s="1779"/>
      <c r="Z373" s="1779"/>
      <c r="AA373" s="1779"/>
      <c r="AB373" s="1779"/>
      <c r="AC373" s="1779"/>
    </row>
    <row r="374" spans="1:29">
      <c r="A374" s="1779"/>
      <c r="B374" s="1779"/>
      <c r="C374" s="1779"/>
      <c r="D374" s="1779"/>
      <c r="E374" s="1779"/>
      <c r="F374" s="1779"/>
      <c r="G374" s="1779"/>
      <c r="H374" s="1779"/>
      <c r="I374" s="1779"/>
      <c r="J374" s="1779"/>
      <c r="K374" s="1780"/>
      <c r="L374" s="1781"/>
      <c r="M374" s="1779"/>
      <c r="N374" s="1779"/>
      <c r="O374" s="1779"/>
      <c r="P374" s="1816"/>
      <c r="Q374" s="1779"/>
      <c r="R374" s="1779"/>
      <c r="S374" s="1779"/>
      <c r="T374" s="1779"/>
      <c r="U374" s="1779"/>
      <c r="V374" s="1779"/>
      <c r="W374" s="1779"/>
      <c r="X374" s="1779"/>
      <c r="Y374" s="1779"/>
      <c r="Z374" s="1779"/>
      <c r="AA374" s="1779"/>
      <c r="AB374" s="1779"/>
      <c r="AC374" s="1779"/>
    </row>
    <row r="375" spans="1:29">
      <c r="A375" s="1779"/>
      <c r="B375" s="1779"/>
      <c r="C375" s="1779"/>
      <c r="D375" s="1779"/>
      <c r="E375" s="1779"/>
      <c r="F375" s="1779"/>
      <c r="G375" s="1779"/>
      <c r="H375" s="1779"/>
      <c r="I375" s="1779"/>
      <c r="J375" s="1779"/>
      <c r="K375" s="1780"/>
      <c r="L375" s="1781"/>
      <c r="M375" s="1779"/>
      <c r="N375" s="1779"/>
      <c r="O375" s="1779"/>
      <c r="P375" s="1816"/>
      <c r="Q375" s="1779"/>
      <c r="R375" s="1779"/>
      <c r="S375" s="1779"/>
      <c r="T375" s="1779"/>
      <c r="U375" s="1779"/>
      <c r="V375" s="1779"/>
      <c r="W375" s="1779"/>
      <c r="X375" s="1779"/>
      <c r="Y375" s="1779"/>
      <c r="Z375" s="1779"/>
      <c r="AA375" s="1779"/>
      <c r="AB375" s="1779"/>
      <c r="AC375" s="1779"/>
    </row>
    <row r="376" spans="1:29">
      <c r="A376" s="1779"/>
      <c r="B376" s="1779"/>
      <c r="C376" s="1779"/>
      <c r="D376" s="1779"/>
      <c r="E376" s="1779"/>
      <c r="F376" s="1779"/>
      <c r="G376" s="1779"/>
      <c r="H376" s="1779"/>
      <c r="I376" s="1779"/>
      <c r="J376" s="1779"/>
      <c r="K376" s="1780"/>
      <c r="L376" s="1781"/>
      <c r="M376" s="1779"/>
      <c r="N376" s="1779"/>
      <c r="O376" s="1779"/>
      <c r="P376" s="1816"/>
      <c r="Q376" s="1779"/>
      <c r="R376" s="1779"/>
      <c r="S376" s="1779"/>
      <c r="T376" s="1779"/>
      <c r="U376" s="1779"/>
      <c r="V376" s="1779"/>
      <c r="W376" s="1779"/>
      <c r="X376" s="1779"/>
      <c r="Y376" s="1779"/>
      <c r="Z376" s="1779"/>
      <c r="AA376" s="1779"/>
      <c r="AB376" s="1779"/>
      <c r="AC376" s="1779"/>
    </row>
    <row r="377" spans="1:29">
      <c r="A377" s="1779"/>
      <c r="B377" s="1779"/>
      <c r="C377" s="1779"/>
      <c r="D377" s="1779"/>
      <c r="E377" s="1779"/>
      <c r="F377" s="1779"/>
      <c r="G377" s="1779"/>
      <c r="H377" s="1779"/>
      <c r="I377" s="1779"/>
      <c r="J377" s="1779"/>
      <c r="K377" s="1780"/>
      <c r="L377" s="1781"/>
      <c r="M377" s="1779"/>
      <c r="N377" s="1779"/>
      <c r="O377" s="1779"/>
      <c r="P377" s="1816"/>
      <c r="Q377" s="1779"/>
      <c r="R377" s="1779"/>
      <c r="S377" s="1779"/>
      <c r="T377" s="1779"/>
      <c r="U377" s="1779"/>
      <c r="V377" s="1779"/>
      <c r="W377" s="1779"/>
      <c r="X377" s="1779"/>
      <c r="Y377" s="1779"/>
      <c r="Z377" s="1779"/>
      <c r="AA377" s="1779"/>
      <c r="AB377" s="1779"/>
      <c r="AC377" s="1779"/>
    </row>
    <row r="378" spans="1:29">
      <c r="A378" s="1779"/>
      <c r="B378" s="1779"/>
      <c r="C378" s="1779"/>
      <c r="D378" s="1779"/>
      <c r="E378" s="1779"/>
      <c r="F378" s="1779"/>
      <c r="G378" s="1779"/>
      <c r="H378" s="1779"/>
      <c r="I378" s="1779"/>
      <c r="J378" s="1779"/>
      <c r="K378" s="1780"/>
      <c r="L378" s="1781"/>
      <c r="M378" s="1779"/>
      <c r="N378" s="1779"/>
      <c r="O378" s="1779"/>
      <c r="P378" s="1816"/>
      <c r="Q378" s="1779"/>
      <c r="R378" s="1779"/>
      <c r="S378" s="1779"/>
      <c r="T378" s="1779"/>
      <c r="U378" s="1779"/>
      <c r="V378" s="1779"/>
      <c r="W378" s="1779"/>
      <c r="X378" s="1779"/>
      <c r="Y378" s="1779"/>
      <c r="Z378" s="1779"/>
      <c r="AA378" s="1779"/>
      <c r="AB378" s="1779"/>
      <c r="AC378" s="1779"/>
    </row>
    <row r="379" spans="1:29">
      <c r="A379" s="1779"/>
      <c r="B379" s="1779"/>
      <c r="C379" s="1779"/>
      <c r="D379" s="1779"/>
      <c r="E379" s="1779"/>
      <c r="F379" s="1779"/>
      <c r="G379" s="1779"/>
      <c r="H379" s="1779"/>
      <c r="I379" s="1779"/>
      <c r="J379" s="1779"/>
      <c r="K379" s="1780"/>
      <c r="L379" s="1781"/>
      <c r="M379" s="1779"/>
      <c r="N379" s="1779"/>
      <c r="O379" s="1779"/>
      <c r="P379" s="1816"/>
      <c r="Q379" s="1779"/>
      <c r="R379" s="1779"/>
      <c r="S379" s="1779"/>
      <c r="T379" s="1779"/>
      <c r="U379" s="1779"/>
      <c r="V379" s="1779"/>
      <c r="W379" s="1779"/>
      <c r="X379" s="1779"/>
      <c r="Y379" s="1779"/>
      <c r="Z379" s="1779"/>
      <c r="AA379" s="1779"/>
      <c r="AB379" s="1779"/>
      <c r="AC379" s="1779"/>
    </row>
    <row r="380" spans="1:29">
      <c r="A380" s="1779"/>
      <c r="B380" s="1779"/>
      <c r="C380" s="1779"/>
      <c r="D380" s="1779"/>
      <c r="E380" s="1779"/>
      <c r="F380" s="1779"/>
      <c r="G380" s="1779"/>
      <c r="H380" s="1779"/>
      <c r="I380" s="1779"/>
      <c r="J380" s="1779"/>
      <c r="K380" s="1780"/>
      <c r="L380" s="1781"/>
      <c r="M380" s="1779"/>
      <c r="N380" s="1779"/>
      <c r="O380" s="1779"/>
      <c r="P380" s="1816"/>
      <c r="Q380" s="1779"/>
      <c r="R380" s="1779"/>
      <c r="S380" s="1779"/>
      <c r="T380" s="1779"/>
      <c r="U380" s="1779"/>
      <c r="V380" s="1779"/>
      <c r="W380" s="1779"/>
      <c r="X380" s="1779"/>
      <c r="Y380" s="1779"/>
      <c r="Z380" s="1779"/>
      <c r="AA380" s="1779"/>
      <c r="AB380" s="1779"/>
      <c r="AC380" s="1779"/>
    </row>
    <row r="381" spans="1:29">
      <c r="A381" s="1779"/>
      <c r="B381" s="1779"/>
      <c r="C381" s="1779"/>
      <c r="D381" s="1779"/>
      <c r="E381" s="1779"/>
      <c r="F381" s="1779"/>
      <c r="G381" s="1779"/>
      <c r="H381" s="1779"/>
      <c r="I381" s="1779"/>
      <c r="J381" s="1779"/>
      <c r="K381" s="1780"/>
      <c r="L381" s="1781"/>
      <c r="M381" s="1779"/>
      <c r="N381" s="1779"/>
      <c r="O381" s="1779"/>
      <c r="P381" s="1816"/>
      <c r="Q381" s="1779"/>
      <c r="R381" s="1779"/>
      <c r="S381" s="1779"/>
      <c r="T381" s="1779"/>
      <c r="U381" s="1779"/>
      <c r="V381" s="1779"/>
      <c r="W381" s="1779"/>
      <c r="X381" s="1779"/>
      <c r="Y381" s="1779"/>
      <c r="Z381" s="1779"/>
      <c r="AA381" s="1779"/>
      <c r="AB381" s="1779"/>
      <c r="AC381" s="1779"/>
    </row>
    <row r="382" spans="1:29">
      <c r="A382" s="1779"/>
      <c r="B382" s="1779"/>
      <c r="C382" s="1779"/>
      <c r="D382" s="1779"/>
      <c r="E382" s="1779"/>
      <c r="F382" s="1779"/>
      <c r="G382" s="1779"/>
      <c r="H382" s="1779"/>
      <c r="I382" s="1779"/>
      <c r="J382" s="1779"/>
      <c r="K382" s="1780"/>
      <c r="L382" s="1781"/>
      <c r="M382" s="1779"/>
      <c r="N382" s="1779"/>
      <c r="O382" s="1779"/>
      <c r="P382" s="1816"/>
      <c r="Q382" s="1779"/>
      <c r="R382" s="1779"/>
      <c r="S382" s="1779"/>
      <c r="T382" s="1779"/>
      <c r="U382" s="1779"/>
      <c r="V382" s="1779"/>
      <c r="W382" s="1779"/>
      <c r="X382" s="1779"/>
      <c r="Y382" s="1779"/>
      <c r="Z382" s="1779"/>
      <c r="AA382" s="1779"/>
      <c r="AB382" s="1779"/>
      <c r="AC382" s="1779"/>
    </row>
    <row r="383" spans="1:29">
      <c r="A383" s="1779"/>
      <c r="B383" s="1779"/>
      <c r="C383" s="1779"/>
      <c r="D383" s="1779"/>
      <c r="E383" s="1779"/>
      <c r="F383" s="1779"/>
      <c r="G383" s="1779"/>
      <c r="H383" s="1779"/>
      <c r="I383" s="1779"/>
      <c r="J383" s="1779"/>
      <c r="K383" s="1780"/>
      <c r="L383" s="1781"/>
      <c r="M383" s="1779"/>
      <c r="N383" s="1779"/>
      <c r="O383" s="1779"/>
      <c r="P383" s="1816"/>
      <c r="Q383" s="1779"/>
      <c r="R383" s="1779"/>
      <c r="S383" s="1779"/>
      <c r="T383" s="1779"/>
      <c r="U383" s="1779"/>
      <c r="V383" s="1779"/>
      <c r="W383" s="1779"/>
      <c r="X383" s="1779"/>
      <c r="Y383" s="1779"/>
      <c r="Z383" s="1779"/>
      <c r="AA383" s="1779"/>
      <c r="AB383" s="1779"/>
      <c r="AC383" s="1779"/>
    </row>
    <row r="384" spans="1:29">
      <c r="A384" s="1779"/>
      <c r="B384" s="1779"/>
      <c r="C384" s="1779"/>
      <c r="D384" s="1779"/>
      <c r="E384" s="1779"/>
      <c r="F384" s="1779"/>
      <c r="G384" s="1779"/>
      <c r="H384" s="1779"/>
      <c r="I384" s="1779"/>
      <c r="J384" s="1779"/>
      <c r="K384" s="1780"/>
      <c r="L384" s="1781"/>
      <c r="M384" s="1779"/>
      <c r="N384" s="1779"/>
      <c r="O384" s="1779"/>
      <c r="P384" s="1816"/>
      <c r="Q384" s="1779"/>
      <c r="R384" s="1779"/>
      <c r="S384" s="1779"/>
      <c r="T384" s="1779"/>
      <c r="U384" s="1779"/>
      <c r="V384" s="1779"/>
      <c r="W384" s="1779"/>
      <c r="X384" s="1779"/>
      <c r="Y384" s="1779"/>
      <c r="Z384" s="1779"/>
      <c r="AA384" s="1779"/>
      <c r="AB384" s="1779"/>
      <c r="AC384" s="1779"/>
    </row>
    <row r="385" spans="1:29">
      <c r="A385" s="1779"/>
      <c r="B385" s="1779"/>
      <c r="C385" s="1779"/>
      <c r="D385" s="1779"/>
      <c r="E385" s="1779"/>
      <c r="F385" s="1779"/>
      <c r="G385" s="1779"/>
      <c r="H385" s="1779"/>
      <c r="I385" s="1779"/>
      <c r="J385" s="1779"/>
      <c r="K385" s="1780"/>
      <c r="L385" s="1781"/>
      <c r="M385" s="1779"/>
      <c r="N385" s="1779"/>
      <c r="O385" s="1779"/>
      <c r="P385" s="1816"/>
      <c r="Q385" s="1779"/>
      <c r="R385" s="1779"/>
      <c r="S385" s="1779"/>
      <c r="T385" s="1779"/>
      <c r="U385" s="1779"/>
      <c r="V385" s="1779"/>
      <c r="W385" s="1779"/>
      <c r="X385" s="1779"/>
      <c r="Y385" s="1779"/>
      <c r="Z385" s="1779"/>
      <c r="AA385" s="1779"/>
      <c r="AB385" s="1779"/>
      <c r="AC385" s="1779"/>
    </row>
    <row r="386" spans="1:29">
      <c r="A386" s="1779"/>
      <c r="B386" s="1779"/>
      <c r="C386" s="1779"/>
      <c r="D386" s="1779"/>
      <c r="E386" s="1779"/>
      <c r="F386" s="1779"/>
      <c r="G386" s="1779"/>
      <c r="H386" s="1779"/>
      <c r="I386" s="1779"/>
      <c r="J386" s="1779"/>
      <c r="K386" s="1780"/>
      <c r="L386" s="1781"/>
      <c r="M386" s="1779"/>
      <c r="N386" s="1779"/>
      <c r="O386" s="1779"/>
      <c r="P386" s="1816"/>
      <c r="Q386" s="1779"/>
      <c r="R386" s="1779"/>
      <c r="S386" s="1779"/>
      <c r="T386" s="1779"/>
      <c r="U386" s="1779"/>
      <c r="V386" s="1779"/>
      <c r="W386" s="1779"/>
      <c r="X386" s="1779"/>
      <c r="Y386" s="1779"/>
      <c r="Z386" s="1779"/>
      <c r="AA386" s="1779"/>
      <c r="AB386" s="1779"/>
      <c r="AC386" s="1779"/>
    </row>
    <row r="387" spans="1:29">
      <c r="A387" s="1779"/>
      <c r="B387" s="1779"/>
      <c r="C387" s="1779"/>
      <c r="D387" s="1779"/>
      <c r="E387" s="1779"/>
      <c r="F387" s="1779"/>
      <c r="G387" s="1779"/>
      <c r="H387" s="1779"/>
      <c r="I387" s="1779"/>
      <c r="J387" s="1779"/>
      <c r="K387" s="1780"/>
      <c r="L387" s="1781"/>
      <c r="M387" s="1779"/>
      <c r="N387" s="1779"/>
      <c r="O387" s="1779"/>
      <c r="P387" s="1816"/>
      <c r="Q387" s="1779"/>
      <c r="R387" s="1779"/>
      <c r="S387" s="1779"/>
      <c r="T387" s="1779"/>
      <c r="U387" s="1779"/>
      <c r="V387" s="1779"/>
      <c r="W387" s="1779"/>
      <c r="X387" s="1779"/>
      <c r="Y387" s="1779"/>
      <c r="Z387" s="1779"/>
      <c r="AA387" s="1779"/>
      <c r="AB387" s="1779"/>
      <c r="AC387" s="1779"/>
    </row>
    <row r="388" spans="1:29">
      <c r="A388" s="1779"/>
      <c r="B388" s="1779"/>
      <c r="C388" s="1779"/>
      <c r="D388" s="1779"/>
      <c r="E388" s="1779"/>
      <c r="F388" s="1779"/>
      <c r="G388" s="1779"/>
      <c r="H388" s="1779"/>
      <c r="I388" s="1779"/>
      <c r="J388" s="1779"/>
      <c r="K388" s="1780"/>
      <c r="L388" s="1781"/>
      <c r="M388" s="1779"/>
      <c r="N388" s="1779"/>
      <c r="O388" s="1779"/>
      <c r="P388" s="1816"/>
      <c r="Q388" s="1779"/>
      <c r="R388" s="1779"/>
      <c r="S388" s="1779"/>
      <c r="T388" s="1779"/>
      <c r="U388" s="1779"/>
      <c r="V388" s="1779"/>
      <c r="W388" s="1779"/>
      <c r="X388" s="1779"/>
      <c r="Y388" s="1779"/>
      <c r="Z388" s="1779"/>
      <c r="AA388" s="1779"/>
      <c r="AB388" s="1779"/>
      <c r="AC388" s="1779"/>
    </row>
    <row r="389" spans="1:29">
      <c r="A389" s="1779"/>
      <c r="B389" s="1779"/>
      <c r="C389" s="1779"/>
      <c r="D389" s="1779"/>
      <c r="E389" s="1779"/>
      <c r="F389" s="1779"/>
      <c r="G389" s="1779"/>
      <c r="H389" s="1779"/>
      <c r="I389" s="1779"/>
      <c r="J389" s="1779"/>
      <c r="K389" s="1780"/>
      <c r="L389" s="1781"/>
      <c r="M389" s="1779"/>
      <c r="N389" s="1779"/>
      <c r="O389" s="1779"/>
      <c r="P389" s="1816"/>
      <c r="Q389" s="1779"/>
      <c r="R389" s="1779"/>
      <c r="S389" s="1779"/>
      <c r="T389" s="1779"/>
      <c r="U389" s="1779"/>
      <c r="V389" s="1779"/>
      <c r="W389" s="1779"/>
      <c r="X389" s="1779"/>
      <c r="Y389" s="1779"/>
      <c r="Z389" s="1779"/>
      <c r="AA389" s="1779"/>
      <c r="AB389" s="1779"/>
      <c r="AC389" s="1779"/>
    </row>
    <row r="390" spans="1:29">
      <c r="A390" s="1779"/>
      <c r="B390" s="1779"/>
      <c r="C390" s="1779"/>
      <c r="D390" s="1779"/>
      <c r="E390" s="1779"/>
      <c r="F390" s="1779"/>
      <c r="G390" s="1779"/>
      <c r="H390" s="1779"/>
      <c r="I390" s="1779"/>
      <c r="J390" s="1779"/>
      <c r="K390" s="1780"/>
      <c r="L390" s="1781"/>
      <c r="M390" s="1779"/>
      <c r="N390" s="1779"/>
      <c r="O390" s="1779"/>
      <c r="P390" s="1816"/>
      <c r="Q390" s="1779"/>
      <c r="R390" s="1779"/>
      <c r="S390" s="1779"/>
      <c r="T390" s="1779"/>
      <c r="U390" s="1779"/>
      <c r="V390" s="1779"/>
      <c r="W390" s="1779"/>
      <c r="X390" s="1779"/>
      <c r="Y390" s="1779"/>
      <c r="Z390" s="1779"/>
      <c r="AA390" s="1779"/>
      <c r="AB390" s="1779"/>
      <c r="AC390" s="1779"/>
    </row>
    <row r="391" spans="1:29">
      <c r="A391" s="1779"/>
      <c r="B391" s="1779"/>
      <c r="C391" s="1779"/>
      <c r="D391" s="1779"/>
      <c r="E391" s="1779"/>
      <c r="F391" s="1779"/>
      <c r="G391" s="1779"/>
      <c r="H391" s="1779"/>
      <c r="I391" s="1779"/>
      <c r="J391" s="1779"/>
      <c r="K391" s="1780"/>
      <c r="L391" s="1781"/>
      <c r="M391" s="1779"/>
      <c r="N391" s="1779"/>
      <c r="O391" s="1779"/>
      <c r="P391" s="1816"/>
      <c r="Q391" s="1779"/>
      <c r="R391" s="1779"/>
      <c r="S391" s="1779"/>
      <c r="T391" s="1779"/>
      <c r="U391" s="1779"/>
      <c r="V391" s="1779"/>
      <c r="W391" s="1779"/>
      <c r="X391" s="1779"/>
      <c r="Y391" s="1779"/>
      <c r="Z391" s="1779"/>
      <c r="AA391" s="1779"/>
      <c r="AB391" s="1779"/>
      <c r="AC391" s="1779"/>
    </row>
    <row r="392" spans="1:29">
      <c r="A392" s="1779"/>
      <c r="B392" s="1779"/>
      <c r="C392" s="1779"/>
      <c r="D392" s="1779"/>
      <c r="E392" s="1779"/>
      <c r="F392" s="1779"/>
      <c r="G392" s="1779"/>
      <c r="H392" s="1779"/>
      <c r="I392" s="1779"/>
      <c r="J392" s="1779"/>
      <c r="K392" s="1780"/>
      <c r="L392" s="1781"/>
      <c r="M392" s="1779"/>
      <c r="N392" s="1779"/>
      <c r="O392" s="1779"/>
      <c r="P392" s="1816"/>
      <c r="Q392" s="1779"/>
      <c r="R392" s="1779"/>
      <c r="S392" s="1779"/>
      <c r="T392" s="1779"/>
      <c r="U392" s="1779"/>
      <c r="V392" s="1779"/>
      <c r="W392" s="1779"/>
      <c r="X392" s="1779"/>
      <c r="Y392" s="1779"/>
      <c r="Z392" s="1779"/>
      <c r="AA392" s="1779"/>
      <c r="AB392" s="1779"/>
      <c r="AC392" s="1779"/>
    </row>
    <row r="393" spans="1:29">
      <c r="A393" s="1779"/>
      <c r="B393" s="1779"/>
      <c r="C393" s="1779"/>
      <c r="D393" s="1779"/>
      <c r="E393" s="1779"/>
      <c r="F393" s="1779"/>
      <c r="G393" s="1779"/>
      <c r="H393" s="1779"/>
      <c r="I393" s="1779"/>
      <c r="J393" s="1779"/>
      <c r="K393" s="1780"/>
      <c r="L393" s="1781"/>
      <c r="M393" s="1779"/>
      <c r="N393" s="1779"/>
      <c r="O393" s="1779"/>
      <c r="P393" s="1816"/>
      <c r="Q393" s="1779"/>
      <c r="R393" s="1779"/>
      <c r="S393" s="1779"/>
      <c r="T393" s="1779"/>
      <c r="U393" s="1779"/>
      <c r="V393" s="1779"/>
      <c r="W393" s="1779"/>
      <c r="X393" s="1779"/>
      <c r="Y393" s="1779"/>
      <c r="Z393" s="1779"/>
      <c r="AA393" s="1779"/>
      <c r="AB393" s="1779"/>
      <c r="AC393" s="1779"/>
    </row>
    <row r="394" spans="1:29">
      <c r="A394" s="1779"/>
      <c r="B394" s="1779"/>
      <c r="C394" s="1779"/>
      <c r="D394" s="1779"/>
      <c r="E394" s="1779"/>
      <c r="F394" s="1779"/>
      <c r="G394" s="1779"/>
      <c r="H394" s="1779"/>
      <c r="I394" s="1779"/>
      <c r="J394" s="1779"/>
      <c r="K394" s="1780"/>
      <c r="L394" s="1781"/>
      <c r="M394" s="1779"/>
      <c r="N394" s="1779"/>
      <c r="O394" s="1779"/>
      <c r="P394" s="1816"/>
      <c r="Q394" s="1779"/>
      <c r="R394" s="1779"/>
      <c r="S394" s="1779"/>
      <c r="T394" s="1779"/>
      <c r="U394" s="1779"/>
      <c r="V394" s="1779"/>
      <c r="W394" s="1779"/>
      <c r="X394" s="1779"/>
      <c r="Y394" s="1779"/>
      <c r="Z394" s="1779"/>
      <c r="AA394" s="1779"/>
      <c r="AB394" s="1779"/>
      <c r="AC394" s="1779"/>
    </row>
    <row r="395" spans="1:29">
      <c r="A395" s="1779"/>
      <c r="B395" s="1779"/>
      <c r="C395" s="1779"/>
      <c r="D395" s="1779"/>
      <c r="E395" s="1779"/>
      <c r="F395" s="1779"/>
      <c r="G395" s="1779"/>
      <c r="H395" s="1779"/>
      <c r="I395" s="1779"/>
      <c r="J395" s="1779"/>
      <c r="K395" s="1780"/>
      <c r="L395" s="1781"/>
      <c r="M395" s="1779"/>
      <c r="N395" s="1779"/>
      <c r="O395" s="1779"/>
      <c r="P395" s="1816"/>
      <c r="Q395" s="1779"/>
      <c r="R395" s="1779"/>
      <c r="S395" s="1779"/>
      <c r="T395" s="1779"/>
      <c r="U395" s="1779"/>
      <c r="V395" s="1779"/>
      <c r="W395" s="1779"/>
      <c r="X395" s="1779"/>
      <c r="Y395" s="1779"/>
      <c r="Z395" s="1779"/>
      <c r="AA395" s="1779"/>
      <c r="AB395" s="1779"/>
      <c r="AC395" s="1779"/>
    </row>
    <row r="396" spans="1:29">
      <c r="A396" s="1779"/>
      <c r="B396" s="1779"/>
      <c r="C396" s="1779"/>
      <c r="D396" s="1779"/>
      <c r="E396" s="1779"/>
      <c r="F396" s="1779"/>
      <c r="G396" s="1779"/>
      <c r="H396" s="1779"/>
      <c r="I396" s="1779"/>
      <c r="J396" s="1779"/>
      <c r="K396" s="1780"/>
      <c r="L396" s="1781"/>
      <c r="M396" s="1779"/>
      <c r="N396" s="1779"/>
      <c r="O396" s="1779"/>
      <c r="P396" s="1816"/>
      <c r="Q396" s="1779"/>
      <c r="R396" s="1779"/>
      <c r="S396" s="1779"/>
      <c r="T396" s="1779"/>
      <c r="U396" s="1779"/>
      <c r="V396" s="1779"/>
      <c r="W396" s="1779"/>
      <c r="X396" s="1779"/>
      <c r="Y396" s="1779"/>
      <c r="Z396" s="1779"/>
      <c r="AA396" s="1779"/>
      <c r="AB396" s="1779"/>
      <c r="AC396" s="1779"/>
    </row>
    <row r="397" spans="1:29">
      <c r="A397" s="1779"/>
      <c r="B397" s="1779"/>
      <c r="C397" s="1779"/>
      <c r="D397" s="1779"/>
      <c r="E397" s="1779"/>
      <c r="F397" s="1779"/>
      <c r="G397" s="1779"/>
      <c r="H397" s="1779"/>
      <c r="I397" s="1779"/>
      <c r="J397" s="1779"/>
      <c r="K397" s="1780"/>
      <c r="L397" s="1781"/>
      <c r="M397" s="1779"/>
      <c r="N397" s="1779"/>
      <c r="O397" s="1779"/>
      <c r="P397" s="1816"/>
      <c r="Q397" s="1779"/>
      <c r="R397" s="1779"/>
      <c r="S397" s="1779"/>
      <c r="T397" s="1779"/>
      <c r="U397" s="1779"/>
      <c r="V397" s="1779"/>
      <c r="W397" s="1779"/>
      <c r="X397" s="1779"/>
      <c r="Y397" s="1779"/>
      <c r="Z397" s="1779"/>
      <c r="AA397" s="1779"/>
      <c r="AB397" s="1779"/>
      <c r="AC397" s="1779"/>
    </row>
    <row r="398" spans="1:29">
      <c r="A398" s="1779"/>
      <c r="B398" s="1779"/>
      <c r="C398" s="1779"/>
      <c r="D398" s="1779"/>
      <c r="E398" s="1779"/>
      <c r="F398" s="1779"/>
      <c r="G398" s="1779"/>
      <c r="H398" s="1779"/>
      <c r="I398" s="1779"/>
      <c r="J398" s="1779"/>
      <c r="K398" s="1780"/>
      <c r="L398" s="1781"/>
      <c r="M398" s="1779"/>
      <c r="N398" s="1779"/>
      <c r="O398" s="1779"/>
      <c r="P398" s="1816"/>
      <c r="Q398" s="1779"/>
      <c r="R398" s="1779"/>
      <c r="S398" s="1779"/>
      <c r="T398" s="1779"/>
      <c r="U398" s="1779"/>
      <c r="V398" s="1779"/>
      <c r="W398" s="1779"/>
      <c r="X398" s="1779"/>
      <c r="Y398" s="1779"/>
      <c r="Z398" s="1779"/>
      <c r="AA398" s="1779"/>
      <c r="AB398" s="1779"/>
      <c r="AC398" s="1779"/>
    </row>
    <row r="399" spans="1:29">
      <c r="A399" s="1779"/>
      <c r="B399" s="1779"/>
      <c r="C399" s="1779"/>
      <c r="D399" s="1779"/>
      <c r="E399" s="1779"/>
      <c r="F399" s="1779"/>
      <c r="G399" s="1779"/>
      <c r="H399" s="1779"/>
      <c r="I399" s="1779"/>
      <c r="J399" s="1779"/>
      <c r="K399" s="1780"/>
      <c r="L399" s="1781"/>
      <c r="M399" s="1779"/>
      <c r="N399" s="1779"/>
      <c r="O399" s="1779"/>
      <c r="P399" s="1816"/>
      <c r="Q399" s="1779"/>
      <c r="R399" s="1779"/>
      <c r="S399" s="1779"/>
      <c r="T399" s="1779"/>
      <c r="U399" s="1779"/>
      <c r="V399" s="1779"/>
      <c r="W399" s="1779"/>
      <c r="X399" s="1779"/>
      <c r="Y399" s="1779"/>
      <c r="Z399" s="1779"/>
      <c r="AA399" s="1779"/>
      <c r="AB399" s="1779"/>
      <c r="AC399" s="1779"/>
    </row>
    <row r="400" spans="1:29">
      <c r="A400" s="1779"/>
      <c r="B400" s="1779"/>
      <c r="C400" s="1779"/>
      <c r="D400" s="1779"/>
      <c r="E400" s="1779"/>
      <c r="F400" s="1779"/>
      <c r="G400" s="1779"/>
      <c r="H400" s="1779"/>
      <c r="I400" s="1779"/>
      <c r="J400" s="1779"/>
      <c r="K400" s="1780"/>
      <c r="L400" s="1781"/>
      <c r="M400" s="1779"/>
      <c r="N400" s="1779"/>
      <c r="O400" s="1779"/>
      <c r="P400" s="1816"/>
      <c r="Q400" s="1779"/>
      <c r="R400" s="1779"/>
      <c r="S400" s="1779"/>
      <c r="T400" s="1779"/>
      <c r="U400" s="1779"/>
      <c r="V400" s="1779"/>
      <c r="W400" s="1779"/>
      <c r="X400" s="1779"/>
      <c r="Y400" s="1779"/>
      <c r="Z400" s="1779"/>
      <c r="AA400" s="1779"/>
      <c r="AB400" s="1779"/>
      <c r="AC400" s="1779"/>
    </row>
    <row r="401" spans="1:29">
      <c r="A401" s="1779"/>
      <c r="B401" s="1779"/>
      <c r="C401" s="1779"/>
      <c r="D401" s="1779"/>
      <c r="E401" s="1779"/>
      <c r="F401" s="1779"/>
      <c r="G401" s="1779"/>
      <c r="H401" s="1779"/>
      <c r="I401" s="1779"/>
      <c r="J401" s="1779"/>
      <c r="K401" s="1780"/>
      <c r="L401" s="1781"/>
      <c r="M401" s="1779"/>
      <c r="N401" s="1779"/>
      <c r="O401" s="1779"/>
      <c r="P401" s="1816"/>
      <c r="Q401" s="1779"/>
      <c r="R401" s="1779"/>
      <c r="S401" s="1779"/>
      <c r="T401" s="1779"/>
      <c r="U401" s="1779"/>
      <c r="V401" s="1779"/>
      <c r="W401" s="1779"/>
      <c r="X401" s="1779"/>
      <c r="Y401" s="1779"/>
      <c r="Z401" s="1779"/>
      <c r="AA401" s="1779"/>
      <c r="AB401" s="1779"/>
      <c r="AC401" s="1779"/>
    </row>
    <row r="402" spans="1:29">
      <c r="A402" s="1779"/>
      <c r="B402" s="1779"/>
      <c r="C402" s="1779"/>
      <c r="D402" s="1779"/>
      <c r="E402" s="1779"/>
      <c r="F402" s="1779"/>
      <c r="G402" s="1779"/>
      <c r="H402" s="1779"/>
      <c r="I402" s="1779"/>
      <c r="J402" s="1779"/>
      <c r="K402" s="1780"/>
      <c r="L402" s="1781"/>
      <c r="M402" s="1779"/>
      <c r="N402" s="1779"/>
      <c r="O402" s="1779"/>
      <c r="P402" s="1816"/>
      <c r="Q402" s="1779"/>
      <c r="R402" s="1779"/>
      <c r="S402" s="1779"/>
      <c r="T402" s="1779"/>
      <c r="U402" s="1779"/>
      <c r="V402" s="1779"/>
      <c r="W402" s="1779"/>
      <c r="X402" s="1779"/>
      <c r="Y402" s="1779"/>
      <c r="Z402" s="1779"/>
      <c r="AA402" s="1779"/>
      <c r="AB402" s="1779"/>
      <c r="AC402" s="1779"/>
    </row>
    <row r="403" spans="1:29">
      <c r="A403" s="1779"/>
      <c r="B403" s="1779"/>
      <c r="C403" s="1779"/>
      <c r="D403" s="1779"/>
      <c r="E403" s="1779"/>
      <c r="F403" s="1779"/>
      <c r="G403" s="1779"/>
      <c r="H403" s="1779"/>
      <c r="I403" s="1779"/>
      <c r="J403" s="1779"/>
      <c r="K403" s="1780"/>
      <c r="L403" s="1781"/>
      <c r="M403" s="1779"/>
      <c r="N403" s="1779"/>
      <c r="O403" s="1779"/>
      <c r="P403" s="1816"/>
      <c r="Q403" s="1779"/>
      <c r="R403" s="1779"/>
      <c r="S403" s="1779"/>
      <c r="T403" s="1779"/>
      <c r="U403" s="1779"/>
      <c r="V403" s="1779"/>
      <c r="W403" s="1779"/>
      <c r="X403" s="1779"/>
      <c r="Y403" s="1779"/>
      <c r="Z403" s="1779"/>
      <c r="AA403" s="1779"/>
      <c r="AB403" s="1779"/>
      <c r="AC403" s="1779"/>
    </row>
    <row r="404" spans="1:29">
      <c r="A404" s="1779"/>
      <c r="B404" s="1779"/>
      <c r="C404" s="1779"/>
      <c r="D404" s="1779"/>
      <c r="E404" s="1779"/>
      <c r="F404" s="1779"/>
      <c r="G404" s="1779"/>
      <c r="H404" s="1779"/>
      <c r="I404" s="1779"/>
      <c r="J404" s="1779"/>
      <c r="K404" s="1780"/>
      <c r="L404" s="1781"/>
      <c r="M404" s="1779"/>
      <c r="N404" s="1779"/>
      <c r="O404" s="1779"/>
      <c r="P404" s="1816"/>
      <c r="Q404" s="1779"/>
      <c r="R404" s="1779"/>
      <c r="S404" s="1779"/>
      <c r="T404" s="1779"/>
      <c r="U404" s="1779"/>
      <c r="V404" s="1779"/>
      <c r="W404" s="1779"/>
      <c r="X404" s="1779"/>
      <c r="Y404" s="1779"/>
      <c r="Z404" s="1779"/>
      <c r="AA404" s="1779"/>
      <c r="AB404" s="1779"/>
      <c r="AC404" s="1779"/>
    </row>
    <row r="405" spans="1:29">
      <c r="A405" s="1779"/>
      <c r="B405" s="1779"/>
      <c r="C405" s="1779"/>
      <c r="D405" s="1779"/>
      <c r="E405" s="1779"/>
      <c r="F405" s="1779"/>
      <c r="G405" s="1779"/>
      <c r="H405" s="1779"/>
      <c r="I405" s="1779"/>
      <c r="J405" s="1779"/>
      <c r="K405" s="1780"/>
      <c r="L405" s="1781"/>
      <c r="M405" s="1779"/>
      <c r="N405" s="1779"/>
      <c r="O405" s="1779"/>
      <c r="P405" s="1816"/>
      <c r="Q405" s="1779"/>
      <c r="R405" s="1779"/>
      <c r="S405" s="1779"/>
      <c r="T405" s="1779"/>
      <c r="U405" s="1779"/>
      <c r="V405" s="1779"/>
      <c r="W405" s="1779"/>
      <c r="X405" s="1779"/>
      <c r="Y405" s="1779"/>
      <c r="Z405" s="1779"/>
      <c r="AA405" s="1779"/>
      <c r="AB405" s="1779"/>
      <c r="AC405" s="1779"/>
    </row>
    <row r="406" spans="1:29">
      <c r="A406" s="1779"/>
      <c r="B406" s="1779"/>
      <c r="C406" s="1779"/>
      <c r="D406" s="1779"/>
      <c r="E406" s="1779"/>
      <c r="F406" s="1779"/>
      <c r="G406" s="1779"/>
      <c r="H406" s="1779"/>
      <c r="I406" s="1779"/>
      <c r="J406" s="1779"/>
      <c r="K406" s="1780"/>
      <c r="L406" s="1781"/>
      <c r="M406" s="1779"/>
      <c r="N406" s="1779"/>
      <c r="O406" s="1779"/>
      <c r="P406" s="1816"/>
      <c r="Q406" s="1779"/>
      <c r="R406" s="1779"/>
      <c r="S406" s="1779"/>
      <c r="T406" s="1779"/>
      <c r="U406" s="1779"/>
      <c r="V406" s="1779"/>
      <c r="W406" s="1779"/>
      <c r="X406" s="1779"/>
      <c r="Y406" s="1779"/>
      <c r="Z406" s="1779"/>
      <c r="AA406" s="1779"/>
      <c r="AB406" s="1779"/>
      <c r="AC406" s="1779"/>
    </row>
    <row r="407" spans="1:29">
      <c r="A407" s="1779"/>
      <c r="B407" s="1779"/>
      <c r="C407" s="1779"/>
      <c r="D407" s="1779"/>
      <c r="E407" s="1779"/>
      <c r="F407" s="1779"/>
      <c r="G407" s="1779"/>
      <c r="H407" s="1779"/>
      <c r="I407" s="1779"/>
      <c r="J407" s="1779"/>
      <c r="K407" s="1780"/>
      <c r="L407" s="1781"/>
      <c r="M407" s="1779"/>
      <c r="N407" s="1779"/>
      <c r="O407" s="1779"/>
      <c r="P407" s="1816"/>
      <c r="Q407" s="1779"/>
      <c r="R407" s="1779"/>
      <c r="S407" s="1779"/>
      <c r="T407" s="1779"/>
      <c r="U407" s="1779"/>
      <c r="V407" s="1779"/>
      <c r="W407" s="1779"/>
      <c r="X407" s="1779"/>
      <c r="Y407" s="1779"/>
      <c r="Z407" s="1779"/>
      <c r="AA407" s="1779"/>
      <c r="AB407" s="1779"/>
      <c r="AC407" s="1779"/>
    </row>
    <row r="408" spans="1:29">
      <c r="A408" s="1779"/>
      <c r="B408" s="1779"/>
      <c r="C408" s="1779"/>
      <c r="D408" s="1779"/>
      <c r="E408" s="1779"/>
      <c r="F408" s="1779"/>
      <c r="G408" s="1779"/>
      <c r="H408" s="1779"/>
      <c r="I408" s="1779"/>
      <c r="J408" s="1779"/>
      <c r="K408" s="1780"/>
      <c r="L408" s="1781"/>
      <c r="M408" s="1779"/>
      <c r="N408" s="1779"/>
      <c r="O408" s="1779"/>
      <c r="P408" s="1816"/>
      <c r="Q408" s="1779"/>
      <c r="R408" s="1779"/>
      <c r="S408" s="1779"/>
      <c r="T408" s="1779"/>
      <c r="U408" s="1779"/>
      <c r="V408" s="1779"/>
      <c r="W408" s="1779"/>
      <c r="X408" s="1779"/>
      <c r="Y408" s="1779"/>
      <c r="Z408" s="1779"/>
      <c r="AA408" s="1779"/>
      <c r="AB408" s="1779"/>
      <c r="AC408" s="1779"/>
    </row>
    <row r="409" spans="1:29">
      <c r="A409" s="1779"/>
      <c r="B409" s="1779"/>
      <c r="C409" s="1779"/>
      <c r="D409" s="1779"/>
      <c r="E409" s="1779"/>
      <c r="F409" s="1779"/>
      <c r="G409" s="1779"/>
      <c r="H409" s="1779"/>
      <c r="I409" s="1779"/>
      <c r="J409" s="1779"/>
      <c r="K409" s="1780"/>
      <c r="L409" s="1781"/>
      <c r="M409" s="1779"/>
      <c r="N409" s="1779"/>
      <c r="O409" s="1779"/>
      <c r="P409" s="1816"/>
      <c r="Q409" s="1779"/>
      <c r="R409" s="1779"/>
      <c r="S409" s="1779"/>
      <c r="T409" s="1779"/>
      <c r="U409" s="1779"/>
      <c r="V409" s="1779"/>
      <c r="W409" s="1779"/>
      <c r="X409" s="1779"/>
      <c r="Y409" s="1779"/>
      <c r="Z409" s="1779"/>
      <c r="AA409" s="1779"/>
      <c r="AB409" s="1779"/>
      <c r="AC409" s="1779"/>
    </row>
    <row r="410" spans="1:29">
      <c r="A410" s="1779"/>
      <c r="B410" s="1779"/>
      <c r="C410" s="1779"/>
      <c r="D410" s="1779"/>
      <c r="E410" s="1779"/>
      <c r="F410" s="1779"/>
      <c r="G410" s="1779"/>
      <c r="H410" s="1779"/>
      <c r="I410" s="1779"/>
      <c r="J410" s="1779"/>
      <c r="K410" s="1780"/>
      <c r="L410" s="1781"/>
      <c r="M410" s="1779"/>
      <c r="N410" s="1779"/>
      <c r="O410" s="1779"/>
      <c r="P410" s="1816"/>
      <c r="Q410" s="1779"/>
      <c r="R410" s="1779"/>
      <c r="S410" s="1779"/>
      <c r="T410" s="1779"/>
      <c r="U410" s="1779"/>
      <c r="V410" s="1779"/>
      <c r="W410" s="1779"/>
      <c r="X410" s="1779"/>
      <c r="Y410" s="1779"/>
      <c r="Z410" s="1779"/>
      <c r="AA410" s="1779"/>
      <c r="AB410" s="1779"/>
      <c r="AC410" s="1779"/>
    </row>
    <row r="411" spans="1:29">
      <c r="A411" s="1779"/>
      <c r="B411" s="1779"/>
      <c r="C411" s="1779"/>
      <c r="D411" s="1779"/>
      <c r="E411" s="1779"/>
      <c r="F411" s="1779"/>
      <c r="G411" s="1779"/>
      <c r="H411" s="1779"/>
      <c r="I411" s="1779"/>
      <c r="J411" s="1779"/>
      <c r="K411" s="1780"/>
      <c r="L411" s="1781"/>
      <c r="M411" s="1779"/>
      <c r="N411" s="1779"/>
      <c r="O411" s="1779"/>
      <c r="P411" s="1816"/>
      <c r="Q411" s="1779"/>
      <c r="R411" s="1779"/>
      <c r="S411" s="1779"/>
      <c r="T411" s="1779"/>
      <c r="U411" s="1779"/>
      <c r="V411" s="1779"/>
      <c r="W411" s="1779"/>
      <c r="X411" s="1779"/>
      <c r="Y411" s="1779"/>
      <c r="Z411" s="1779"/>
      <c r="AA411" s="1779"/>
      <c r="AB411" s="1779"/>
      <c r="AC411" s="1779"/>
    </row>
    <row r="412" spans="1:29">
      <c r="A412" s="1779"/>
      <c r="B412" s="1779"/>
      <c r="C412" s="1779"/>
      <c r="D412" s="1779"/>
      <c r="E412" s="1779"/>
      <c r="F412" s="1779"/>
      <c r="G412" s="1779"/>
      <c r="H412" s="1779"/>
      <c r="I412" s="1779"/>
      <c r="J412" s="1779"/>
      <c r="K412" s="1780"/>
      <c r="L412" s="1781"/>
      <c r="M412" s="1779"/>
      <c r="N412" s="1779"/>
      <c r="O412" s="1779"/>
      <c r="P412" s="1816"/>
      <c r="Q412" s="1779"/>
      <c r="R412" s="1779"/>
      <c r="S412" s="1779"/>
      <c r="T412" s="1779"/>
      <c r="U412" s="1779"/>
      <c r="V412" s="1779"/>
      <c r="W412" s="1779"/>
      <c r="X412" s="1779"/>
      <c r="Y412" s="1779"/>
      <c r="Z412" s="1779"/>
      <c r="AA412" s="1779"/>
      <c r="AB412" s="1779"/>
      <c r="AC412" s="1779"/>
    </row>
    <row r="413" spans="1:29">
      <c r="A413" s="1779"/>
      <c r="B413" s="1779"/>
      <c r="C413" s="1779"/>
      <c r="D413" s="1779"/>
      <c r="E413" s="1779"/>
      <c r="F413" s="1779"/>
      <c r="G413" s="1779"/>
      <c r="H413" s="1779"/>
      <c r="I413" s="1779"/>
      <c r="J413" s="1779"/>
      <c r="K413" s="1780"/>
      <c r="L413" s="1781"/>
      <c r="M413" s="1779"/>
      <c r="N413" s="1779"/>
      <c r="O413" s="1779"/>
      <c r="P413" s="1816"/>
      <c r="Q413" s="1779"/>
      <c r="R413" s="1779"/>
      <c r="S413" s="1779"/>
      <c r="T413" s="1779"/>
      <c r="U413" s="1779"/>
      <c r="V413" s="1779"/>
      <c r="W413" s="1779"/>
      <c r="X413" s="1779"/>
      <c r="Y413" s="1779"/>
      <c r="Z413" s="1779"/>
      <c r="AA413" s="1779"/>
      <c r="AB413" s="1779"/>
      <c r="AC413" s="1779"/>
    </row>
    <row r="414" spans="1:29">
      <c r="A414" s="1779"/>
      <c r="B414" s="1779"/>
      <c r="C414" s="1779"/>
      <c r="D414" s="1779"/>
      <c r="E414" s="1779"/>
      <c r="F414" s="1779"/>
      <c r="G414" s="1779"/>
      <c r="H414" s="1779"/>
      <c r="I414" s="1779"/>
      <c r="J414" s="1779"/>
      <c r="K414" s="1780"/>
      <c r="L414" s="1781"/>
      <c r="M414" s="1779"/>
      <c r="N414" s="1779"/>
      <c r="O414" s="1779"/>
      <c r="P414" s="1816"/>
      <c r="Q414" s="1779"/>
      <c r="R414" s="1779"/>
      <c r="S414" s="1779"/>
      <c r="T414" s="1779"/>
      <c r="U414" s="1779"/>
      <c r="V414" s="1779"/>
      <c r="W414" s="1779"/>
      <c r="X414" s="1779"/>
      <c r="Y414" s="1779"/>
      <c r="Z414" s="1779"/>
      <c r="AA414" s="1779"/>
      <c r="AB414" s="1779"/>
      <c r="AC414" s="1779"/>
    </row>
    <row r="415" spans="1:29">
      <c r="A415" s="1779"/>
      <c r="B415" s="1779"/>
      <c r="C415" s="1779"/>
      <c r="D415" s="1779"/>
      <c r="E415" s="1779"/>
      <c r="F415" s="1779"/>
      <c r="G415" s="1779"/>
      <c r="H415" s="1779"/>
      <c r="I415" s="1779"/>
      <c r="J415" s="1779"/>
      <c r="K415" s="1780"/>
      <c r="L415" s="1781"/>
      <c r="M415" s="1779"/>
      <c r="N415" s="1779"/>
      <c r="O415" s="1779"/>
      <c r="P415" s="1816"/>
      <c r="Q415" s="1779"/>
      <c r="R415" s="1779"/>
      <c r="S415" s="1779"/>
      <c r="T415" s="1779"/>
      <c r="U415" s="1779"/>
      <c r="V415" s="1779"/>
      <c r="W415" s="1779"/>
      <c r="X415" s="1779"/>
      <c r="Y415" s="1779"/>
      <c r="Z415" s="1779"/>
      <c r="AA415" s="1779"/>
      <c r="AB415" s="1779"/>
      <c r="AC415" s="1779"/>
    </row>
    <row r="416" spans="1:29">
      <c r="A416" s="1779"/>
      <c r="B416" s="1779"/>
      <c r="C416" s="1779"/>
      <c r="D416" s="1779"/>
      <c r="E416" s="1779"/>
      <c r="F416" s="1779"/>
      <c r="G416" s="1779"/>
      <c r="H416" s="1779"/>
      <c r="I416" s="1779"/>
      <c r="J416" s="1779"/>
      <c r="K416" s="1780"/>
      <c r="L416" s="1781"/>
      <c r="M416" s="1779"/>
      <c r="N416" s="1779"/>
      <c r="O416" s="1779"/>
      <c r="P416" s="1816"/>
      <c r="Q416" s="1779"/>
      <c r="R416" s="1779"/>
      <c r="S416" s="1779"/>
      <c r="T416" s="1779"/>
      <c r="U416" s="1779"/>
      <c r="V416" s="1779"/>
      <c r="W416" s="1779"/>
      <c r="X416" s="1779"/>
      <c r="Y416" s="1779"/>
      <c r="Z416" s="1779"/>
      <c r="AA416" s="1779"/>
      <c r="AB416" s="1779"/>
      <c r="AC416" s="1779"/>
    </row>
    <row r="417" spans="1:29">
      <c r="A417" s="1779"/>
      <c r="B417" s="1779"/>
      <c r="C417" s="1779"/>
      <c r="D417" s="1779"/>
      <c r="E417" s="1779"/>
      <c r="F417" s="1779"/>
      <c r="G417" s="1779"/>
      <c r="H417" s="1779"/>
      <c r="I417" s="1779"/>
      <c r="J417" s="1779"/>
      <c r="K417" s="1780"/>
      <c r="L417" s="1781"/>
      <c r="M417" s="1779"/>
      <c r="N417" s="1779"/>
      <c r="O417" s="1779"/>
      <c r="P417" s="1816"/>
      <c r="Q417" s="1779"/>
      <c r="R417" s="1779"/>
      <c r="S417" s="1779"/>
      <c r="T417" s="1779"/>
      <c r="U417" s="1779"/>
      <c r="V417" s="1779"/>
      <c r="W417" s="1779"/>
      <c r="X417" s="1779"/>
      <c r="Y417" s="1779"/>
      <c r="Z417" s="1779"/>
      <c r="AA417" s="1779"/>
      <c r="AB417" s="1779"/>
      <c r="AC417" s="1779"/>
    </row>
    <row r="418" spans="1:29">
      <c r="A418" s="1779"/>
      <c r="B418" s="1779"/>
      <c r="C418" s="1779"/>
      <c r="D418" s="1779"/>
      <c r="E418" s="1779"/>
      <c r="F418" s="1779"/>
      <c r="G418" s="1779"/>
      <c r="H418" s="1779"/>
      <c r="I418" s="1779"/>
      <c r="J418" s="1779"/>
      <c r="K418" s="1780"/>
      <c r="L418" s="1781"/>
      <c r="M418" s="1779"/>
      <c r="N418" s="1779"/>
      <c r="O418" s="1779"/>
      <c r="P418" s="1816"/>
      <c r="Q418" s="1779"/>
      <c r="R418" s="1779"/>
      <c r="S418" s="1779"/>
      <c r="T418" s="1779"/>
      <c r="U418" s="1779"/>
      <c r="V418" s="1779"/>
      <c r="W418" s="1779"/>
      <c r="X418" s="1779"/>
      <c r="Y418" s="1779"/>
      <c r="Z418" s="1779"/>
      <c r="AA418" s="1779"/>
      <c r="AB418" s="1779"/>
      <c r="AC418" s="1779"/>
    </row>
    <row r="419" spans="1:29">
      <c r="A419" s="1779"/>
      <c r="B419" s="1779"/>
      <c r="C419" s="1779"/>
      <c r="D419" s="1779"/>
      <c r="E419" s="1779"/>
      <c r="F419" s="1779"/>
      <c r="G419" s="1779"/>
      <c r="H419" s="1779"/>
      <c r="I419" s="1779"/>
      <c r="J419" s="1779"/>
      <c r="K419" s="1780"/>
      <c r="L419" s="1781"/>
      <c r="M419" s="1779"/>
      <c r="N419" s="1779"/>
      <c r="O419" s="1779"/>
      <c r="P419" s="1816"/>
      <c r="Q419" s="1779"/>
      <c r="R419" s="1779"/>
      <c r="S419" s="1779"/>
      <c r="T419" s="1779"/>
      <c r="U419" s="1779"/>
      <c r="V419" s="1779"/>
      <c r="W419" s="1779"/>
      <c r="X419" s="1779"/>
      <c r="Y419" s="1779"/>
      <c r="Z419" s="1779"/>
      <c r="AA419" s="1779"/>
      <c r="AB419" s="1779"/>
      <c r="AC419" s="1779"/>
    </row>
    <row r="420" spans="1:29">
      <c r="A420" s="1779"/>
      <c r="B420" s="1779"/>
      <c r="C420" s="1779"/>
      <c r="D420" s="1779"/>
      <c r="E420" s="1779"/>
      <c r="F420" s="1779"/>
      <c r="G420" s="1779"/>
      <c r="H420" s="1779"/>
      <c r="I420" s="1779"/>
      <c r="J420" s="1779"/>
      <c r="K420" s="1780"/>
      <c r="L420" s="1781"/>
      <c r="M420" s="1779"/>
      <c r="N420" s="1779"/>
      <c r="O420" s="1779"/>
      <c r="P420" s="1816"/>
      <c r="Q420" s="1779"/>
      <c r="R420" s="1779"/>
      <c r="S420" s="1779"/>
      <c r="T420" s="1779"/>
      <c r="U420" s="1779"/>
      <c r="V420" s="1779"/>
      <c r="W420" s="1779"/>
      <c r="X420" s="1779"/>
      <c r="Y420" s="1779"/>
      <c r="Z420" s="1779"/>
      <c r="AA420" s="1779"/>
      <c r="AB420" s="1779"/>
      <c r="AC420" s="1779"/>
    </row>
    <row r="421" spans="1:29">
      <c r="A421" s="1779"/>
      <c r="B421" s="1779"/>
      <c r="C421" s="1779"/>
      <c r="D421" s="1779"/>
      <c r="E421" s="1779"/>
      <c r="F421" s="1779"/>
      <c r="G421" s="1779"/>
      <c r="H421" s="1779"/>
      <c r="I421" s="1779"/>
      <c r="J421" s="1779"/>
      <c r="K421" s="1780"/>
      <c r="L421" s="1781"/>
      <c r="M421" s="1779"/>
      <c r="N421" s="1779"/>
      <c r="O421" s="1779"/>
      <c r="P421" s="1816"/>
      <c r="Q421" s="1779"/>
      <c r="R421" s="1779"/>
      <c r="S421" s="1779"/>
      <c r="T421" s="1779"/>
      <c r="U421" s="1779"/>
      <c r="V421" s="1779"/>
      <c r="W421" s="1779"/>
      <c r="X421" s="1779"/>
      <c r="Y421" s="1779"/>
      <c r="Z421" s="1779"/>
      <c r="AA421" s="1779"/>
      <c r="AB421" s="1779"/>
      <c r="AC421" s="1779"/>
    </row>
    <row r="422" spans="1:29">
      <c r="A422" s="1779"/>
      <c r="B422" s="1779"/>
      <c r="C422" s="1779"/>
      <c r="D422" s="1779"/>
      <c r="E422" s="1779"/>
      <c r="F422" s="1779"/>
      <c r="G422" s="1779"/>
      <c r="H422" s="1779"/>
      <c r="I422" s="1779"/>
      <c r="J422" s="1779"/>
      <c r="K422" s="1780"/>
      <c r="L422" s="1781"/>
      <c r="M422" s="1779"/>
      <c r="N422" s="1779"/>
      <c r="O422" s="1779"/>
      <c r="P422" s="1816"/>
      <c r="Q422" s="1779"/>
      <c r="R422" s="1779"/>
      <c r="S422" s="1779"/>
      <c r="T422" s="1779"/>
      <c r="U422" s="1779"/>
      <c r="V422" s="1779"/>
      <c r="W422" s="1779"/>
      <c r="X422" s="1779"/>
      <c r="Y422" s="1779"/>
      <c r="Z422" s="1779"/>
      <c r="AA422" s="1779"/>
      <c r="AB422" s="1779"/>
      <c r="AC422" s="1779"/>
    </row>
    <row r="423" spans="1:29">
      <c r="A423" s="1779"/>
      <c r="B423" s="1779"/>
      <c r="C423" s="1779"/>
      <c r="D423" s="1779"/>
      <c r="E423" s="1779"/>
      <c r="F423" s="1779"/>
      <c r="G423" s="1779"/>
      <c r="H423" s="1779"/>
      <c r="I423" s="1779"/>
      <c r="J423" s="1779"/>
      <c r="K423" s="1780"/>
      <c r="L423" s="1781"/>
      <c r="M423" s="1779"/>
      <c r="N423" s="1779"/>
      <c r="O423" s="1779"/>
      <c r="P423" s="1816"/>
      <c r="Q423" s="1779"/>
      <c r="R423" s="1779"/>
      <c r="S423" s="1779"/>
      <c r="T423" s="1779"/>
      <c r="U423" s="1779"/>
      <c r="V423" s="1779"/>
      <c r="W423" s="1779"/>
      <c r="X423" s="1779"/>
      <c r="Y423" s="1779"/>
      <c r="Z423" s="1779"/>
      <c r="AA423" s="1779"/>
      <c r="AB423" s="1779"/>
      <c r="AC423" s="1779"/>
    </row>
    <row r="424" spans="1:29">
      <c r="A424" s="1779"/>
      <c r="B424" s="1779"/>
      <c r="C424" s="1779"/>
      <c r="D424" s="1779"/>
      <c r="E424" s="1779"/>
      <c r="F424" s="1779"/>
      <c r="G424" s="1779"/>
      <c r="H424" s="1779"/>
      <c r="I424" s="1779"/>
      <c r="J424" s="1779"/>
      <c r="K424" s="1780"/>
      <c r="L424" s="1781"/>
      <c r="M424" s="1779"/>
      <c r="N424" s="1779"/>
      <c r="O424" s="1779"/>
      <c r="P424" s="1816"/>
      <c r="Q424" s="1779"/>
      <c r="R424" s="1779"/>
      <c r="S424" s="1779"/>
      <c r="T424" s="1779"/>
      <c r="U424" s="1779"/>
      <c r="V424" s="1779"/>
      <c r="W424" s="1779"/>
      <c r="X424" s="1779"/>
      <c r="Y424" s="1779"/>
      <c r="Z424" s="1779"/>
      <c r="AA424" s="1779"/>
      <c r="AB424" s="1779"/>
      <c r="AC424" s="1779"/>
    </row>
    <row r="425" spans="1:29">
      <c r="A425" s="1779"/>
      <c r="B425" s="1779"/>
      <c r="C425" s="1779"/>
      <c r="D425" s="1779"/>
      <c r="E425" s="1779"/>
      <c r="F425" s="1779"/>
      <c r="G425" s="1779"/>
      <c r="H425" s="1779"/>
      <c r="I425" s="1779"/>
      <c r="J425" s="1779"/>
      <c r="K425" s="1780"/>
      <c r="L425" s="1781"/>
      <c r="M425" s="1779"/>
      <c r="N425" s="1779"/>
      <c r="O425" s="1779"/>
      <c r="P425" s="1816"/>
      <c r="Q425" s="1779"/>
      <c r="R425" s="1779"/>
      <c r="S425" s="1779"/>
      <c r="T425" s="1779"/>
      <c r="U425" s="1779"/>
      <c r="V425" s="1779"/>
      <c r="W425" s="1779"/>
      <c r="X425" s="1779"/>
      <c r="Y425" s="1779"/>
      <c r="Z425" s="1779"/>
      <c r="AA425" s="1779"/>
      <c r="AB425" s="1779"/>
      <c r="AC425" s="1779"/>
    </row>
    <row r="426" spans="1:29">
      <c r="A426" s="1779"/>
      <c r="B426" s="1779"/>
      <c r="C426" s="1779"/>
      <c r="D426" s="1779"/>
      <c r="E426" s="1779"/>
      <c r="F426" s="1779"/>
      <c r="G426" s="1779"/>
      <c r="H426" s="1779"/>
      <c r="I426" s="1779"/>
      <c r="J426" s="1779"/>
      <c r="K426" s="1780"/>
      <c r="L426" s="1781"/>
      <c r="M426" s="1779"/>
      <c r="N426" s="1779"/>
      <c r="O426" s="1779"/>
      <c r="P426" s="1816"/>
      <c r="Q426" s="1779"/>
      <c r="R426" s="1779"/>
      <c r="S426" s="1779"/>
      <c r="T426" s="1779"/>
      <c r="U426" s="1779"/>
      <c r="V426" s="1779"/>
      <c r="W426" s="1779"/>
      <c r="X426" s="1779"/>
      <c r="Y426" s="1779"/>
      <c r="Z426" s="1779"/>
      <c r="AA426" s="1779"/>
      <c r="AB426" s="1779"/>
      <c r="AC426" s="1779"/>
    </row>
    <row r="427" spans="1:29">
      <c r="A427" s="1779"/>
      <c r="B427" s="1779"/>
      <c r="C427" s="1779"/>
      <c r="D427" s="1779"/>
      <c r="E427" s="1779"/>
      <c r="F427" s="1779"/>
      <c r="G427" s="1779"/>
      <c r="H427" s="1779"/>
      <c r="I427" s="1779"/>
      <c r="J427" s="1779"/>
      <c r="K427" s="1780"/>
      <c r="L427" s="1781"/>
      <c r="M427" s="1779"/>
      <c r="N427" s="1779"/>
      <c r="O427" s="1779"/>
      <c r="P427" s="1816"/>
      <c r="Q427" s="1779"/>
      <c r="R427" s="1779"/>
      <c r="S427" s="1779"/>
      <c r="T427" s="1779"/>
      <c r="U427" s="1779"/>
      <c r="V427" s="1779"/>
      <c r="W427" s="1779"/>
      <c r="X427" s="1779"/>
      <c r="Y427" s="1779"/>
      <c r="Z427" s="1779"/>
      <c r="AA427" s="1779"/>
      <c r="AB427" s="1779"/>
      <c r="AC427" s="1779"/>
    </row>
    <row r="428" spans="1:29">
      <c r="A428" s="1779"/>
      <c r="B428" s="1779"/>
      <c r="C428" s="1779"/>
      <c r="D428" s="1779"/>
      <c r="E428" s="1779"/>
      <c r="F428" s="1779"/>
      <c r="G428" s="1779"/>
      <c r="H428" s="1779"/>
      <c r="I428" s="1779"/>
      <c r="J428" s="1779"/>
      <c r="K428" s="1780"/>
      <c r="L428" s="1781"/>
      <c r="M428" s="1779"/>
      <c r="N428" s="1779"/>
      <c r="O428" s="1779"/>
      <c r="P428" s="1816"/>
      <c r="Q428" s="1779"/>
      <c r="R428" s="1779"/>
      <c r="S428" s="1779"/>
      <c r="T428" s="1779"/>
      <c r="U428" s="1779"/>
      <c r="V428" s="1779"/>
      <c r="W428" s="1779"/>
      <c r="X428" s="1779"/>
      <c r="Y428" s="1779"/>
      <c r="Z428" s="1779"/>
      <c r="AA428" s="1779"/>
      <c r="AB428" s="1779"/>
      <c r="AC428" s="1779"/>
    </row>
    <row r="429" spans="1:29">
      <c r="A429" s="1779"/>
      <c r="B429" s="1779"/>
      <c r="C429" s="1779"/>
      <c r="D429" s="1779"/>
      <c r="E429" s="1779"/>
      <c r="F429" s="1779"/>
      <c r="G429" s="1779"/>
      <c r="H429" s="1779"/>
      <c r="I429" s="1779"/>
      <c r="J429" s="1779"/>
      <c r="K429" s="1780"/>
      <c r="L429" s="1781"/>
      <c r="M429" s="1779"/>
      <c r="N429" s="1779"/>
      <c r="O429" s="1779"/>
      <c r="P429" s="1816"/>
      <c r="Q429" s="1779"/>
      <c r="R429" s="1779"/>
      <c r="S429" s="1779"/>
      <c r="T429" s="1779"/>
      <c r="U429" s="1779"/>
      <c r="V429" s="1779"/>
      <c r="W429" s="1779"/>
      <c r="X429" s="1779"/>
      <c r="Y429" s="1779"/>
      <c r="Z429" s="1779"/>
      <c r="AA429" s="1779"/>
      <c r="AB429" s="1779"/>
      <c r="AC429" s="1779"/>
    </row>
    <row r="430" spans="1:29">
      <c r="A430" s="1779"/>
      <c r="B430" s="1779"/>
      <c r="C430" s="1779"/>
      <c r="D430" s="1779"/>
      <c r="E430" s="1779"/>
      <c r="F430" s="1779"/>
      <c r="G430" s="1779"/>
      <c r="H430" s="1779"/>
      <c r="I430" s="1779"/>
      <c r="J430" s="1779"/>
      <c r="K430" s="1780"/>
      <c r="L430" s="1781"/>
      <c r="M430" s="1779"/>
      <c r="N430" s="1779"/>
      <c r="O430" s="1779"/>
      <c r="P430" s="1816"/>
      <c r="Q430" s="1779"/>
      <c r="R430" s="1779"/>
      <c r="S430" s="1779"/>
      <c r="T430" s="1779"/>
      <c r="U430" s="1779"/>
      <c r="V430" s="1779"/>
      <c r="W430" s="1779"/>
      <c r="X430" s="1779"/>
      <c r="Y430" s="1779"/>
      <c r="Z430" s="1779"/>
      <c r="AA430" s="1779"/>
      <c r="AB430" s="1779"/>
      <c r="AC430" s="1779"/>
    </row>
    <row r="431" spans="1:29">
      <c r="A431" s="1779"/>
      <c r="B431" s="1779"/>
      <c r="C431" s="1779"/>
      <c r="D431" s="1779"/>
      <c r="E431" s="1779"/>
      <c r="F431" s="1779"/>
      <c r="G431" s="1779"/>
      <c r="H431" s="1779"/>
      <c r="I431" s="1779"/>
      <c r="J431" s="1779"/>
      <c r="K431" s="1780"/>
      <c r="L431" s="1781"/>
      <c r="M431" s="1779"/>
      <c r="N431" s="1779"/>
      <c r="O431" s="1779"/>
      <c r="P431" s="1816"/>
      <c r="Q431" s="1779"/>
      <c r="R431" s="1779"/>
      <c r="S431" s="1779"/>
      <c r="T431" s="1779"/>
      <c r="U431" s="1779"/>
      <c r="V431" s="1779"/>
      <c r="W431" s="1779"/>
      <c r="X431" s="1779"/>
      <c r="Y431" s="1779"/>
      <c r="Z431" s="1779"/>
      <c r="AA431" s="1779"/>
      <c r="AB431" s="1779"/>
      <c r="AC431" s="1779"/>
    </row>
    <row r="432" spans="1:29">
      <c r="A432" s="1779"/>
      <c r="B432" s="1779"/>
      <c r="C432" s="1779"/>
      <c r="D432" s="1779"/>
      <c r="E432" s="1779"/>
      <c r="F432" s="1779"/>
      <c r="G432" s="1779"/>
      <c r="H432" s="1779"/>
      <c r="I432" s="1779"/>
      <c r="J432" s="1779"/>
      <c r="K432" s="1780"/>
      <c r="L432" s="1781"/>
      <c r="M432" s="1779"/>
      <c r="N432" s="1779"/>
      <c r="O432" s="1779"/>
      <c r="P432" s="1816"/>
      <c r="Q432" s="1779"/>
      <c r="R432" s="1779"/>
      <c r="S432" s="1779"/>
      <c r="T432" s="1779"/>
      <c r="U432" s="1779"/>
      <c r="V432" s="1779"/>
      <c r="W432" s="1779"/>
      <c r="X432" s="1779"/>
      <c r="Y432" s="1779"/>
      <c r="Z432" s="1779"/>
      <c r="AA432" s="1779"/>
      <c r="AB432" s="1779"/>
      <c r="AC432" s="1779"/>
    </row>
    <row r="433" spans="1:29">
      <c r="A433" s="1779"/>
      <c r="B433" s="1779"/>
      <c r="C433" s="1779"/>
      <c r="D433" s="1779"/>
      <c r="E433" s="1779"/>
      <c r="F433" s="1779"/>
      <c r="G433" s="1779"/>
      <c r="H433" s="1779"/>
      <c r="I433" s="1779"/>
      <c r="J433" s="1779"/>
      <c r="K433" s="1780"/>
      <c r="L433" s="1781"/>
      <c r="M433" s="1779"/>
      <c r="N433" s="1779"/>
      <c r="O433" s="1779"/>
      <c r="P433" s="1816"/>
      <c r="Q433" s="1779"/>
      <c r="R433" s="1779"/>
      <c r="S433" s="1779"/>
      <c r="T433" s="1779"/>
      <c r="U433" s="1779"/>
      <c r="V433" s="1779"/>
      <c r="W433" s="1779"/>
      <c r="X433" s="1779"/>
      <c r="Y433" s="1779"/>
      <c r="Z433" s="1779"/>
      <c r="AA433" s="1779"/>
      <c r="AB433" s="1779"/>
      <c r="AC433" s="1779"/>
    </row>
    <row r="434" spans="1:29">
      <c r="A434" s="1779"/>
      <c r="B434" s="1779"/>
      <c r="C434" s="1779"/>
      <c r="D434" s="1779"/>
      <c r="E434" s="1779"/>
      <c r="F434" s="1779"/>
      <c r="G434" s="1779"/>
      <c r="H434" s="1779"/>
      <c r="I434" s="1779"/>
      <c r="J434" s="1779"/>
      <c r="K434" s="1780"/>
      <c r="L434" s="1781"/>
      <c r="M434" s="1779"/>
      <c r="N434" s="1779"/>
      <c r="O434" s="1779"/>
      <c r="P434" s="1816"/>
      <c r="Q434" s="1779"/>
      <c r="R434" s="1779"/>
      <c r="S434" s="1779"/>
      <c r="T434" s="1779"/>
      <c r="U434" s="1779"/>
      <c r="V434" s="1779"/>
      <c r="W434" s="1779"/>
      <c r="X434" s="1779"/>
      <c r="Y434" s="1779"/>
      <c r="Z434" s="1779"/>
      <c r="AA434" s="1779"/>
      <c r="AB434" s="1779"/>
      <c r="AC434" s="1779"/>
    </row>
    <row r="435" spans="1:29">
      <c r="A435" s="1779"/>
      <c r="B435" s="1779"/>
      <c r="C435" s="1779"/>
      <c r="D435" s="1779"/>
      <c r="E435" s="1779"/>
      <c r="F435" s="1779"/>
      <c r="G435" s="1779"/>
      <c r="H435" s="1779"/>
      <c r="I435" s="1779"/>
      <c r="J435" s="1779"/>
      <c r="K435" s="1780"/>
      <c r="L435" s="1781"/>
      <c r="M435" s="1779"/>
      <c r="N435" s="1779"/>
      <c r="O435" s="1779"/>
      <c r="P435" s="1816"/>
      <c r="Q435" s="1779"/>
      <c r="R435" s="1779"/>
      <c r="S435" s="1779"/>
      <c r="T435" s="1779"/>
      <c r="U435" s="1779"/>
      <c r="V435" s="1779"/>
      <c r="W435" s="1779"/>
      <c r="X435" s="1779"/>
      <c r="Y435" s="1779"/>
      <c r="Z435" s="1779"/>
      <c r="AA435" s="1779"/>
      <c r="AB435" s="1779"/>
      <c r="AC435" s="1779"/>
    </row>
    <row r="436" spans="1:29">
      <c r="A436" s="1779"/>
      <c r="B436" s="1779"/>
      <c r="C436" s="1779"/>
      <c r="D436" s="1779"/>
      <c r="E436" s="1779"/>
      <c r="F436" s="1779"/>
      <c r="G436" s="1779"/>
      <c r="H436" s="1779"/>
      <c r="I436" s="1779"/>
      <c r="J436" s="1779"/>
      <c r="K436" s="1780"/>
      <c r="L436" s="1781"/>
      <c r="M436" s="1779"/>
      <c r="N436" s="1779"/>
      <c r="O436" s="1779"/>
      <c r="P436" s="1816"/>
      <c r="Q436" s="1779"/>
      <c r="R436" s="1779"/>
      <c r="S436" s="1779"/>
      <c r="T436" s="1779"/>
      <c r="U436" s="1779"/>
      <c r="V436" s="1779"/>
      <c r="W436" s="1779"/>
      <c r="X436" s="1779"/>
      <c r="Y436" s="1779"/>
      <c r="Z436" s="1779"/>
      <c r="AA436" s="1779"/>
      <c r="AB436" s="1779"/>
      <c r="AC436" s="1779"/>
    </row>
    <row r="437" spans="1:29">
      <c r="A437" s="1779"/>
      <c r="B437" s="1779"/>
      <c r="C437" s="1779"/>
      <c r="D437" s="1779"/>
      <c r="E437" s="1779"/>
      <c r="F437" s="1779"/>
      <c r="G437" s="1779"/>
      <c r="H437" s="1779"/>
      <c r="I437" s="1779"/>
      <c r="J437" s="1779"/>
      <c r="K437" s="1780"/>
      <c r="L437" s="1781"/>
      <c r="M437" s="1779"/>
      <c r="N437" s="1779"/>
      <c r="O437" s="1779"/>
      <c r="P437" s="1816"/>
      <c r="Q437" s="1779"/>
      <c r="R437" s="1779"/>
      <c r="S437" s="1779"/>
      <c r="T437" s="1779"/>
      <c r="U437" s="1779"/>
      <c r="V437" s="1779"/>
      <c r="W437" s="1779"/>
      <c r="X437" s="1779"/>
      <c r="Y437" s="1779"/>
      <c r="Z437" s="1779"/>
      <c r="AA437" s="1779"/>
      <c r="AB437" s="1779"/>
      <c r="AC437" s="1779"/>
    </row>
    <row r="438" spans="1:29">
      <c r="A438" s="1779"/>
      <c r="B438" s="1779"/>
      <c r="C438" s="1779"/>
      <c r="D438" s="1779"/>
      <c r="E438" s="1779"/>
      <c r="F438" s="1779"/>
      <c r="G438" s="1779"/>
      <c r="H438" s="1779"/>
      <c r="I438" s="1779"/>
      <c r="J438" s="1779"/>
      <c r="K438" s="1780"/>
      <c r="L438" s="1781"/>
      <c r="M438" s="1779"/>
      <c r="N438" s="1779"/>
      <c r="O438" s="1779"/>
      <c r="P438" s="1816"/>
      <c r="Q438" s="1779"/>
      <c r="R438" s="1779"/>
      <c r="S438" s="1779"/>
      <c r="T438" s="1779"/>
      <c r="U438" s="1779"/>
      <c r="V438" s="1779"/>
      <c r="W438" s="1779"/>
      <c r="X438" s="1779"/>
      <c r="Y438" s="1779"/>
      <c r="Z438" s="1779"/>
      <c r="AA438" s="1779"/>
      <c r="AB438" s="1779"/>
      <c r="AC438" s="1779"/>
    </row>
    <row r="439" spans="1:29">
      <c r="A439" s="1779"/>
      <c r="B439" s="1779"/>
      <c r="C439" s="1779"/>
      <c r="D439" s="1779"/>
      <c r="E439" s="1779"/>
      <c r="F439" s="1779"/>
      <c r="G439" s="1779"/>
      <c r="H439" s="1779"/>
      <c r="I439" s="1779"/>
      <c r="J439" s="1779"/>
      <c r="K439" s="1780"/>
      <c r="L439" s="1781"/>
      <c r="M439" s="1779"/>
      <c r="N439" s="1779"/>
      <c r="O439" s="1779"/>
      <c r="P439" s="1816"/>
      <c r="Q439" s="1779"/>
      <c r="R439" s="1779"/>
      <c r="S439" s="1779"/>
      <c r="T439" s="1779"/>
      <c r="U439" s="1779"/>
      <c r="V439" s="1779"/>
      <c r="W439" s="1779"/>
      <c r="X439" s="1779"/>
      <c r="Y439" s="1779"/>
      <c r="Z439" s="1779"/>
      <c r="AA439" s="1779"/>
      <c r="AB439" s="1779"/>
      <c r="AC439" s="1779"/>
    </row>
    <row r="440" spans="1:29">
      <c r="A440" s="1779"/>
      <c r="B440" s="1779"/>
      <c r="C440" s="1779"/>
      <c r="D440" s="1779"/>
      <c r="E440" s="1779"/>
      <c r="F440" s="1779"/>
      <c r="G440" s="1779"/>
      <c r="H440" s="1779"/>
      <c r="I440" s="1779"/>
      <c r="J440" s="1779"/>
      <c r="K440" s="1780"/>
      <c r="L440" s="1781"/>
      <c r="M440" s="1779"/>
      <c r="N440" s="1779"/>
      <c r="O440" s="1779"/>
      <c r="P440" s="1816"/>
      <c r="Q440" s="1779"/>
      <c r="R440" s="1779"/>
      <c r="S440" s="1779"/>
      <c r="T440" s="1779"/>
      <c r="U440" s="1779"/>
      <c r="V440" s="1779"/>
      <c r="W440" s="1779"/>
      <c r="X440" s="1779"/>
      <c r="Y440" s="1779"/>
      <c r="Z440" s="1779"/>
      <c r="AA440" s="1779"/>
      <c r="AB440" s="1779"/>
      <c r="AC440" s="1779"/>
    </row>
    <row r="441" spans="1:29">
      <c r="A441" s="1779"/>
      <c r="B441" s="1779"/>
      <c r="C441" s="1779"/>
      <c r="D441" s="1779"/>
      <c r="E441" s="1779"/>
      <c r="F441" s="1779"/>
      <c r="G441" s="1779"/>
      <c r="H441" s="1779"/>
      <c r="I441" s="1779"/>
      <c r="J441" s="1779"/>
      <c r="K441" s="1780"/>
      <c r="L441" s="1781"/>
      <c r="M441" s="1779"/>
      <c r="N441" s="1779"/>
      <c r="O441" s="1779"/>
      <c r="P441" s="1816"/>
      <c r="Q441" s="1779"/>
      <c r="R441" s="1779"/>
      <c r="S441" s="1779"/>
      <c r="T441" s="1779"/>
      <c r="U441" s="1779"/>
      <c r="V441" s="1779"/>
      <c r="W441" s="1779"/>
      <c r="X441" s="1779"/>
      <c r="Y441" s="1779"/>
      <c r="Z441" s="1779"/>
      <c r="AA441" s="1779"/>
      <c r="AB441" s="1779"/>
      <c r="AC441" s="1779"/>
    </row>
    <row r="442" spans="1:29">
      <c r="A442" s="1779"/>
      <c r="B442" s="1779"/>
      <c r="C442" s="1779"/>
      <c r="D442" s="1779"/>
      <c r="E442" s="1779"/>
      <c r="F442" s="1779"/>
      <c r="G442" s="1779"/>
      <c r="H442" s="1779"/>
      <c r="I442" s="1779"/>
      <c r="J442" s="1779"/>
      <c r="K442" s="1780"/>
      <c r="L442" s="1781"/>
      <c r="M442" s="1779"/>
      <c r="N442" s="1779"/>
      <c r="O442" s="1779"/>
      <c r="P442" s="1816"/>
      <c r="Q442" s="1779"/>
      <c r="R442" s="1779"/>
      <c r="S442" s="1779"/>
      <c r="T442" s="1779"/>
      <c r="U442" s="1779"/>
      <c r="V442" s="1779"/>
      <c r="W442" s="1779"/>
      <c r="X442" s="1779"/>
      <c r="Y442" s="1779"/>
      <c r="Z442" s="1779"/>
      <c r="AA442" s="1779"/>
      <c r="AB442" s="1779"/>
      <c r="AC442" s="1779"/>
    </row>
    <row r="443" spans="1:29">
      <c r="A443" s="1779"/>
      <c r="B443" s="1779"/>
      <c r="C443" s="1779"/>
      <c r="D443" s="1779"/>
      <c r="E443" s="1779"/>
      <c r="F443" s="1779"/>
      <c r="G443" s="1779"/>
      <c r="H443" s="1779"/>
      <c r="I443" s="1779"/>
      <c r="J443" s="1779"/>
      <c r="K443" s="1780"/>
      <c r="L443" s="1781"/>
      <c r="M443" s="1779"/>
      <c r="N443" s="1779"/>
      <c r="O443" s="1779"/>
      <c r="P443" s="1816"/>
      <c r="Q443" s="1779"/>
      <c r="R443" s="1779"/>
      <c r="S443" s="1779"/>
      <c r="T443" s="1779"/>
      <c r="U443" s="1779"/>
      <c r="V443" s="1779"/>
      <c r="W443" s="1779"/>
      <c r="X443" s="1779"/>
      <c r="Y443" s="1779"/>
      <c r="Z443" s="1779"/>
      <c r="AA443" s="1779"/>
      <c r="AB443" s="1779"/>
      <c r="AC443" s="1779"/>
    </row>
    <row r="444" spans="1:29">
      <c r="A444" s="1779"/>
      <c r="B444" s="1779"/>
      <c r="C444" s="1779"/>
      <c r="D444" s="1779"/>
      <c r="E444" s="1779"/>
      <c r="F444" s="1779"/>
      <c r="G444" s="1779"/>
      <c r="H444" s="1779"/>
      <c r="I444" s="1779"/>
      <c r="J444" s="1779"/>
      <c r="K444" s="1780"/>
      <c r="L444" s="1781"/>
      <c r="M444" s="1779"/>
      <c r="N444" s="1779"/>
      <c r="O444" s="1779"/>
      <c r="P444" s="1816"/>
      <c r="Q444" s="1779"/>
      <c r="R444" s="1779"/>
      <c r="S444" s="1779"/>
      <c r="T444" s="1779"/>
      <c r="U444" s="1779"/>
      <c r="V444" s="1779"/>
      <c r="W444" s="1779"/>
      <c r="X444" s="1779"/>
      <c r="Y444" s="1779"/>
      <c r="Z444" s="1779"/>
      <c r="AA444" s="1779"/>
      <c r="AB444" s="1779"/>
      <c r="AC444" s="1779"/>
    </row>
    <row r="445" spans="1:29">
      <c r="A445" s="1779"/>
      <c r="B445" s="1779"/>
      <c r="C445" s="1779"/>
      <c r="D445" s="1779"/>
      <c r="E445" s="1779"/>
      <c r="F445" s="1779"/>
      <c r="G445" s="1779"/>
      <c r="H445" s="1779"/>
      <c r="I445" s="1779"/>
      <c r="J445" s="1779"/>
      <c r="K445" s="1780"/>
      <c r="L445" s="1781"/>
      <c r="M445" s="1779"/>
      <c r="N445" s="1779"/>
      <c r="O445" s="1779"/>
      <c r="P445" s="1816"/>
      <c r="Q445" s="1779"/>
      <c r="R445" s="1779"/>
      <c r="S445" s="1779"/>
      <c r="T445" s="1779"/>
      <c r="U445" s="1779"/>
      <c r="V445" s="1779"/>
      <c r="W445" s="1779"/>
      <c r="X445" s="1779"/>
      <c r="Y445" s="1779"/>
      <c r="Z445" s="1779"/>
      <c r="AA445" s="1779"/>
      <c r="AB445" s="1779"/>
      <c r="AC445" s="1779"/>
    </row>
    <row r="446" spans="1:29">
      <c r="A446" s="1779"/>
      <c r="B446" s="1779"/>
      <c r="C446" s="1779"/>
      <c r="D446" s="1779"/>
      <c r="E446" s="1779"/>
      <c r="F446" s="1779"/>
      <c r="G446" s="1779"/>
      <c r="H446" s="1779"/>
      <c r="I446" s="1779"/>
      <c r="J446" s="1779"/>
      <c r="K446" s="1780"/>
      <c r="L446" s="1781"/>
      <c r="M446" s="1779"/>
      <c r="N446" s="1779"/>
      <c r="O446" s="1779"/>
      <c r="P446" s="1816"/>
      <c r="Q446" s="1779"/>
      <c r="R446" s="1779"/>
      <c r="S446" s="1779"/>
      <c r="T446" s="1779"/>
      <c r="U446" s="1779"/>
      <c r="V446" s="1779"/>
      <c r="W446" s="1779"/>
      <c r="X446" s="1779"/>
      <c r="Y446" s="1779"/>
      <c r="Z446" s="1779"/>
      <c r="AA446" s="1779"/>
      <c r="AB446" s="1779"/>
      <c r="AC446" s="1779"/>
    </row>
    <row r="447" spans="1:29">
      <c r="A447" s="1779"/>
      <c r="B447" s="1779"/>
      <c r="C447" s="1779"/>
      <c r="D447" s="1779"/>
      <c r="E447" s="1779"/>
      <c r="F447" s="1779"/>
      <c r="G447" s="1779"/>
      <c r="H447" s="1779"/>
      <c r="I447" s="1779"/>
      <c r="J447" s="1779"/>
      <c r="K447" s="1780"/>
      <c r="L447" s="1781"/>
      <c r="M447" s="1779"/>
      <c r="N447" s="1779"/>
      <c r="O447" s="1779"/>
      <c r="P447" s="1816"/>
      <c r="Q447" s="1779"/>
      <c r="R447" s="1779"/>
      <c r="S447" s="1779"/>
      <c r="T447" s="1779"/>
      <c r="U447" s="1779"/>
      <c r="V447" s="1779"/>
      <c r="W447" s="1779"/>
      <c r="X447" s="1779"/>
      <c r="Y447" s="1779"/>
      <c r="Z447" s="1779"/>
      <c r="AA447" s="1779"/>
      <c r="AB447" s="1779"/>
      <c r="AC447" s="1779"/>
    </row>
    <row r="448" spans="1:29">
      <c r="A448" s="1779"/>
      <c r="B448" s="1779"/>
      <c r="C448" s="1779"/>
      <c r="D448" s="1779"/>
      <c r="E448" s="1779"/>
      <c r="F448" s="1779"/>
      <c r="G448" s="1779"/>
      <c r="H448" s="1779"/>
      <c r="I448" s="1779"/>
      <c r="J448" s="1779"/>
      <c r="K448" s="1780"/>
      <c r="L448" s="1781"/>
      <c r="M448" s="1779"/>
      <c r="N448" s="1779"/>
      <c r="O448" s="1779"/>
      <c r="P448" s="1816"/>
      <c r="Q448" s="1779"/>
      <c r="R448" s="1779"/>
      <c r="S448" s="1779"/>
      <c r="T448" s="1779"/>
      <c r="U448" s="1779"/>
      <c r="V448" s="1779"/>
      <c r="W448" s="1779"/>
      <c r="X448" s="1779"/>
      <c r="Y448" s="1779"/>
      <c r="Z448" s="1779"/>
      <c r="AA448" s="1779"/>
      <c r="AB448" s="1779"/>
      <c r="AC448" s="1779"/>
    </row>
    <row r="449" spans="1:29">
      <c r="A449" s="1779"/>
      <c r="B449" s="1779"/>
      <c r="C449" s="1779"/>
      <c r="D449" s="1779"/>
      <c r="E449" s="1779"/>
      <c r="F449" s="1779"/>
      <c r="G449" s="1779"/>
      <c r="H449" s="1779"/>
      <c r="I449" s="1779"/>
      <c r="J449" s="1779"/>
      <c r="K449" s="1780"/>
      <c r="L449" s="1781"/>
      <c r="M449" s="1779"/>
      <c r="N449" s="1779"/>
      <c r="O449" s="1779"/>
      <c r="P449" s="1816"/>
      <c r="Q449" s="1779"/>
      <c r="R449" s="1779"/>
      <c r="S449" s="1779"/>
      <c r="T449" s="1779"/>
      <c r="U449" s="1779"/>
      <c r="V449" s="1779"/>
      <c r="W449" s="1779"/>
      <c r="X449" s="1779"/>
      <c r="Y449" s="1779"/>
      <c r="Z449" s="1779"/>
      <c r="AA449" s="1779"/>
      <c r="AB449" s="1779"/>
      <c r="AC449" s="1779"/>
    </row>
    <row r="450" spans="1:29">
      <c r="A450" s="1779"/>
      <c r="B450" s="1779"/>
      <c r="C450" s="1779"/>
      <c r="D450" s="1779"/>
      <c r="E450" s="1779"/>
      <c r="F450" s="1779"/>
      <c r="G450" s="1779"/>
      <c r="H450" s="1779"/>
      <c r="I450" s="1779"/>
      <c r="J450" s="1779"/>
      <c r="K450" s="1780"/>
      <c r="L450" s="1781"/>
      <c r="M450" s="1779"/>
      <c r="N450" s="1779"/>
      <c r="O450" s="1779"/>
      <c r="P450" s="1816"/>
      <c r="Q450" s="1779"/>
      <c r="R450" s="1779"/>
      <c r="S450" s="1779"/>
      <c r="T450" s="1779"/>
      <c r="U450" s="1779"/>
      <c r="V450" s="1779"/>
      <c r="W450" s="1779"/>
      <c r="X450" s="1779"/>
      <c r="Y450" s="1779"/>
      <c r="Z450" s="1779"/>
      <c r="AA450" s="1779"/>
      <c r="AB450" s="1779"/>
      <c r="AC450" s="1779"/>
    </row>
    <row r="451" spans="1:29">
      <c r="A451" s="1779"/>
      <c r="B451" s="1779"/>
      <c r="C451" s="1779"/>
      <c r="D451" s="1779"/>
      <c r="E451" s="1779"/>
      <c r="F451" s="1779"/>
      <c r="G451" s="1779"/>
      <c r="H451" s="1779"/>
      <c r="I451" s="1779"/>
      <c r="J451" s="1779"/>
      <c r="K451" s="1780"/>
      <c r="L451" s="1781"/>
      <c r="M451" s="1779"/>
      <c r="N451" s="1779"/>
      <c r="O451" s="1779"/>
      <c r="P451" s="1816"/>
      <c r="Q451" s="1779"/>
      <c r="R451" s="1779"/>
      <c r="S451" s="1779"/>
      <c r="T451" s="1779"/>
      <c r="U451" s="1779"/>
      <c r="V451" s="1779"/>
      <c r="W451" s="1779"/>
      <c r="X451" s="1779"/>
      <c r="Y451" s="1779"/>
      <c r="Z451" s="1779"/>
      <c r="AA451" s="1779"/>
      <c r="AB451" s="1779"/>
      <c r="AC451" s="1779"/>
    </row>
    <row r="452" spans="1:29">
      <c r="A452" s="1779"/>
      <c r="B452" s="1779"/>
      <c r="C452" s="1779"/>
      <c r="D452" s="1779"/>
      <c r="E452" s="1779"/>
      <c r="F452" s="1779"/>
      <c r="G452" s="1779"/>
      <c r="H452" s="1779"/>
      <c r="I452" s="1779"/>
      <c r="J452" s="1779"/>
      <c r="K452" s="1780"/>
      <c r="L452" s="1781"/>
      <c r="M452" s="1779"/>
      <c r="N452" s="1779"/>
      <c r="O452" s="1779"/>
      <c r="P452" s="1816"/>
      <c r="Q452" s="1779"/>
      <c r="R452" s="1779"/>
      <c r="S452" s="1779"/>
      <c r="T452" s="1779"/>
      <c r="U452" s="1779"/>
      <c r="V452" s="1779"/>
      <c r="W452" s="1779"/>
      <c r="X452" s="1779"/>
      <c r="Y452" s="1779"/>
      <c r="Z452" s="1779"/>
      <c r="AA452" s="1779"/>
      <c r="AB452" s="1779"/>
      <c r="AC452" s="1779"/>
    </row>
    <row r="453" spans="1:29">
      <c r="A453" s="1779"/>
      <c r="B453" s="1779"/>
      <c r="C453" s="1779"/>
      <c r="D453" s="1779"/>
      <c r="E453" s="1779"/>
      <c r="F453" s="1779"/>
      <c r="G453" s="1779"/>
      <c r="H453" s="1779"/>
      <c r="I453" s="1779"/>
      <c r="J453" s="1779"/>
      <c r="K453" s="1780"/>
      <c r="L453" s="1781"/>
      <c r="M453" s="1779"/>
      <c r="N453" s="1779"/>
      <c r="O453" s="1779"/>
      <c r="P453" s="1816"/>
      <c r="Q453" s="1779"/>
      <c r="R453" s="1779"/>
      <c r="S453" s="1779"/>
      <c r="T453" s="1779"/>
      <c r="U453" s="1779"/>
      <c r="V453" s="1779"/>
      <c r="W453" s="1779"/>
      <c r="X453" s="1779"/>
      <c r="Y453" s="1779"/>
      <c r="Z453" s="1779"/>
      <c r="AA453" s="1779"/>
      <c r="AB453" s="1779"/>
      <c r="AC453" s="1779"/>
    </row>
    <row r="454" spans="1:29">
      <c r="A454" s="1779"/>
      <c r="B454" s="1779"/>
      <c r="C454" s="1779"/>
      <c r="D454" s="1779"/>
      <c r="E454" s="1779"/>
      <c r="F454" s="1779"/>
      <c r="G454" s="1779"/>
      <c r="H454" s="1779"/>
      <c r="I454" s="1779"/>
      <c r="J454" s="1779"/>
      <c r="K454" s="1780"/>
      <c r="L454" s="1781"/>
      <c r="M454" s="1779"/>
      <c r="N454" s="1779"/>
      <c r="O454" s="1779"/>
      <c r="P454" s="1816"/>
      <c r="Q454" s="1779"/>
      <c r="R454" s="1779"/>
      <c r="S454" s="1779"/>
      <c r="T454" s="1779"/>
      <c r="U454" s="1779"/>
      <c r="V454" s="1779"/>
      <c r="W454" s="1779"/>
      <c r="X454" s="1779"/>
      <c r="Y454" s="1779"/>
      <c r="Z454" s="1779"/>
      <c r="AA454" s="1779"/>
      <c r="AB454" s="1779"/>
      <c r="AC454" s="1779"/>
    </row>
    <row r="455" spans="1:29">
      <c r="A455" s="1779"/>
      <c r="B455" s="1779"/>
      <c r="C455" s="1779"/>
      <c r="D455" s="1779"/>
      <c r="E455" s="1779"/>
      <c r="F455" s="1779"/>
      <c r="G455" s="1779"/>
      <c r="H455" s="1779"/>
      <c r="I455" s="1779"/>
      <c r="J455" s="1779"/>
      <c r="K455" s="1780"/>
      <c r="L455" s="1781"/>
      <c r="M455" s="1779"/>
      <c r="N455" s="1779"/>
      <c r="O455" s="1779"/>
      <c r="P455" s="1816"/>
      <c r="Q455" s="1779"/>
      <c r="R455" s="1779"/>
      <c r="S455" s="1779"/>
      <c r="T455" s="1779"/>
      <c r="U455" s="1779"/>
      <c r="V455" s="1779"/>
      <c r="W455" s="1779"/>
      <c r="X455" s="1779"/>
      <c r="Y455" s="1779"/>
      <c r="Z455" s="1779"/>
      <c r="AA455" s="1779"/>
      <c r="AB455" s="1779"/>
      <c r="AC455" s="1779"/>
    </row>
    <row r="456" spans="1:29">
      <c r="A456" s="1779"/>
      <c r="B456" s="1779"/>
      <c r="C456" s="1779"/>
      <c r="D456" s="1779"/>
      <c r="E456" s="1779"/>
      <c r="F456" s="1779"/>
      <c r="G456" s="1779"/>
      <c r="H456" s="1779"/>
      <c r="I456" s="1779"/>
      <c r="J456" s="1779"/>
      <c r="K456" s="1780"/>
      <c r="L456" s="1781"/>
      <c r="M456" s="1779"/>
      <c r="N456" s="1779"/>
      <c r="O456" s="1779"/>
      <c r="P456" s="1816"/>
      <c r="Q456" s="1779"/>
      <c r="R456" s="1779"/>
      <c r="S456" s="1779"/>
      <c r="T456" s="1779"/>
      <c r="U456" s="1779"/>
      <c r="V456" s="1779"/>
      <c r="W456" s="1779"/>
      <c r="X456" s="1779"/>
      <c r="Y456" s="1779"/>
      <c r="Z456" s="1779"/>
      <c r="AA456" s="1779"/>
      <c r="AB456" s="1779"/>
      <c r="AC456" s="1779"/>
    </row>
    <row r="457" spans="1:29">
      <c r="A457" s="1779"/>
      <c r="B457" s="1779"/>
      <c r="C457" s="1779"/>
      <c r="D457" s="1779"/>
      <c r="E457" s="1779"/>
      <c r="F457" s="1779"/>
      <c r="G457" s="1779"/>
      <c r="H457" s="1779"/>
      <c r="I457" s="1779"/>
      <c r="J457" s="1779"/>
      <c r="K457" s="1780"/>
      <c r="L457" s="1781"/>
      <c r="M457" s="1779"/>
      <c r="N457" s="1779"/>
      <c r="O457" s="1779"/>
      <c r="P457" s="1816"/>
      <c r="Q457" s="1779"/>
      <c r="R457" s="1779"/>
      <c r="S457" s="1779"/>
      <c r="T457" s="1779"/>
      <c r="U457" s="1779"/>
      <c r="V457" s="1779"/>
      <c r="W457" s="1779"/>
      <c r="X457" s="1779"/>
      <c r="Y457" s="1779"/>
      <c r="Z457" s="1779"/>
      <c r="AA457" s="1779"/>
      <c r="AB457" s="1779"/>
      <c r="AC457" s="1779"/>
    </row>
    <row r="458" spans="1:29">
      <c r="A458" s="1779"/>
      <c r="B458" s="1779"/>
      <c r="C458" s="1779"/>
      <c r="D458" s="1779"/>
      <c r="E458" s="1779"/>
      <c r="F458" s="1779"/>
      <c r="G458" s="1779"/>
      <c r="H458" s="1779"/>
      <c r="I458" s="1779"/>
      <c r="J458" s="1779"/>
      <c r="K458" s="1780"/>
      <c r="L458" s="1781"/>
      <c r="M458" s="1779"/>
      <c r="N458" s="1779"/>
      <c r="O458" s="1779"/>
      <c r="P458" s="1816"/>
      <c r="Q458" s="1779"/>
      <c r="R458" s="1779"/>
      <c r="S458" s="1779"/>
      <c r="T458" s="1779"/>
      <c r="U458" s="1779"/>
      <c r="V458" s="1779"/>
      <c r="W458" s="1779"/>
      <c r="X458" s="1779"/>
      <c r="Y458" s="1779"/>
      <c r="Z458" s="1779"/>
      <c r="AA458" s="1779"/>
      <c r="AB458" s="1779"/>
      <c r="AC458" s="1779"/>
    </row>
    <row r="459" spans="1:29">
      <c r="A459" s="1779"/>
      <c r="B459" s="1779"/>
      <c r="C459" s="1779"/>
      <c r="D459" s="1779"/>
      <c r="E459" s="1779"/>
      <c r="F459" s="1779"/>
      <c r="G459" s="1779"/>
      <c r="H459" s="1779"/>
      <c r="I459" s="1779"/>
      <c r="J459" s="1779"/>
      <c r="K459" s="1780"/>
      <c r="L459" s="1781"/>
      <c r="M459" s="1779"/>
      <c r="N459" s="1779"/>
      <c r="O459" s="1779"/>
      <c r="P459" s="1816"/>
      <c r="Q459" s="1779"/>
      <c r="R459" s="1779"/>
      <c r="S459" s="1779"/>
      <c r="T459" s="1779"/>
      <c r="U459" s="1779"/>
      <c r="V459" s="1779"/>
      <c r="W459" s="1779"/>
      <c r="X459" s="1779"/>
      <c r="Y459" s="1779"/>
      <c r="Z459" s="1779"/>
      <c r="AA459" s="1779"/>
      <c r="AB459" s="1779"/>
      <c r="AC459" s="1779"/>
    </row>
    <row r="460" spans="1:29">
      <c r="A460" s="1779"/>
      <c r="B460" s="1779"/>
      <c r="C460" s="1779"/>
      <c r="D460" s="1779"/>
      <c r="E460" s="1779"/>
      <c r="F460" s="1779"/>
      <c r="G460" s="1779"/>
      <c r="H460" s="1779"/>
      <c r="I460" s="1779"/>
      <c r="J460" s="1779"/>
      <c r="K460" s="1780"/>
      <c r="L460" s="1781"/>
      <c r="M460" s="1779"/>
      <c r="N460" s="1779"/>
      <c r="O460" s="1779"/>
      <c r="P460" s="1816"/>
      <c r="Q460" s="1779"/>
      <c r="R460" s="1779"/>
      <c r="S460" s="1779"/>
      <c r="T460" s="1779"/>
      <c r="U460" s="1779"/>
      <c r="V460" s="1779"/>
      <c r="W460" s="1779"/>
      <c r="X460" s="1779"/>
      <c r="Y460" s="1779"/>
      <c r="Z460" s="1779"/>
      <c r="AA460" s="1779"/>
      <c r="AB460" s="1779"/>
      <c r="AC460" s="1779"/>
    </row>
    <row r="461" spans="1:29">
      <c r="A461" s="1779"/>
      <c r="B461" s="1779"/>
      <c r="C461" s="1779"/>
      <c r="D461" s="1779"/>
      <c r="E461" s="1779"/>
      <c r="F461" s="1779"/>
      <c r="G461" s="1779"/>
      <c r="H461" s="1779"/>
      <c r="I461" s="1779"/>
      <c r="J461" s="1779"/>
      <c r="K461" s="1780"/>
      <c r="L461" s="1781"/>
      <c r="M461" s="1779"/>
      <c r="N461" s="1779"/>
      <c r="O461" s="1779"/>
      <c r="P461" s="1816"/>
      <c r="Q461" s="1779"/>
      <c r="R461" s="1779"/>
      <c r="S461" s="1779"/>
      <c r="T461" s="1779"/>
      <c r="U461" s="1779"/>
      <c r="V461" s="1779"/>
      <c r="W461" s="1779"/>
      <c r="X461" s="1779"/>
      <c r="Y461" s="1779"/>
      <c r="Z461" s="1779"/>
      <c r="AA461" s="1779"/>
      <c r="AB461" s="1779"/>
      <c r="AC461" s="1779"/>
    </row>
    <row r="462" spans="1:29">
      <c r="A462" s="1779"/>
      <c r="B462" s="1779"/>
      <c r="C462" s="1779"/>
      <c r="D462" s="1779"/>
      <c r="E462" s="1779"/>
      <c r="F462" s="1779"/>
      <c r="G462" s="1779"/>
      <c r="H462" s="1779"/>
      <c r="I462" s="1779"/>
      <c r="J462" s="1779"/>
      <c r="K462" s="1780"/>
      <c r="L462" s="1781"/>
      <c r="M462" s="1779"/>
      <c r="N462" s="1779"/>
      <c r="O462" s="1779"/>
      <c r="P462" s="1816"/>
      <c r="Q462" s="1779"/>
      <c r="R462" s="1779"/>
      <c r="S462" s="1779"/>
      <c r="T462" s="1779"/>
      <c r="U462" s="1779"/>
      <c r="V462" s="1779"/>
      <c r="W462" s="1779"/>
      <c r="X462" s="1779"/>
      <c r="Y462" s="1779"/>
      <c r="Z462" s="1779"/>
      <c r="AA462" s="1779"/>
      <c r="AB462" s="1779"/>
      <c r="AC462" s="1779"/>
    </row>
    <row r="463" spans="1:29">
      <c r="A463" s="1779"/>
      <c r="B463" s="1779"/>
      <c r="C463" s="1779"/>
      <c r="D463" s="1779"/>
      <c r="E463" s="1779"/>
      <c r="F463" s="1779"/>
      <c r="G463" s="1779"/>
      <c r="H463" s="1779"/>
      <c r="I463" s="1779"/>
      <c r="J463" s="1779"/>
      <c r="K463" s="1780"/>
      <c r="L463" s="1781"/>
      <c r="M463" s="1779"/>
      <c r="N463" s="1779"/>
      <c r="O463" s="1779"/>
      <c r="P463" s="1816"/>
      <c r="Q463" s="1779"/>
      <c r="R463" s="1779"/>
      <c r="S463" s="1779"/>
      <c r="T463" s="1779"/>
      <c r="U463" s="1779"/>
      <c r="V463" s="1779"/>
      <c r="W463" s="1779"/>
      <c r="X463" s="1779"/>
      <c r="Y463" s="1779"/>
      <c r="Z463" s="1779"/>
      <c r="AA463" s="1779"/>
      <c r="AB463" s="1779"/>
      <c r="AC463" s="1779"/>
    </row>
    <row r="464" spans="1:29">
      <c r="A464" s="1779"/>
      <c r="B464" s="1779"/>
      <c r="C464" s="1779"/>
      <c r="D464" s="1779"/>
      <c r="E464" s="1779"/>
      <c r="F464" s="1779"/>
      <c r="G464" s="1779"/>
      <c r="H464" s="1779"/>
      <c r="I464" s="1779"/>
      <c r="J464" s="1779"/>
      <c r="K464" s="1780"/>
      <c r="L464" s="1781"/>
      <c r="M464" s="1779"/>
      <c r="N464" s="1779"/>
      <c r="O464" s="1779"/>
      <c r="P464" s="1816"/>
      <c r="Q464" s="1779"/>
      <c r="R464" s="1779"/>
      <c r="S464" s="1779"/>
      <c r="T464" s="1779"/>
      <c r="U464" s="1779"/>
      <c r="V464" s="1779"/>
      <c r="W464" s="1779"/>
      <c r="X464" s="1779"/>
      <c r="Y464" s="1779"/>
      <c r="Z464" s="1779"/>
      <c r="AA464" s="1779"/>
      <c r="AB464" s="1779"/>
      <c r="AC464" s="1779"/>
    </row>
    <row r="465" spans="1:29">
      <c r="A465" s="1779"/>
      <c r="B465" s="1779"/>
      <c r="C465" s="1779"/>
      <c r="D465" s="1779"/>
      <c r="E465" s="1779"/>
      <c r="F465" s="1779"/>
      <c r="G465" s="1779"/>
      <c r="H465" s="1779"/>
      <c r="I465" s="1779"/>
      <c r="J465" s="1779"/>
      <c r="K465" s="1780"/>
      <c r="L465" s="1781"/>
      <c r="M465" s="1779"/>
      <c r="N465" s="1779"/>
      <c r="O465" s="1779"/>
      <c r="P465" s="1816"/>
      <c r="Q465" s="1779"/>
      <c r="R465" s="1779"/>
      <c r="S465" s="1779"/>
      <c r="T465" s="1779"/>
      <c r="U465" s="1779"/>
      <c r="V465" s="1779"/>
      <c r="W465" s="1779"/>
      <c r="X465" s="1779"/>
      <c r="Y465" s="1779"/>
      <c r="Z465" s="1779"/>
      <c r="AA465" s="1779"/>
      <c r="AB465" s="1779"/>
      <c r="AC465" s="1779"/>
    </row>
    <row r="466" spans="1:29">
      <c r="A466" s="1779"/>
      <c r="B466" s="1779"/>
      <c r="C466" s="1779"/>
      <c r="D466" s="1779"/>
      <c r="E466" s="1779"/>
      <c r="F466" s="1779"/>
      <c r="G466" s="1779"/>
      <c r="H466" s="1779"/>
      <c r="I466" s="1779"/>
      <c r="J466" s="1779"/>
      <c r="K466" s="1780"/>
      <c r="L466" s="1781"/>
      <c r="M466" s="1779"/>
      <c r="N466" s="1779"/>
      <c r="O466" s="1779"/>
      <c r="P466" s="1816"/>
      <c r="Q466" s="1779"/>
      <c r="R466" s="1779"/>
      <c r="S466" s="1779"/>
      <c r="T466" s="1779"/>
      <c r="U466" s="1779"/>
      <c r="V466" s="1779"/>
      <c r="W466" s="1779"/>
      <c r="X466" s="1779"/>
      <c r="Y466" s="1779"/>
      <c r="Z466" s="1779"/>
      <c r="AA466" s="1779"/>
      <c r="AB466" s="1779"/>
      <c r="AC466" s="1779"/>
    </row>
    <row r="467" spans="1:29">
      <c r="A467" s="1779"/>
      <c r="B467" s="1779"/>
      <c r="C467" s="1779"/>
      <c r="D467" s="1779"/>
      <c r="E467" s="1779"/>
      <c r="F467" s="1779"/>
      <c r="G467" s="1779"/>
      <c r="H467" s="1779"/>
      <c r="I467" s="1779"/>
      <c r="J467" s="1779"/>
      <c r="K467" s="1780"/>
      <c r="L467" s="1781"/>
      <c r="M467" s="1779"/>
      <c r="N467" s="1779"/>
      <c r="O467" s="1779"/>
      <c r="P467" s="1816"/>
      <c r="Q467" s="1779"/>
      <c r="R467" s="1779"/>
      <c r="S467" s="1779"/>
      <c r="T467" s="1779"/>
      <c r="U467" s="1779"/>
      <c r="V467" s="1779"/>
      <c r="W467" s="1779"/>
      <c r="X467" s="1779"/>
      <c r="Y467" s="1779"/>
      <c r="Z467" s="1779"/>
      <c r="AA467" s="1779"/>
      <c r="AB467" s="1779"/>
      <c r="AC467" s="1779"/>
    </row>
    <row r="468" spans="1:29">
      <c r="A468" s="1779"/>
      <c r="B468" s="1779"/>
      <c r="C468" s="1779"/>
      <c r="D468" s="1779"/>
      <c r="E468" s="1779"/>
      <c r="F468" s="1779"/>
      <c r="G468" s="1779"/>
      <c r="H468" s="1779"/>
      <c r="I468" s="1779"/>
      <c r="J468" s="1779"/>
      <c r="K468" s="1780"/>
      <c r="L468" s="1781"/>
      <c r="M468" s="1779"/>
      <c r="N468" s="1779"/>
      <c r="O468" s="1779"/>
      <c r="P468" s="1816"/>
      <c r="Q468" s="1779"/>
      <c r="R468" s="1779"/>
      <c r="S468" s="1779"/>
      <c r="T468" s="1779"/>
      <c r="U468" s="1779"/>
      <c r="V468" s="1779"/>
      <c r="W468" s="1779"/>
      <c r="X468" s="1779"/>
      <c r="Y468" s="1779"/>
      <c r="Z468" s="1779"/>
      <c r="AA468" s="1779"/>
      <c r="AB468" s="1779"/>
      <c r="AC468" s="1779"/>
    </row>
    <row r="469" spans="1:29">
      <c r="A469" s="1779"/>
      <c r="B469" s="1779"/>
      <c r="C469" s="1779"/>
      <c r="D469" s="1779"/>
      <c r="E469" s="1779"/>
      <c r="F469" s="1779"/>
      <c r="G469" s="1779"/>
      <c r="H469" s="1779"/>
      <c r="I469" s="1779"/>
      <c r="J469" s="1779"/>
      <c r="K469" s="1780"/>
      <c r="L469" s="1781"/>
      <c r="M469" s="1779"/>
      <c r="N469" s="1779"/>
      <c r="O469" s="1779"/>
      <c r="P469" s="1816"/>
      <c r="Q469" s="1779"/>
      <c r="R469" s="1779"/>
      <c r="S469" s="1779"/>
      <c r="T469" s="1779"/>
      <c r="U469" s="1779"/>
      <c r="V469" s="1779"/>
      <c r="W469" s="1779"/>
      <c r="X469" s="1779"/>
      <c r="Y469" s="1779"/>
      <c r="Z469" s="1779"/>
      <c r="AA469" s="1779"/>
      <c r="AB469" s="1779"/>
      <c r="AC469" s="1779"/>
    </row>
    <row r="470" spans="1:29">
      <c r="A470" s="1779"/>
      <c r="B470" s="1779"/>
      <c r="C470" s="1779"/>
      <c r="D470" s="1779"/>
      <c r="E470" s="1779"/>
      <c r="F470" s="1779"/>
      <c r="G470" s="1779"/>
      <c r="H470" s="1779"/>
      <c r="I470" s="1779"/>
      <c r="J470" s="1779"/>
      <c r="K470" s="1780"/>
      <c r="L470" s="1781"/>
      <c r="M470" s="1779"/>
      <c r="N470" s="1779"/>
      <c r="O470" s="1779"/>
      <c r="P470" s="1816"/>
      <c r="Q470" s="1779"/>
      <c r="R470" s="1779"/>
      <c r="S470" s="1779"/>
      <c r="T470" s="1779"/>
      <c r="U470" s="1779"/>
      <c r="V470" s="1779"/>
      <c r="W470" s="1779"/>
      <c r="X470" s="1779"/>
      <c r="Y470" s="1779"/>
      <c r="Z470" s="1779"/>
      <c r="AA470" s="1779"/>
      <c r="AB470" s="1779"/>
      <c r="AC470" s="1779"/>
    </row>
    <row r="471" spans="1:29">
      <c r="A471" s="1779"/>
      <c r="B471" s="1779"/>
      <c r="C471" s="1779"/>
      <c r="D471" s="1779"/>
      <c r="E471" s="1779"/>
      <c r="F471" s="1779"/>
      <c r="G471" s="1779"/>
      <c r="H471" s="1779"/>
      <c r="I471" s="1779"/>
      <c r="J471" s="1779"/>
      <c r="K471" s="1780"/>
      <c r="L471" s="1781"/>
      <c r="M471" s="1779"/>
      <c r="N471" s="1779"/>
      <c r="O471" s="1779"/>
      <c r="P471" s="1816"/>
      <c r="Q471" s="1779"/>
      <c r="R471" s="1779"/>
      <c r="S471" s="1779"/>
      <c r="T471" s="1779"/>
      <c r="U471" s="1779"/>
      <c r="V471" s="1779"/>
      <c r="W471" s="1779"/>
      <c r="X471" s="1779"/>
      <c r="Y471" s="1779"/>
      <c r="Z471" s="1779"/>
      <c r="AA471" s="1779"/>
      <c r="AB471" s="1779"/>
      <c r="AC471" s="1779"/>
    </row>
    <row r="472" spans="1:29">
      <c r="A472" s="1779"/>
      <c r="B472" s="1779"/>
      <c r="C472" s="1779"/>
      <c r="D472" s="1779"/>
      <c r="E472" s="1779"/>
      <c r="F472" s="1779"/>
      <c r="G472" s="1779"/>
      <c r="H472" s="1779"/>
      <c r="I472" s="1779"/>
      <c r="J472" s="1779"/>
      <c r="K472" s="1780"/>
      <c r="L472" s="1781"/>
      <c r="M472" s="1779"/>
      <c r="N472" s="1779"/>
      <c r="O472" s="1779"/>
      <c r="P472" s="1816"/>
      <c r="Q472" s="1779"/>
      <c r="R472" s="1779"/>
      <c r="S472" s="1779"/>
      <c r="T472" s="1779"/>
      <c r="U472" s="1779"/>
      <c r="V472" s="1779"/>
      <c r="W472" s="1779"/>
      <c r="X472" s="1779"/>
      <c r="Y472" s="1779"/>
      <c r="Z472" s="1779"/>
      <c r="AA472" s="1779"/>
      <c r="AB472" s="1779"/>
      <c r="AC472" s="1779"/>
    </row>
    <row r="473" spans="1:29">
      <c r="A473" s="1779"/>
      <c r="B473" s="1779"/>
      <c r="C473" s="1779"/>
      <c r="D473" s="1779"/>
      <c r="E473" s="1779"/>
      <c r="F473" s="1779"/>
      <c r="G473" s="1779"/>
      <c r="H473" s="1779"/>
      <c r="I473" s="1779"/>
      <c r="J473" s="1779"/>
      <c r="K473" s="1780"/>
      <c r="L473" s="1781"/>
      <c r="M473" s="1779"/>
      <c r="N473" s="1779"/>
      <c r="O473" s="1779"/>
      <c r="P473" s="1816"/>
      <c r="Q473" s="1779"/>
      <c r="R473" s="1779"/>
      <c r="S473" s="1779"/>
      <c r="T473" s="1779"/>
      <c r="U473" s="1779"/>
      <c r="V473" s="1779"/>
      <c r="W473" s="1779"/>
      <c r="X473" s="1779"/>
      <c r="Y473" s="1779"/>
      <c r="Z473" s="1779"/>
      <c r="AA473" s="1779"/>
      <c r="AB473" s="1779"/>
      <c r="AC473" s="1779"/>
    </row>
    <row r="474" spans="1:29">
      <c r="A474" s="1779"/>
      <c r="B474" s="1779"/>
      <c r="C474" s="1779"/>
      <c r="D474" s="1779"/>
      <c r="E474" s="1779"/>
      <c r="F474" s="1779"/>
      <c r="G474" s="1779"/>
      <c r="H474" s="1779"/>
      <c r="I474" s="1779"/>
      <c r="J474" s="1779"/>
      <c r="K474" s="1780"/>
      <c r="L474" s="1781"/>
      <c r="M474" s="1779"/>
      <c r="N474" s="1779"/>
      <c r="O474" s="1779"/>
      <c r="P474" s="1816"/>
      <c r="Q474" s="1779"/>
      <c r="R474" s="1779"/>
      <c r="S474" s="1779"/>
      <c r="T474" s="1779"/>
      <c r="U474" s="1779"/>
      <c r="V474" s="1779"/>
      <c r="W474" s="1779"/>
      <c r="X474" s="1779"/>
      <c r="Y474" s="1779"/>
      <c r="Z474" s="1779"/>
      <c r="AA474" s="1779"/>
      <c r="AB474" s="1779"/>
      <c r="AC474" s="1779"/>
    </row>
    <row r="475" spans="1:29">
      <c r="A475" s="1779"/>
      <c r="B475" s="1779"/>
      <c r="C475" s="1779"/>
      <c r="D475" s="1779"/>
      <c r="E475" s="1779"/>
      <c r="F475" s="1779"/>
      <c r="G475" s="1779"/>
      <c r="H475" s="1779"/>
      <c r="I475" s="1779"/>
      <c r="J475" s="1779"/>
      <c r="K475" s="1780"/>
      <c r="L475" s="1781"/>
      <c r="M475" s="1779"/>
      <c r="N475" s="1779"/>
      <c r="O475" s="1779"/>
      <c r="P475" s="1816"/>
      <c r="Q475" s="1779"/>
      <c r="R475" s="1779"/>
      <c r="S475" s="1779"/>
      <c r="T475" s="1779"/>
      <c r="U475" s="1779"/>
      <c r="V475" s="1779"/>
      <c r="W475" s="1779"/>
      <c r="X475" s="1779"/>
      <c r="Y475" s="1779"/>
      <c r="Z475" s="1779"/>
      <c r="AA475" s="1779"/>
      <c r="AB475" s="1779"/>
      <c r="AC475" s="1779"/>
    </row>
    <row r="476" spans="1:29">
      <c r="A476" s="1779"/>
      <c r="B476" s="1779"/>
      <c r="C476" s="1779"/>
      <c r="D476" s="1779"/>
      <c r="E476" s="1779"/>
      <c r="F476" s="1779"/>
      <c r="G476" s="1779"/>
      <c r="H476" s="1779"/>
      <c r="I476" s="1779"/>
      <c r="J476" s="1779"/>
      <c r="K476" s="1780"/>
      <c r="L476" s="1781"/>
      <c r="M476" s="1779"/>
      <c r="N476" s="1779"/>
      <c r="O476" s="1779"/>
      <c r="P476" s="1816"/>
      <c r="Q476" s="1779"/>
      <c r="R476" s="1779"/>
      <c r="S476" s="1779"/>
      <c r="T476" s="1779"/>
      <c r="U476" s="1779"/>
      <c r="V476" s="1779"/>
      <c r="W476" s="1779"/>
      <c r="X476" s="1779"/>
      <c r="Y476" s="1779"/>
      <c r="Z476" s="1779"/>
      <c r="AA476" s="1779"/>
      <c r="AB476" s="1779"/>
      <c r="AC476" s="1779"/>
    </row>
    <row r="477" spans="1:29">
      <c r="A477" s="1779"/>
      <c r="B477" s="1779"/>
      <c r="C477" s="1779"/>
      <c r="D477" s="1779"/>
      <c r="E477" s="1779"/>
      <c r="F477" s="1779"/>
      <c r="G477" s="1779"/>
      <c r="H477" s="1779"/>
      <c r="I477" s="1779"/>
      <c r="J477" s="1779"/>
      <c r="K477" s="1780"/>
      <c r="L477" s="1781"/>
      <c r="M477" s="1779"/>
      <c r="N477" s="1779"/>
      <c r="O477" s="1779"/>
      <c r="P477" s="1816"/>
      <c r="Q477" s="1779"/>
      <c r="R477" s="1779"/>
      <c r="S477" s="1779"/>
      <c r="T477" s="1779"/>
      <c r="U477" s="1779"/>
      <c r="V477" s="1779"/>
      <c r="W477" s="1779"/>
      <c r="X477" s="1779"/>
      <c r="Y477" s="1779"/>
      <c r="Z477" s="1779"/>
      <c r="AA477" s="1779"/>
      <c r="AB477" s="1779"/>
      <c r="AC477" s="1779"/>
    </row>
    <row r="478" spans="1:29">
      <c r="A478" s="1779"/>
      <c r="B478" s="1779"/>
      <c r="C478" s="1779"/>
      <c r="D478" s="1779"/>
      <c r="E478" s="1779"/>
      <c r="F478" s="1779"/>
      <c r="G478" s="1779"/>
      <c r="H478" s="1779"/>
      <c r="I478" s="1779"/>
      <c r="J478" s="1779"/>
      <c r="K478" s="1780"/>
      <c r="L478" s="1781"/>
      <c r="M478" s="1779"/>
      <c r="N478" s="1779"/>
      <c r="O478" s="1779"/>
      <c r="P478" s="1816"/>
      <c r="Q478" s="1779"/>
      <c r="R478" s="1779"/>
      <c r="S478" s="1779"/>
      <c r="T478" s="1779"/>
      <c r="U478" s="1779"/>
      <c r="V478" s="1779"/>
      <c r="W478" s="1779"/>
      <c r="X478" s="1779"/>
      <c r="Y478" s="1779"/>
      <c r="Z478" s="1779"/>
      <c r="AA478" s="1779"/>
      <c r="AB478" s="1779"/>
      <c r="AC478" s="1779"/>
    </row>
    <row r="479" spans="1:29">
      <c r="A479" s="1779"/>
      <c r="B479" s="1779"/>
      <c r="C479" s="1779"/>
      <c r="D479" s="1779"/>
      <c r="E479" s="1779"/>
      <c r="F479" s="1779"/>
      <c r="G479" s="1779"/>
      <c r="H479" s="1779"/>
      <c r="I479" s="1779"/>
      <c r="J479" s="1779"/>
      <c r="K479" s="1780"/>
      <c r="L479" s="1781"/>
      <c r="M479" s="1779"/>
      <c r="N479" s="1779"/>
      <c r="O479" s="1779"/>
      <c r="P479" s="1816"/>
      <c r="Q479" s="1779"/>
      <c r="R479" s="1779"/>
      <c r="S479" s="1779"/>
      <c r="T479" s="1779"/>
      <c r="U479" s="1779"/>
      <c r="V479" s="1779"/>
      <c r="W479" s="1779"/>
      <c r="X479" s="1779"/>
      <c r="Y479" s="1779"/>
      <c r="Z479" s="1779"/>
      <c r="AA479" s="1779"/>
      <c r="AB479" s="1779"/>
      <c r="AC479" s="1779"/>
    </row>
    <row r="480" spans="1:29">
      <c r="A480" s="1779"/>
      <c r="B480" s="1779"/>
      <c r="C480" s="1779"/>
      <c r="D480" s="1779"/>
      <c r="E480" s="1779"/>
      <c r="F480" s="1779"/>
      <c r="G480" s="1779"/>
      <c r="H480" s="1779"/>
      <c r="I480" s="1779"/>
      <c r="J480" s="1779"/>
      <c r="K480" s="1780"/>
      <c r="L480" s="1781"/>
      <c r="M480" s="1779"/>
      <c r="N480" s="1779"/>
      <c r="O480" s="1779"/>
      <c r="P480" s="1816"/>
      <c r="Q480" s="1779"/>
      <c r="R480" s="1779"/>
      <c r="S480" s="1779"/>
      <c r="T480" s="1779"/>
      <c r="U480" s="1779"/>
      <c r="V480" s="1779"/>
      <c r="W480" s="1779"/>
      <c r="X480" s="1779"/>
      <c r="Y480" s="1779"/>
      <c r="Z480" s="1779"/>
      <c r="AA480" s="1779"/>
      <c r="AB480" s="1779"/>
      <c r="AC480" s="1779"/>
    </row>
    <row r="481" spans="1:29">
      <c r="A481" s="1779"/>
      <c r="B481" s="1779"/>
      <c r="C481" s="1779"/>
      <c r="D481" s="1779"/>
      <c r="E481" s="1779"/>
      <c r="F481" s="1779"/>
      <c r="G481" s="1779"/>
      <c r="H481" s="1779"/>
      <c r="I481" s="1779"/>
      <c r="J481" s="1779"/>
      <c r="K481" s="1780"/>
      <c r="L481" s="1781"/>
      <c r="M481" s="1779"/>
      <c r="N481" s="1779"/>
      <c r="O481" s="1779"/>
      <c r="P481" s="1816"/>
      <c r="Q481" s="1779"/>
      <c r="R481" s="1779"/>
      <c r="S481" s="1779"/>
      <c r="T481" s="1779"/>
      <c r="U481" s="1779"/>
      <c r="V481" s="1779"/>
      <c r="W481" s="1779"/>
      <c r="X481" s="1779"/>
      <c r="Y481" s="1779"/>
      <c r="Z481" s="1779"/>
      <c r="AA481" s="1779"/>
      <c r="AB481" s="1779"/>
      <c r="AC481" s="1779"/>
    </row>
    <row r="482" spans="1:29">
      <c r="A482" s="1779"/>
      <c r="B482" s="1779"/>
      <c r="C482" s="1779"/>
      <c r="D482" s="1779"/>
      <c r="E482" s="1779"/>
      <c r="F482" s="1779"/>
      <c r="G482" s="1779"/>
      <c r="H482" s="1779"/>
      <c r="I482" s="1779"/>
      <c r="J482" s="1779"/>
      <c r="K482" s="1780"/>
      <c r="L482" s="1781"/>
      <c r="M482" s="1779"/>
      <c r="N482" s="1779"/>
      <c r="O482" s="1779"/>
      <c r="P482" s="1816"/>
      <c r="Q482" s="1779"/>
      <c r="R482" s="1779"/>
      <c r="S482" s="1779"/>
      <c r="T482" s="1779"/>
      <c r="U482" s="1779"/>
      <c r="V482" s="1779"/>
      <c r="W482" s="1779"/>
      <c r="X482" s="1779"/>
      <c r="Y482" s="1779"/>
      <c r="Z482" s="1779"/>
      <c r="AA482" s="1779"/>
      <c r="AB482" s="1779"/>
      <c r="AC482" s="1779"/>
    </row>
    <row r="483" spans="1:29">
      <c r="A483" s="1779"/>
      <c r="B483" s="1779"/>
      <c r="C483" s="1779"/>
      <c r="D483" s="1779"/>
      <c r="E483" s="1779"/>
      <c r="F483" s="1779"/>
      <c r="G483" s="1779"/>
      <c r="H483" s="1779"/>
      <c r="I483" s="1779"/>
      <c r="J483" s="1779"/>
      <c r="K483" s="1780"/>
      <c r="L483" s="1781"/>
      <c r="M483" s="1779"/>
      <c r="N483" s="1779"/>
      <c r="O483" s="1779"/>
      <c r="P483" s="1816"/>
      <c r="Q483" s="1779"/>
      <c r="R483" s="1779"/>
      <c r="S483" s="1779"/>
      <c r="T483" s="1779"/>
      <c r="U483" s="1779"/>
      <c r="V483" s="1779"/>
      <c r="W483" s="1779"/>
      <c r="X483" s="1779"/>
      <c r="Y483" s="1779"/>
      <c r="Z483" s="1779"/>
      <c r="AA483" s="1779"/>
      <c r="AB483" s="1779"/>
      <c r="AC483" s="1779"/>
    </row>
    <row r="484" spans="1:29">
      <c r="A484" s="1779"/>
      <c r="B484" s="1779"/>
      <c r="C484" s="1779"/>
      <c r="D484" s="1779"/>
      <c r="E484" s="1779"/>
      <c r="F484" s="1779"/>
      <c r="G484" s="1779"/>
      <c r="H484" s="1779"/>
      <c r="I484" s="1779"/>
      <c r="J484" s="1779"/>
      <c r="K484" s="1780"/>
      <c r="L484" s="1781"/>
      <c r="M484" s="1779"/>
      <c r="N484" s="1779"/>
      <c r="O484" s="1779"/>
      <c r="P484" s="1816"/>
      <c r="Q484" s="1779"/>
      <c r="R484" s="1779"/>
      <c r="S484" s="1779"/>
      <c r="T484" s="1779"/>
      <c r="U484" s="1779"/>
      <c r="V484" s="1779"/>
      <c r="W484" s="1779"/>
      <c r="X484" s="1779"/>
      <c r="Y484" s="1779"/>
      <c r="Z484" s="1779"/>
      <c r="AA484" s="1779"/>
      <c r="AB484" s="1779"/>
      <c r="AC484" s="1779"/>
    </row>
    <row r="485" spans="1:29">
      <c r="A485" s="1779"/>
      <c r="B485" s="1779"/>
      <c r="C485" s="1779"/>
      <c r="D485" s="1779"/>
      <c r="E485" s="1779"/>
      <c r="F485" s="1779"/>
      <c r="G485" s="1779"/>
      <c r="H485" s="1779"/>
      <c r="I485" s="1779"/>
      <c r="J485" s="1779"/>
      <c r="K485" s="1780"/>
      <c r="L485" s="1781"/>
      <c r="M485" s="1779"/>
      <c r="N485" s="1779"/>
      <c r="O485" s="1779"/>
      <c r="P485" s="1816"/>
      <c r="Q485" s="1779"/>
      <c r="R485" s="1779"/>
      <c r="S485" s="1779"/>
      <c r="T485" s="1779"/>
      <c r="U485" s="1779"/>
      <c r="V485" s="1779"/>
      <c r="W485" s="1779"/>
      <c r="X485" s="1779"/>
      <c r="Y485" s="1779"/>
      <c r="Z485" s="1779"/>
      <c r="AA485" s="1779"/>
      <c r="AB485" s="1779"/>
      <c r="AC485" s="1779"/>
    </row>
    <row r="486" spans="1:29">
      <c r="A486" s="1779"/>
      <c r="B486" s="1779"/>
      <c r="C486" s="1779"/>
      <c r="D486" s="1779"/>
      <c r="E486" s="1779"/>
      <c r="F486" s="1779"/>
      <c r="G486" s="1779"/>
      <c r="H486" s="1779"/>
      <c r="I486" s="1779"/>
      <c r="J486" s="1779"/>
      <c r="K486" s="1780"/>
      <c r="L486" s="1781"/>
      <c r="M486" s="1779"/>
      <c r="N486" s="1779"/>
      <c r="O486" s="1779"/>
      <c r="P486" s="1816"/>
      <c r="Q486" s="1779"/>
      <c r="R486" s="1779"/>
      <c r="S486" s="1779"/>
      <c r="T486" s="1779"/>
      <c r="U486" s="1779"/>
      <c r="V486" s="1779"/>
      <c r="W486" s="1779"/>
      <c r="X486" s="1779"/>
      <c r="Y486" s="1779"/>
      <c r="Z486" s="1779"/>
      <c r="AA486" s="1779"/>
      <c r="AB486" s="1779"/>
      <c r="AC486" s="1779"/>
    </row>
    <row r="487" spans="1:29">
      <c r="A487" s="1779"/>
      <c r="B487" s="1779"/>
      <c r="C487" s="1779"/>
      <c r="D487" s="1779"/>
      <c r="E487" s="1779"/>
      <c r="F487" s="1779"/>
      <c r="G487" s="1779"/>
      <c r="H487" s="1779"/>
      <c r="I487" s="1779"/>
      <c r="J487" s="1779"/>
      <c r="K487" s="1780"/>
      <c r="L487" s="1781"/>
      <c r="M487" s="1779"/>
      <c r="N487" s="1779"/>
      <c r="O487" s="1779"/>
      <c r="P487" s="1816"/>
      <c r="Q487" s="1779"/>
      <c r="R487" s="1779"/>
      <c r="S487" s="1779"/>
      <c r="T487" s="1779"/>
      <c r="U487" s="1779"/>
      <c r="V487" s="1779"/>
      <c r="W487" s="1779"/>
      <c r="X487" s="1779"/>
      <c r="Y487" s="1779"/>
      <c r="Z487" s="1779"/>
      <c r="AA487" s="1779"/>
      <c r="AB487" s="1779"/>
      <c r="AC487" s="1779"/>
    </row>
    <row r="488" spans="1:29">
      <c r="A488" s="1779"/>
      <c r="B488" s="1779"/>
      <c r="C488" s="1779"/>
      <c r="D488" s="1779"/>
      <c r="E488" s="1779"/>
      <c r="F488" s="1779"/>
      <c r="G488" s="1779"/>
      <c r="H488" s="1779"/>
      <c r="I488" s="1779"/>
      <c r="J488" s="1779"/>
      <c r="K488" s="1780"/>
      <c r="L488" s="1781"/>
      <c r="M488" s="1779"/>
      <c r="N488" s="1779"/>
      <c r="O488" s="1779"/>
      <c r="P488" s="1816"/>
      <c r="Q488" s="1779"/>
      <c r="R488" s="1779"/>
      <c r="S488" s="1779"/>
      <c r="T488" s="1779"/>
      <c r="U488" s="1779"/>
      <c r="V488" s="1779"/>
      <c r="W488" s="1779"/>
      <c r="X488" s="1779"/>
      <c r="Y488" s="1779"/>
      <c r="Z488" s="1779"/>
      <c r="AA488" s="1779"/>
      <c r="AB488" s="1779"/>
      <c r="AC488" s="1779"/>
    </row>
    <row r="489" spans="1:29">
      <c r="A489" s="1779"/>
      <c r="B489" s="1779"/>
      <c r="C489" s="1779"/>
      <c r="D489" s="1779"/>
      <c r="E489" s="1779"/>
      <c r="F489" s="1779"/>
      <c r="G489" s="1779"/>
      <c r="H489" s="1779"/>
      <c r="I489" s="1779"/>
      <c r="J489" s="1779"/>
      <c r="K489" s="1780"/>
      <c r="L489" s="1781"/>
      <c r="M489" s="1779"/>
      <c r="N489" s="1779"/>
      <c r="O489" s="1779"/>
      <c r="P489" s="1816"/>
      <c r="Q489" s="1779"/>
      <c r="R489" s="1779"/>
      <c r="S489" s="1779"/>
      <c r="T489" s="1779"/>
      <c r="U489" s="1779"/>
      <c r="V489" s="1779"/>
      <c r="W489" s="1779"/>
      <c r="X489" s="1779"/>
      <c r="Y489" s="1779"/>
      <c r="Z489" s="1779"/>
      <c r="AA489" s="1779"/>
      <c r="AB489" s="1779"/>
      <c r="AC489" s="1779"/>
    </row>
    <row r="490" spans="1:29">
      <c r="A490" s="1779"/>
      <c r="B490" s="1779"/>
      <c r="C490" s="1779"/>
      <c r="D490" s="1779"/>
      <c r="E490" s="1779"/>
      <c r="F490" s="1779"/>
      <c r="G490" s="1779"/>
      <c r="H490" s="1779"/>
      <c r="I490" s="1779"/>
      <c r="J490" s="1779"/>
      <c r="K490" s="1780"/>
      <c r="L490" s="1781"/>
      <c r="M490" s="1779"/>
      <c r="N490" s="1779"/>
      <c r="O490" s="1779"/>
      <c r="P490" s="1816"/>
      <c r="Q490" s="1779"/>
      <c r="R490" s="1779"/>
      <c r="S490" s="1779"/>
      <c r="T490" s="1779"/>
      <c r="U490" s="1779"/>
      <c r="V490" s="1779"/>
      <c r="W490" s="1779"/>
      <c r="X490" s="1779"/>
      <c r="Y490" s="1779"/>
      <c r="Z490" s="1779"/>
      <c r="AA490" s="1779"/>
      <c r="AB490" s="1779"/>
      <c r="AC490" s="1779"/>
    </row>
    <row r="491" spans="1:29">
      <c r="A491" s="1779"/>
      <c r="B491" s="1779"/>
      <c r="C491" s="1779"/>
      <c r="D491" s="1779"/>
      <c r="E491" s="1779"/>
      <c r="F491" s="1779"/>
      <c r="G491" s="1779"/>
      <c r="H491" s="1779"/>
      <c r="I491" s="1779"/>
      <c r="J491" s="1779"/>
      <c r="K491" s="1780"/>
      <c r="L491" s="1781"/>
      <c r="M491" s="1779"/>
      <c r="N491" s="1779"/>
      <c r="O491" s="1779"/>
      <c r="P491" s="1816"/>
      <c r="Q491" s="1779"/>
      <c r="R491" s="1779"/>
      <c r="S491" s="1779"/>
      <c r="T491" s="1779"/>
      <c r="U491" s="1779"/>
      <c r="V491" s="1779"/>
      <c r="W491" s="1779"/>
      <c r="X491" s="1779"/>
      <c r="Y491" s="1779"/>
      <c r="Z491" s="1779"/>
      <c r="AA491" s="1779"/>
      <c r="AB491" s="1779"/>
      <c r="AC491" s="1779"/>
    </row>
    <row r="492" spans="1:29">
      <c r="A492" s="1779"/>
      <c r="B492" s="1779"/>
      <c r="C492" s="1779"/>
      <c r="D492" s="1779"/>
      <c r="E492" s="1779"/>
      <c r="F492" s="1779"/>
      <c r="G492" s="1779"/>
      <c r="H492" s="1779"/>
      <c r="I492" s="1779"/>
      <c r="J492" s="1779"/>
      <c r="K492" s="1780"/>
      <c r="L492" s="1781"/>
      <c r="M492" s="1779"/>
      <c r="N492" s="1779"/>
      <c r="O492" s="1779"/>
      <c r="P492" s="1816"/>
      <c r="Q492" s="1779"/>
      <c r="R492" s="1779"/>
      <c r="S492" s="1779"/>
      <c r="T492" s="1779"/>
      <c r="U492" s="1779"/>
      <c r="V492" s="1779"/>
      <c r="W492" s="1779"/>
      <c r="X492" s="1779"/>
      <c r="Y492" s="1779"/>
      <c r="Z492" s="1779"/>
      <c r="AA492" s="1779"/>
      <c r="AB492" s="1779"/>
      <c r="AC492" s="1779"/>
    </row>
    <row r="493" spans="1:29">
      <c r="A493" s="1779"/>
      <c r="B493" s="1779"/>
      <c r="C493" s="1779"/>
      <c r="D493" s="1779"/>
      <c r="E493" s="1779"/>
      <c r="F493" s="1779"/>
      <c r="G493" s="1779"/>
      <c r="H493" s="1779"/>
      <c r="I493" s="1779"/>
      <c r="J493" s="1779"/>
      <c r="K493" s="1780"/>
      <c r="L493" s="1781"/>
      <c r="M493" s="1779"/>
      <c r="N493" s="1779"/>
      <c r="O493" s="1779"/>
      <c r="P493" s="1816"/>
      <c r="Q493" s="1779"/>
      <c r="R493" s="1779"/>
      <c r="S493" s="1779"/>
      <c r="T493" s="1779"/>
      <c r="U493" s="1779"/>
      <c r="V493" s="1779"/>
      <c r="W493" s="1779"/>
      <c r="X493" s="1779"/>
      <c r="Y493" s="1779"/>
      <c r="Z493" s="1779"/>
      <c r="AA493" s="1779"/>
      <c r="AB493" s="1779"/>
      <c r="AC493" s="1779"/>
    </row>
    <row r="494" spans="1:29">
      <c r="A494" s="1779"/>
      <c r="B494" s="1779"/>
      <c r="C494" s="1779"/>
      <c r="D494" s="1779"/>
      <c r="E494" s="1779"/>
      <c r="F494" s="1779"/>
      <c r="G494" s="1779"/>
      <c r="H494" s="1779"/>
      <c r="I494" s="1779"/>
      <c r="J494" s="1779"/>
      <c r="K494" s="1780"/>
      <c r="L494" s="1781"/>
      <c r="M494" s="1779"/>
      <c r="N494" s="1779"/>
      <c r="O494" s="1779"/>
      <c r="P494" s="1816"/>
      <c r="Q494" s="1779"/>
      <c r="R494" s="1779"/>
      <c r="S494" s="1779"/>
      <c r="T494" s="1779"/>
      <c r="U494" s="1779"/>
      <c r="V494" s="1779"/>
      <c r="W494" s="1779"/>
      <c r="X494" s="1779"/>
      <c r="Y494" s="1779"/>
      <c r="Z494" s="1779"/>
      <c r="AA494" s="1779"/>
      <c r="AB494" s="1779"/>
      <c r="AC494" s="1779"/>
    </row>
    <row r="495" spans="1:29">
      <c r="A495" s="1779"/>
      <c r="B495" s="1779"/>
      <c r="C495" s="1779"/>
      <c r="D495" s="1779"/>
      <c r="E495" s="1779"/>
      <c r="F495" s="1779"/>
      <c r="G495" s="1779"/>
      <c r="H495" s="1779"/>
      <c r="I495" s="1779"/>
      <c r="J495" s="1779"/>
      <c r="K495" s="1780"/>
      <c r="L495" s="1781"/>
      <c r="M495" s="1779"/>
      <c r="N495" s="1779"/>
      <c r="O495" s="1779"/>
      <c r="P495" s="1816"/>
      <c r="Q495" s="1779"/>
      <c r="R495" s="1779"/>
      <c r="S495" s="1779"/>
      <c r="T495" s="1779"/>
      <c r="U495" s="1779"/>
      <c r="V495" s="1779"/>
      <c r="W495" s="1779"/>
      <c r="X495" s="1779"/>
      <c r="Y495" s="1779"/>
      <c r="Z495" s="1779"/>
      <c r="AA495" s="1779"/>
      <c r="AB495" s="1779"/>
      <c r="AC495" s="1779"/>
    </row>
    <row r="496" spans="1:29">
      <c r="A496" s="1779"/>
      <c r="B496" s="1779"/>
      <c r="C496" s="1779"/>
      <c r="D496" s="1779"/>
      <c r="E496" s="1779"/>
      <c r="F496" s="1779"/>
      <c r="G496" s="1779"/>
      <c r="H496" s="1779"/>
      <c r="I496" s="1779"/>
      <c r="J496" s="1779"/>
      <c r="K496" s="1780"/>
      <c r="L496" s="1781"/>
      <c r="M496" s="1779"/>
      <c r="N496" s="1779"/>
      <c r="O496" s="1779"/>
      <c r="P496" s="1816"/>
      <c r="Q496" s="1779"/>
      <c r="R496" s="1779"/>
      <c r="S496" s="1779"/>
      <c r="T496" s="1779"/>
      <c r="U496" s="1779"/>
      <c r="V496" s="1779"/>
      <c r="W496" s="1779"/>
      <c r="X496" s="1779"/>
      <c r="Y496" s="1779"/>
      <c r="Z496" s="1779"/>
      <c r="AA496" s="1779"/>
      <c r="AB496" s="1779"/>
      <c r="AC496" s="1779"/>
    </row>
    <row r="497" spans="1:29">
      <c r="A497" s="1779"/>
      <c r="B497" s="1779"/>
      <c r="C497" s="1779"/>
      <c r="D497" s="1779"/>
      <c r="E497" s="1779"/>
      <c r="F497" s="1779"/>
      <c r="G497" s="1779"/>
      <c r="H497" s="1779"/>
      <c r="I497" s="1779"/>
      <c r="J497" s="1779"/>
      <c r="K497" s="1780"/>
      <c r="L497" s="1781"/>
      <c r="M497" s="1779"/>
      <c r="N497" s="1779"/>
      <c r="O497" s="1779"/>
      <c r="P497" s="1816"/>
      <c r="Q497" s="1779"/>
      <c r="R497" s="1779"/>
      <c r="S497" s="1779"/>
      <c r="T497" s="1779"/>
      <c r="U497" s="1779"/>
      <c r="V497" s="1779"/>
      <c r="W497" s="1779"/>
      <c r="X497" s="1779"/>
      <c r="Y497" s="1779"/>
      <c r="Z497" s="1779"/>
      <c r="AA497" s="1779"/>
      <c r="AB497" s="1779"/>
      <c r="AC497" s="1779"/>
    </row>
    <row r="498" spans="1:29">
      <c r="A498" s="1779"/>
      <c r="B498" s="1779"/>
      <c r="C498" s="1779"/>
      <c r="D498" s="1779"/>
      <c r="E498" s="1779"/>
      <c r="F498" s="1779"/>
      <c r="G498" s="1779"/>
      <c r="H498" s="1779"/>
      <c r="I498" s="1779"/>
      <c r="J498" s="1779"/>
      <c r="K498" s="1780"/>
      <c r="L498" s="1781"/>
      <c r="M498" s="1779"/>
      <c r="N498" s="1779"/>
      <c r="O498" s="1779"/>
      <c r="P498" s="1816"/>
      <c r="Q498" s="1779"/>
      <c r="R498" s="1779"/>
      <c r="S498" s="1779"/>
      <c r="T498" s="1779"/>
      <c r="U498" s="1779"/>
      <c r="V498" s="1779"/>
      <c r="W498" s="1779"/>
      <c r="X498" s="1779"/>
      <c r="Y498" s="1779"/>
      <c r="Z498" s="1779"/>
      <c r="AA498" s="1779"/>
      <c r="AB498" s="1779"/>
      <c r="AC498" s="1779"/>
    </row>
    <row r="499" spans="1:29">
      <c r="A499" s="1779"/>
      <c r="B499" s="1779"/>
      <c r="C499" s="1779"/>
      <c r="D499" s="1779"/>
      <c r="E499" s="1779"/>
      <c r="F499" s="1779"/>
      <c r="G499" s="1779"/>
      <c r="H499" s="1779"/>
      <c r="I499" s="1779"/>
      <c r="J499" s="1779"/>
      <c r="K499" s="1780"/>
      <c r="L499" s="1781"/>
      <c r="M499" s="1779"/>
      <c r="N499" s="1779"/>
      <c r="O499" s="1779"/>
      <c r="P499" s="1816"/>
      <c r="Q499" s="1779"/>
      <c r="R499" s="1779"/>
      <c r="S499" s="1779"/>
      <c r="T499" s="1779"/>
      <c r="U499" s="1779"/>
      <c r="V499" s="1779"/>
      <c r="W499" s="1779"/>
      <c r="X499" s="1779"/>
      <c r="Y499" s="1779"/>
      <c r="Z499" s="1779"/>
      <c r="AA499" s="1779"/>
      <c r="AB499" s="1779"/>
      <c r="AC499" s="1779"/>
    </row>
    <row r="500" spans="1:29">
      <c r="A500" s="1779"/>
      <c r="B500" s="1779"/>
      <c r="C500" s="1779"/>
      <c r="D500" s="1779"/>
      <c r="E500" s="1779"/>
      <c r="F500" s="1779"/>
      <c r="G500" s="1779"/>
      <c r="H500" s="1779"/>
      <c r="I500" s="1779"/>
      <c r="J500" s="1779"/>
      <c r="K500" s="1780"/>
      <c r="L500" s="1781"/>
      <c r="M500" s="1779"/>
      <c r="N500" s="1779"/>
      <c r="O500" s="1779"/>
      <c r="P500" s="1816"/>
      <c r="Q500" s="1779"/>
      <c r="R500" s="1779"/>
      <c r="S500" s="1779"/>
      <c r="T500" s="1779"/>
      <c r="U500" s="1779"/>
      <c r="V500" s="1779"/>
      <c r="W500" s="1779"/>
      <c r="X500" s="1779"/>
      <c r="Y500" s="1779"/>
      <c r="Z500" s="1779"/>
      <c r="AA500" s="1779"/>
      <c r="AB500" s="1779"/>
      <c r="AC500" s="1779"/>
    </row>
    <row r="501" spans="1:29">
      <c r="A501" s="1779"/>
      <c r="B501" s="1779"/>
      <c r="C501" s="1779"/>
      <c r="D501" s="1779"/>
      <c r="E501" s="1779"/>
      <c r="F501" s="1779"/>
      <c r="G501" s="1779"/>
      <c r="H501" s="1779"/>
      <c r="I501" s="1779"/>
      <c r="J501" s="1779"/>
      <c r="K501" s="1780"/>
      <c r="L501" s="1781"/>
      <c r="M501" s="1779"/>
      <c r="N501" s="1779"/>
      <c r="O501" s="1779"/>
      <c r="P501" s="1816"/>
      <c r="Q501" s="1779"/>
      <c r="R501" s="1779"/>
      <c r="S501" s="1779"/>
      <c r="T501" s="1779"/>
      <c r="U501" s="1779"/>
      <c r="V501" s="1779"/>
      <c r="W501" s="1779"/>
      <c r="X501" s="1779"/>
      <c r="Y501" s="1779"/>
      <c r="Z501" s="1779"/>
      <c r="AA501" s="1779"/>
      <c r="AB501" s="1779"/>
      <c r="AC501" s="1779"/>
    </row>
    <row r="502" spans="1:29">
      <c r="A502" s="1779"/>
      <c r="B502" s="1779"/>
      <c r="C502" s="1779"/>
      <c r="D502" s="1779"/>
      <c r="E502" s="1779"/>
      <c r="F502" s="1779"/>
      <c r="G502" s="1779"/>
      <c r="H502" s="1779"/>
      <c r="I502" s="1779"/>
      <c r="J502" s="1779"/>
      <c r="K502" s="1780"/>
      <c r="L502" s="1781"/>
      <c r="M502" s="1779"/>
      <c r="N502" s="1779"/>
      <c r="O502" s="1779"/>
      <c r="P502" s="1816"/>
      <c r="Q502" s="1779"/>
      <c r="R502" s="1779"/>
      <c r="S502" s="1779"/>
      <c r="T502" s="1779"/>
      <c r="U502" s="1779"/>
      <c r="V502" s="1779"/>
      <c r="W502" s="1779"/>
      <c r="X502" s="1779"/>
      <c r="Y502" s="1779"/>
      <c r="Z502" s="1779"/>
      <c r="AA502" s="1779"/>
      <c r="AB502" s="1779"/>
      <c r="AC502" s="1779"/>
    </row>
    <row r="503" spans="1:29">
      <c r="A503" s="1779"/>
      <c r="B503" s="1779"/>
      <c r="C503" s="1779"/>
      <c r="D503" s="1779"/>
      <c r="E503" s="1779"/>
      <c r="F503" s="1779"/>
      <c r="G503" s="1779"/>
      <c r="H503" s="1779"/>
      <c r="I503" s="1779"/>
      <c r="J503" s="1779"/>
      <c r="K503" s="1780"/>
      <c r="L503" s="1781"/>
      <c r="M503" s="1779"/>
      <c r="N503" s="1779"/>
      <c r="O503" s="1779"/>
      <c r="P503" s="1816"/>
      <c r="Q503" s="1779"/>
      <c r="R503" s="1779"/>
      <c r="S503" s="1779"/>
      <c r="T503" s="1779"/>
      <c r="U503" s="1779"/>
      <c r="V503" s="1779"/>
      <c r="W503" s="1779"/>
      <c r="X503" s="1779"/>
      <c r="Y503" s="1779"/>
      <c r="Z503" s="1779"/>
      <c r="AA503" s="1779"/>
      <c r="AB503" s="1779"/>
      <c r="AC503" s="1779"/>
    </row>
    <row r="504" spans="1:29">
      <c r="A504" s="1779"/>
      <c r="B504" s="1779"/>
      <c r="C504" s="1779"/>
      <c r="D504" s="1779"/>
      <c r="E504" s="1779"/>
      <c r="F504" s="1779"/>
      <c r="G504" s="1779"/>
      <c r="H504" s="1779"/>
      <c r="I504" s="1779"/>
      <c r="J504" s="1779"/>
      <c r="K504" s="1780"/>
      <c r="L504" s="1781"/>
      <c r="M504" s="1779"/>
      <c r="N504" s="1779"/>
      <c r="O504" s="1779"/>
      <c r="P504" s="1816"/>
      <c r="Q504" s="1779"/>
      <c r="R504" s="1779"/>
      <c r="S504" s="1779"/>
      <c r="T504" s="1779"/>
      <c r="U504" s="1779"/>
      <c r="V504" s="1779"/>
      <c r="W504" s="1779"/>
      <c r="X504" s="1779"/>
      <c r="Y504" s="1779"/>
      <c r="Z504" s="1779"/>
      <c r="AA504" s="1779"/>
      <c r="AB504" s="1779"/>
      <c r="AC504" s="1779"/>
    </row>
    <row r="505" spans="1:29">
      <c r="A505" s="1779"/>
      <c r="B505" s="1779"/>
      <c r="C505" s="1779"/>
      <c r="D505" s="1779"/>
      <c r="E505" s="1779"/>
      <c r="F505" s="1779"/>
      <c r="G505" s="1779"/>
      <c r="H505" s="1779"/>
      <c r="I505" s="1779"/>
      <c r="J505" s="1779"/>
      <c r="K505" s="1780"/>
      <c r="L505" s="1781"/>
      <c r="M505" s="1779"/>
      <c r="N505" s="1779"/>
      <c r="O505" s="1779"/>
      <c r="P505" s="1816"/>
      <c r="Q505" s="1779"/>
      <c r="R505" s="1779"/>
      <c r="S505" s="1779"/>
      <c r="T505" s="1779"/>
      <c r="U505" s="1779"/>
      <c r="V505" s="1779"/>
      <c r="W505" s="1779"/>
      <c r="X505" s="1779"/>
      <c r="Y505" s="1779"/>
      <c r="Z505" s="1779"/>
      <c r="AA505" s="1779"/>
      <c r="AB505" s="1779"/>
      <c r="AC505" s="1779"/>
    </row>
    <row r="506" spans="1:29">
      <c r="A506" s="1779"/>
      <c r="B506" s="1779"/>
      <c r="C506" s="1779"/>
      <c r="D506" s="1779"/>
      <c r="E506" s="1779"/>
      <c r="F506" s="1779"/>
      <c r="G506" s="1779"/>
      <c r="H506" s="1779"/>
      <c r="I506" s="1779"/>
      <c r="J506" s="1779"/>
      <c r="K506" s="1780"/>
      <c r="L506" s="1781"/>
      <c r="M506" s="1779"/>
      <c r="N506" s="1779"/>
      <c r="O506" s="1779"/>
      <c r="P506" s="1816"/>
      <c r="Q506" s="1779"/>
      <c r="R506" s="1779"/>
      <c r="S506" s="1779"/>
      <c r="T506" s="1779"/>
      <c r="U506" s="1779"/>
      <c r="V506" s="1779"/>
      <c r="W506" s="1779"/>
      <c r="X506" s="1779"/>
      <c r="Y506" s="1779"/>
      <c r="Z506" s="1779"/>
      <c r="AA506" s="1779"/>
      <c r="AB506" s="1779"/>
      <c r="AC506" s="1779"/>
    </row>
    <row r="507" spans="1:29">
      <c r="A507" s="1779"/>
      <c r="B507" s="1779"/>
      <c r="C507" s="1779"/>
      <c r="D507" s="1779"/>
      <c r="E507" s="1779"/>
      <c r="F507" s="1779"/>
      <c r="G507" s="1779"/>
      <c r="H507" s="1779"/>
      <c r="I507" s="1779"/>
      <c r="J507" s="1779"/>
      <c r="K507" s="1780"/>
      <c r="L507" s="1781"/>
      <c r="M507" s="1779"/>
      <c r="N507" s="1779"/>
      <c r="O507" s="1779"/>
      <c r="P507" s="1816"/>
      <c r="Q507" s="1779"/>
      <c r="R507" s="1779"/>
      <c r="S507" s="1779"/>
      <c r="T507" s="1779"/>
      <c r="U507" s="1779"/>
      <c r="V507" s="1779"/>
      <c r="W507" s="1779"/>
      <c r="X507" s="1779"/>
      <c r="Y507" s="1779"/>
      <c r="Z507" s="1779"/>
      <c r="AA507" s="1779"/>
      <c r="AB507" s="1779"/>
      <c r="AC507" s="1779"/>
    </row>
    <row r="508" spans="1:29">
      <c r="A508" s="1779"/>
      <c r="B508" s="1779"/>
      <c r="C508" s="1779"/>
      <c r="D508" s="1779"/>
      <c r="E508" s="1779"/>
      <c r="F508" s="1779"/>
      <c r="G508" s="1779"/>
      <c r="H508" s="1779"/>
      <c r="I508" s="1779"/>
      <c r="J508" s="1779"/>
      <c r="K508" s="1780"/>
      <c r="L508" s="1781"/>
      <c r="M508" s="1779"/>
      <c r="N508" s="1779"/>
      <c r="O508" s="1779"/>
      <c r="P508" s="1816"/>
      <c r="Q508" s="1779"/>
      <c r="R508" s="1779"/>
      <c r="S508" s="1779"/>
      <c r="T508" s="1779"/>
      <c r="U508" s="1779"/>
      <c r="V508" s="1779"/>
      <c r="W508" s="1779"/>
      <c r="X508" s="1779"/>
      <c r="Y508" s="1779"/>
      <c r="Z508" s="1779"/>
      <c r="AA508" s="1779"/>
      <c r="AB508" s="1779"/>
      <c r="AC508" s="1779"/>
    </row>
    <row r="509" spans="1:29">
      <c r="A509" s="1779"/>
      <c r="B509" s="1779"/>
      <c r="C509" s="1779"/>
      <c r="D509" s="1779"/>
      <c r="E509" s="1779"/>
      <c r="F509" s="1779"/>
      <c r="G509" s="1779"/>
      <c r="H509" s="1779"/>
      <c r="I509" s="1779"/>
      <c r="J509" s="1779"/>
      <c r="K509" s="1780"/>
      <c r="L509" s="1781"/>
      <c r="M509" s="1779"/>
      <c r="N509" s="1779"/>
      <c r="O509" s="1779"/>
      <c r="P509" s="1816"/>
      <c r="Q509" s="1779"/>
      <c r="R509" s="1779"/>
      <c r="S509" s="1779"/>
      <c r="T509" s="1779"/>
      <c r="U509" s="1779"/>
      <c r="V509" s="1779"/>
      <c r="W509" s="1779"/>
      <c r="X509" s="1779"/>
      <c r="Y509" s="1779"/>
      <c r="Z509" s="1779"/>
      <c r="AA509" s="1779"/>
      <c r="AB509" s="1779"/>
      <c r="AC509" s="1779"/>
    </row>
    <row r="510" spans="1:29">
      <c r="A510" s="1779"/>
      <c r="B510" s="1779"/>
      <c r="C510" s="1779"/>
      <c r="D510" s="1779"/>
      <c r="E510" s="1779"/>
      <c r="F510" s="1779"/>
      <c r="G510" s="1779"/>
      <c r="H510" s="1779"/>
      <c r="I510" s="1779"/>
      <c r="J510" s="1779"/>
      <c r="K510" s="1780"/>
      <c r="L510" s="1781"/>
      <c r="M510" s="1779"/>
      <c r="N510" s="1779"/>
      <c r="O510" s="1779"/>
      <c r="P510" s="1816"/>
      <c r="Q510" s="1779"/>
      <c r="R510" s="1779"/>
      <c r="S510" s="1779"/>
      <c r="T510" s="1779"/>
      <c r="U510" s="1779"/>
      <c r="V510" s="1779"/>
      <c r="W510" s="1779"/>
      <c r="X510" s="1779"/>
      <c r="Y510" s="1779"/>
      <c r="Z510" s="1779"/>
      <c r="AA510" s="1779"/>
      <c r="AB510" s="1779"/>
      <c r="AC510" s="1779"/>
    </row>
    <row r="511" spans="1:29">
      <c r="A511" s="1779"/>
      <c r="B511" s="1779"/>
      <c r="C511" s="1779"/>
      <c r="D511" s="1779"/>
      <c r="E511" s="1779"/>
      <c r="F511" s="1779"/>
      <c r="G511" s="1779"/>
      <c r="H511" s="1779"/>
      <c r="I511" s="1779"/>
      <c r="J511" s="1779"/>
      <c r="K511" s="1780"/>
      <c r="L511" s="1781"/>
      <c r="M511" s="1779"/>
      <c r="N511" s="1779"/>
      <c r="O511" s="1779"/>
      <c r="P511" s="1816"/>
      <c r="Q511" s="1779"/>
      <c r="R511" s="1779"/>
      <c r="S511" s="1779"/>
      <c r="T511" s="1779"/>
      <c r="U511" s="1779"/>
      <c r="V511" s="1779"/>
      <c r="W511" s="1779"/>
      <c r="X511" s="1779"/>
      <c r="Y511" s="1779"/>
      <c r="Z511" s="1779"/>
      <c r="AA511" s="1779"/>
      <c r="AB511" s="1779"/>
      <c r="AC511" s="1779"/>
    </row>
    <row r="512" spans="1:29">
      <c r="A512" s="1779"/>
      <c r="B512" s="1779"/>
      <c r="C512" s="1779"/>
      <c r="D512" s="1779"/>
      <c r="E512" s="1779"/>
      <c r="F512" s="1779"/>
      <c r="G512" s="1779"/>
      <c r="H512" s="1779"/>
      <c r="I512" s="1779"/>
      <c r="J512" s="1779"/>
      <c r="K512" s="1780"/>
      <c r="L512" s="1781"/>
      <c r="M512" s="1779"/>
      <c r="N512" s="1779"/>
      <c r="O512" s="1779"/>
      <c r="P512" s="1816"/>
      <c r="Q512" s="1779"/>
      <c r="R512" s="1779"/>
      <c r="S512" s="1779"/>
      <c r="T512" s="1779"/>
      <c r="U512" s="1779"/>
      <c r="V512" s="1779"/>
      <c r="W512" s="1779"/>
      <c r="X512" s="1779"/>
      <c r="Y512" s="1779"/>
      <c r="Z512" s="1779"/>
      <c r="AA512" s="1779"/>
      <c r="AB512" s="1779"/>
      <c r="AC512" s="1779"/>
    </row>
    <row r="513" spans="1:29">
      <c r="A513" s="1779"/>
      <c r="B513" s="1779"/>
      <c r="C513" s="1779"/>
      <c r="D513" s="1779"/>
      <c r="E513" s="1779"/>
      <c r="F513" s="1779"/>
      <c r="G513" s="1779"/>
      <c r="H513" s="1779"/>
      <c r="I513" s="1779"/>
      <c r="J513" s="1779"/>
      <c r="K513" s="1780"/>
      <c r="L513" s="1781"/>
      <c r="M513" s="1779"/>
      <c r="N513" s="1779"/>
      <c r="O513" s="1779"/>
      <c r="P513" s="1816"/>
      <c r="Q513" s="1779"/>
      <c r="R513" s="1779"/>
      <c r="S513" s="1779"/>
      <c r="T513" s="1779"/>
      <c r="U513" s="1779"/>
      <c r="V513" s="1779"/>
      <c r="W513" s="1779"/>
      <c r="X513" s="1779"/>
      <c r="Y513" s="1779"/>
      <c r="Z513" s="1779"/>
      <c r="AA513" s="1779"/>
      <c r="AB513" s="1779"/>
      <c r="AC513" s="1779"/>
    </row>
    <row r="514" spans="1:29">
      <c r="A514" s="1779"/>
      <c r="B514" s="1779"/>
      <c r="C514" s="1779"/>
      <c r="D514" s="1779"/>
      <c r="E514" s="1779"/>
      <c r="F514" s="1779"/>
      <c r="G514" s="1779"/>
      <c r="H514" s="1779"/>
      <c r="I514" s="1779"/>
      <c r="J514" s="1779"/>
      <c r="K514" s="1780"/>
      <c r="L514" s="1781"/>
      <c r="M514" s="1779"/>
      <c r="N514" s="1779"/>
      <c r="O514" s="1779"/>
      <c r="P514" s="1816"/>
      <c r="Q514" s="1779"/>
      <c r="R514" s="1779"/>
      <c r="S514" s="1779"/>
      <c r="T514" s="1779"/>
      <c r="U514" s="1779"/>
      <c r="V514" s="1779"/>
      <c r="W514" s="1779"/>
      <c r="X514" s="1779"/>
      <c r="Y514" s="1779"/>
      <c r="Z514" s="1779"/>
      <c r="AA514" s="1779"/>
      <c r="AB514" s="1779"/>
      <c r="AC514" s="1779"/>
    </row>
    <row r="515" spans="1:29">
      <c r="A515" s="1779"/>
      <c r="B515" s="1779"/>
      <c r="C515" s="1779"/>
      <c r="D515" s="1779"/>
      <c r="E515" s="1779"/>
      <c r="F515" s="1779"/>
      <c r="G515" s="1779"/>
      <c r="H515" s="1779"/>
      <c r="I515" s="1779"/>
      <c r="J515" s="1779"/>
      <c r="K515" s="1780"/>
      <c r="L515" s="1781"/>
      <c r="M515" s="1779"/>
      <c r="N515" s="1779"/>
      <c r="O515" s="1779"/>
      <c r="P515" s="1816"/>
      <c r="Q515" s="1779"/>
      <c r="R515" s="1779"/>
      <c r="S515" s="1779"/>
      <c r="T515" s="1779"/>
      <c r="U515" s="1779"/>
      <c r="V515" s="1779"/>
      <c r="W515" s="1779"/>
      <c r="X515" s="1779"/>
      <c r="Y515" s="1779"/>
      <c r="Z515" s="1779"/>
      <c r="AA515" s="1779"/>
      <c r="AB515" s="1779"/>
      <c r="AC515" s="1779"/>
    </row>
    <row r="516" spans="1:29">
      <c r="A516" s="1779"/>
      <c r="B516" s="1779"/>
      <c r="C516" s="1779"/>
      <c r="D516" s="1779"/>
      <c r="E516" s="1779"/>
      <c r="F516" s="1779"/>
      <c r="G516" s="1779"/>
      <c r="H516" s="1779"/>
      <c r="I516" s="1779"/>
      <c r="J516" s="1779"/>
      <c r="K516" s="1780"/>
      <c r="L516" s="1781"/>
      <c r="M516" s="1779"/>
      <c r="N516" s="1779"/>
      <c r="O516" s="1779"/>
      <c r="P516" s="1816"/>
      <c r="Q516" s="1779"/>
      <c r="R516" s="1779"/>
      <c r="S516" s="1779"/>
      <c r="T516" s="1779"/>
      <c r="U516" s="1779"/>
      <c r="V516" s="1779"/>
      <c r="W516" s="1779"/>
      <c r="X516" s="1779"/>
      <c r="Y516" s="1779"/>
      <c r="Z516" s="1779"/>
      <c r="AA516" s="1779"/>
      <c r="AB516" s="1779"/>
      <c r="AC516" s="1779"/>
    </row>
    <row r="517" spans="1:29">
      <c r="A517" s="1779"/>
      <c r="B517" s="1779"/>
      <c r="C517" s="1779"/>
      <c r="D517" s="1779"/>
      <c r="E517" s="1779"/>
      <c r="F517" s="1779"/>
      <c r="G517" s="1779"/>
      <c r="H517" s="1779"/>
      <c r="I517" s="1779"/>
      <c r="J517" s="1779"/>
      <c r="K517" s="1780"/>
      <c r="L517" s="1781"/>
      <c r="M517" s="1779"/>
      <c r="N517" s="1779"/>
      <c r="O517" s="1779"/>
      <c r="P517" s="1816"/>
      <c r="Q517" s="1779"/>
      <c r="R517" s="1779"/>
      <c r="S517" s="1779"/>
      <c r="T517" s="1779"/>
      <c r="U517" s="1779"/>
      <c r="V517" s="1779"/>
      <c r="W517" s="1779"/>
      <c r="X517" s="1779"/>
      <c r="Y517" s="1779"/>
      <c r="Z517" s="1779"/>
      <c r="AA517" s="1779"/>
      <c r="AB517" s="1779"/>
      <c r="AC517" s="1779"/>
    </row>
    <row r="518" spans="1:29">
      <c r="A518" s="1779"/>
      <c r="B518" s="1779"/>
      <c r="C518" s="1779"/>
      <c r="D518" s="1779"/>
      <c r="E518" s="1779"/>
      <c r="F518" s="1779"/>
      <c r="G518" s="1779"/>
      <c r="H518" s="1779"/>
      <c r="I518" s="1779"/>
      <c r="J518" s="1779"/>
      <c r="K518" s="1780"/>
      <c r="L518" s="1781"/>
      <c r="M518" s="1779"/>
      <c r="N518" s="1779"/>
      <c r="O518" s="1779"/>
      <c r="P518" s="1816"/>
      <c r="Q518" s="1779"/>
      <c r="R518" s="1779"/>
      <c r="S518" s="1779"/>
      <c r="T518" s="1779"/>
      <c r="U518" s="1779"/>
      <c r="V518" s="1779"/>
      <c r="W518" s="1779"/>
      <c r="X518" s="1779"/>
      <c r="Y518" s="1779"/>
      <c r="Z518" s="1779"/>
      <c r="AA518" s="1779"/>
      <c r="AB518" s="1779"/>
      <c r="AC518" s="1779"/>
    </row>
    <row r="519" spans="1:29">
      <c r="A519" s="1779"/>
      <c r="B519" s="1779"/>
      <c r="C519" s="1779"/>
      <c r="D519" s="1779"/>
      <c r="E519" s="1779"/>
      <c r="F519" s="1779"/>
      <c r="G519" s="1779"/>
      <c r="H519" s="1779"/>
      <c r="I519" s="1779"/>
      <c r="J519" s="1779"/>
      <c r="K519" s="1780"/>
      <c r="L519" s="1781"/>
      <c r="M519" s="1779"/>
      <c r="N519" s="1779"/>
      <c r="O519" s="1779"/>
      <c r="P519" s="1816"/>
      <c r="Q519" s="1779"/>
      <c r="R519" s="1779"/>
      <c r="S519" s="1779"/>
      <c r="T519" s="1779"/>
      <c r="U519" s="1779"/>
      <c r="V519" s="1779"/>
      <c r="W519" s="1779"/>
      <c r="X519" s="1779"/>
      <c r="Y519" s="1779"/>
      <c r="Z519" s="1779"/>
      <c r="AA519" s="1779"/>
      <c r="AB519" s="1779"/>
      <c r="AC519" s="1779"/>
    </row>
    <row r="520" spans="1:29">
      <c r="A520" s="1779"/>
      <c r="B520" s="1779"/>
      <c r="C520" s="1779"/>
      <c r="D520" s="1779"/>
      <c r="E520" s="1779"/>
      <c r="F520" s="1779"/>
      <c r="G520" s="1779"/>
      <c r="H520" s="1779"/>
      <c r="I520" s="1779"/>
      <c r="J520" s="1779"/>
      <c r="K520" s="1780"/>
      <c r="L520" s="1781"/>
      <c r="M520" s="1779"/>
      <c r="N520" s="1779"/>
      <c r="O520" s="1779"/>
      <c r="P520" s="1816"/>
      <c r="Q520" s="1779"/>
      <c r="R520" s="1779"/>
      <c r="S520" s="1779"/>
      <c r="T520" s="1779"/>
      <c r="U520" s="1779"/>
      <c r="V520" s="1779"/>
      <c r="W520" s="1779"/>
      <c r="X520" s="1779"/>
      <c r="Y520" s="1779"/>
      <c r="Z520" s="1779"/>
      <c r="AA520" s="1779"/>
      <c r="AB520" s="1779"/>
      <c r="AC520" s="1779"/>
    </row>
    <row r="521" spans="1:29">
      <c r="A521" s="1779"/>
      <c r="B521" s="1779"/>
      <c r="C521" s="1779"/>
      <c r="D521" s="1779"/>
      <c r="E521" s="1779"/>
      <c r="F521" s="1779"/>
      <c r="G521" s="1779"/>
      <c r="H521" s="1779"/>
      <c r="I521" s="1779"/>
      <c r="J521" s="1779"/>
      <c r="K521" s="1780"/>
      <c r="L521" s="1781"/>
      <c r="M521" s="1779"/>
      <c r="N521" s="1779"/>
      <c r="O521" s="1779"/>
      <c r="P521" s="1816"/>
      <c r="Q521" s="1779"/>
      <c r="R521" s="1779"/>
      <c r="S521" s="1779"/>
      <c r="T521" s="1779"/>
      <c r="U521" s="1779"/>
      <c r="V521" s="1779"/>
      <c r="W521" s="1779"/>
      <c r="X521" s="1779"/>
      <c r="Y521" s="1779"/>
      <c r="Z521" s="1779"/>
      <c r="AA521" s="1779"/>
      <c r="AB521" s="1779"/>
      <c r="AC521" s="1779"/>
    </row>
    <row r="522" spans="1:29">
      <c r="A522" s="1779"/>
      <c r="B522" s="1779"/>
      <c r="C522" s="1779"/>
      <c r="D522" s="1779"/>
      <c r="E522" s="1779"/>
      <c r="F522" s="1779"/>
      <c r="G522" s="1779"/>
      <c r="H522" s="1779"/>
      <c r="I522" s="1779"/>
      <c r="J522" s="1779"/>
      <c r="K522" s="1780"/>
      <c r="L522" s="1781"/>
      <c r="M522" s="1779"/>
      <c r="N522" s="1779"/>
      <c r="O522" s="1779"/>
      <c r="P522" s="1816"/>
      <c r="Q522" s="1779"/>
      <c r="R522" s="1779"/>
      <c r="S522" s="1779"/>
      <c r="T522" s="1779"/>
      <c r="U522" s="1779"/>
      <c r="V522" s="1779"/>
      <c r="W522" s="1779"/>
      <c r="X522" s="1779"/>
      <c r="Y522" s="1779"/>
      <c r="Z522" s="1779"/>
      <c r="AA522" s="1779"/>
      <c r="AB522" s="1779"/>
      <c r="AC522" s="1779"/>
    </row>
    <row r="523" spans="1:29">
      <c r="A523" s="1779"/>
      <c r="B523" s="1779"/>
      <c r="C523" s="1779"/>
      <c r="D523" s="1779"/>
      <c r="E523" s="1779"/>
      <c r="F523" s="1779"/>
      <c r="G523" s="1779"/>
      <c r="H523" s="1779"/>
      <c r="I523" s="1779"/>
      <c r="J523" s="1779"/>
      <c r="K523" s="1780"/>
      <c r="L523" s="1781"/>
      <c r="M523" s="1779"/>
      <c r="N523" s="1779"/>
      <c r="O523" s="1779"/>
      <c r="P523" s="1816"/>
      <c r="Q523" s="1779"/>
      <c r="R523" s="1779"/>
      <c r="S523" s="1779"/>
      <c r="T523" s="1779"/>
      <c r="U523" s="1779"/>
      <c r="V523" s="1779"/>
      <c r="W523" s="1779"/>
      <c r="X523" s="1779"/>
      <c r="Y523" s="1779"/>
      <c r="Z523" s="1779"/>
      <c r="AA523" s="1779"/>
      <c r="AB523" s="1779"/>
      <c r="AC523" s="1779"/>
    </row>
    <row r="524" spans="1:29">
      <c r="A524" s="1779"/>
      <c r="B524" s="1779"/>
      <c r="C524" s="1779"/>
      <c r="D524" s="1779"/>
      <c r="E524" s="1779"/>
      <c r="F524" s="1779"/>
      <c r="G524" s="1779"/>
      <c r="H524" s="1779"/>
      <c r="I524" s="1779"/>
      <c r="J524" s="1779"/>
      <c r="K524" s="1780"/>
      <c r="L524" s="1781"/>
      <c r="M524" s="1779"/>
      <c r="N524" s="1779"/>
      <c r="O524" s="1779"/>
      <c r="P524" s="1816"/>
      <c r="Q524" s="1779"/>
      <c r="R524" s="1779"/>
      <c r="S524" s="1779"/>
      <c r="T524" s="1779"/>
      <c r="U524" s="1779"/>
      <c r="V524" s="1779"/>
      <c r="W524" s="1779"/>
      <c r="X524" s="1779"/>
      <c r="Y524" s="1779"/>
      <c r="Z524" s="1779"/>
      <c r="AA524" s="1779"/>
      <c r="AB524" s="1779"/>
      <c r="AC524" s="1779"/>
    </row>
    <row r="525" spans="1:29">
      <c r="A525" s="1779"/>
      <c r="B525" s="1779"/>
      <c r="C525" s="1779"/>
      <c r="D525" s="1779"/>
      <c r="E525" s="1779"/>
      <c r="F525" s="1779"/>
      <c r="G525" s="1779"/>
      <c r="H525" s="1779"/>
      <c r="I525" s="1779"/>
      <c r="J525" s="1779"/>
      <c r="K525" s="1780"/>
      <c r="L525" s="1781"/>
      <c r="M525" s="1779"/>
      <c r="N525" s="1779"/>
      <c r="O525" s="1779"/>
      <c r="P525" s="1816"/>
      <c r="Q525" s="1779"/>
      <c r="R525" s="1779"/>
      <c r="S525" s="1779"/>
      <c r="T525" s="1779"/>
      <c r="U525" s="1779"/>
      <c r="V525" s="1779"/>
      <c r="W525" s="1779"/>
      <c r="X525" s="1779"/>
      <c r="Y525" s="1779"/>
      <c r="Z525" s="1779"/>
      <c r="AA525" s="1779"/>
      <c r="AB525" s="1779"/>
      <c r="AC525" s="1779"/>
    </row>
    <row r="526" spans="1:29">
      <c r="A526" s="1779"/>
      <c r="B526" s="1779"/>
      <c r="C526" s="1779"/>
      <c r="D526" s="1779"/>
      <c r="E526" s="1779"/>
      <c r="F526" s="1779"/>
      <c r="G526" s="1779"/>
      <c r="H526" s="1779"/>
      <c r="I526" s="1779"/>
      <c r="J526" s="1779"/>
      <c r="K526" s="1780"/>
      <c r="L526" s="1781"/>
      <c r="M526" s="1779"/>
      <c r="N526" s="1779"/>
      <c r="O526" s="1779"/>
      <c r="P526" s="1816"/>
      <c r="Q526" s="1779"/>
      <c r="R526" s="1779"/>
      <c r="S526" s="1779"/>
      <c r="T526" s="1779"/>
      <c r="U526" s="1779"/>
      <c r="V526" s="1779"/>
      <c r="W526" s="1779"/>
      <c r="X526" s="1779"/>
      <c r="Y526" s="1779"/>
      <c r="Z526" s="1779"/>
      <c r="AA526" s="1779"/>
      <c r="AB526" s="1779"/>
      <c r="AC526" s="1779"/>
    </row>
    <row r="527" spans="1:29">
      <c r="A527" s="1779"/>
      <c r="B527" s="1779"/>
      <c r="C527" s="1779"/>
      <c r="D527" s="1779"/>
      <c r="E527" s="1779"/>
      <c r="F527" s="1779"/>
      <c r="G527" s="1779"/>
      <c r="H527" s="1779"/>
      <c r="I527" s="1779"/>
      <c r="J527" s="1779"/>
      <c r="K527" s="1780"/>
      <c r="L527" s="1781"/>
      <c r="M527" s="1779"/>
      <c r="N527" s="1779"/>
      <c r="O527" s="1779"/>
      <c r="P527" s="1816"/>
      <c r="Q527" s="1779"/>
      <c r="R527" s="1779"/>
      <c r="S527" s="1779"/>
      <c r="T527" s="1779"/>
      <c r="U527" s="1779"/>
      <c r="V527" s="1779"/>
      <c r="W527" s="1779"/>
      <c r="X527" s="1779"/>
      <c r="Y527" s="1779"/>
      <c r="Z527" s="1779"/>
      <c r="AA527" s="1779"/>
      <c r="AB527" s="1779"/>
      <c r="AC527" s="1779"/>
    </row>
    <row r="528" spans="1:29">
      <c r="A528" s="1779"/>
      <c r="B528" s="1779"/>
      <c r="C528" s="1779"/>
      <c r="D528" s="1779"/>
      <c r="E528" s="1779"/>
      <c r="F528" s="1779"/>
      <c r="G528" s="1779"/>
      <c r="H528" s="1779"/>
      <c r="I528" s="1779"/>
      <c r="J528" s="1779"/>
      <c r="K528" s="1780"/>
      <c r="L528" s="1781"/>
      <c r="M528" s="1779"/>
      <c r="N528" s="1779"/>
      <c r="O528" s="1779"/>
      <c r="P528" s="1816"/>
      <c r="Q528" s="1779"/>
      <c r="R528" s="1779"/>
      <c r="S528" s="1779"/>
      <c r="T528" s="1779"/>
      <c r="U528" s="1779"/>
      <c r="V528" s="1779"/>
      <c r="W528" s="1779"/>
      <c r="X528" s="1779"/>
      <c r="Y528" s="1779"/>
      <c r="Z528" s="1779"/>
      <c r="AA528" s="1779"/>
      <c r="AB528" s="1779"/>
      <c r="AC528" s="1779"/>
    </row>
    <row r="529" spans="1:29">
      <c r="A529" s="1779"/>
      <c r="B529" s="1779"/>
      <c r="C529" s="1779"/>
      <c r="D529" s="1779"/>
      <c r="E529" s="1779"/>
      <c r="F529" s="1779"/>
      <c r="G529" s="1779"/>
      <c r="H529" s="1779"/>
      <c r="I529" s="1779"/>
      <c r="J529" s="1779"/>
      <c r="K529" s="1780"/>
      <c r="L529" s="1781"/>
      <c r="M529" s="1779"/>
      <c r="N529" s="1779"/>
      <c r="O529" s="1779"/>
      <c r="P529" s="1816"/>
      <c r="Q529" s="1779"/>
      <c r="R529" s="1779"/>
      <c r="S529" s="1779"/>
      <c r="T529" s="1779"/>
      <c r="U529" s="1779"/>
      <c r="V529" s="1779"/>
      <c r="W529" s="1779"/>
      <c r="X529" s="1779"/>
      <c r="Y529" s="1779"/>
      <c r="Z529" s="1779"/>
      <c r="AA529" s="1779"/>
      <c r="AB529" s="1779"/>
      <c r="AC529" s="1779"/>
    </row>
    <row r="530" spans="1:29">
      <c r="A530" s="1779"/>
      <c r="B530" s="1779"/>
      <c r="C530" s="1779"/>
      <c r="D530" s="1779"/>
      <c r="E530" s="1779"/>
      <c r="F530" s="1779"/>
      <c r="G530" s="1779"/>
      <c r="H530" s="1779"/>
      <c r="I530" s="1779"/>
      <c r="J530" s="1779"/>
      <c r="K530" s="1780"/>
      <c r="L530" s="1781"/>
      <c r="M530" s="1779"/>
      <c r="N530" s="1779"/>
      <c r="O530" s="1779"/>
      <c r="P530" s="1816"/>
      <c r="Q530" s="1779"/>
      <c r="R530" s="1779"/>
      <c r="S530" s="1779"/>
      <c r="T530" s="1779"/>
      <c r="U530" s="1779"/>
      <c r="V530" s="1779"/>
      <c r="W530" s="1779"/>
      <c r="X530" s="1779"/>
      <c r="Y530" s="1779"/>
      <c r="Z530" s="1779"/>
      <c r="AA530" s="1779"/>
      <c r="AB530" s="1779"/>
      <c r="AC530" s="1779"/>
    </row>
    <row r="531" spans="1:29">
      <c r="A531" s="1779"/>
      <c r="B531" s="1779"/>
      <c r="C531" s="1779"/>
      <c r="D531" s="1779"/>
      <c r="E531" s="1779"/>
      <c r="F531" s="1779"/>
      <c r="G531" s="1779"/>
      <c r="H531" s="1779"/>
      <c r="I531" s="1779"/>
      <c r="J531" s="1779"/>
      <c r="K531" s="1780"/>
      <c r="L531" s="1781"/>
      <c r="M531" s="1779"/>
      <c r="N531" s="1779"/>
      <c r="O531" s="1779"/>
      <c r="P531" s="1816"/>
      <c r="Q531" s="1779"/>
      <c r="R531" s="1779"/>
      <c r="S531" s="1779"/>
      <c r="T531" s="1779"/>
      <c r="U531" s="1779"/>
      <c r="V531" s="1779"/>
      <c r="W531" s="1779"/>
      <c r="X531" s="1779"/>
      <c r="Y531" s="1779"/>
      <c r="Z531" s="1779"/>
      <c r="AA531" s="1779"/>
      <c r="AB531" s="1779"/>
      <c r="AC531" s="1779"/>
    </row>
    <row r="532" spans="1:29">
      <c r="A532" s="1779"/>
      <c r="B532" s="1779"/>
      <c r="C532" s="1779"/>
      <c r="D532" s="1779"/>
      <c r="E532" s="1779"/>
      <c r="F532" s="1779"/>
      <c r="G532" s="1779"/>
      <c r="H532" s="1779"/>
      <c r="I532" s="1779"/>
      <c r="J532" s="1779"/>
      <c r="K532" s="1780"/>
      <c r="L532" s="1781"/>
      <c r="M532" s="1779"/>
      <c r="N532" s="1779"/>
      <c r="O532" s="1779"/>
      <c r="P532" s="1816"/>
      <c r="Q532" s="1779"/>
      <c r="R532" s="1779"/>
      <c r="S532" s="1779"/>
      <c r="T532" s="1779"/>
      <c r="U532" s="1779"/>
      <c r="V532" s="1779"/>
      <c r="W532" s="1779"/>
      <c r="X532" s="1779"/>
      <c r="Y532" s="1779"/>
      <c r="Z532" s="1779"/>
      <c r="AA532" s="1779"/>
      <c r="AB532" s="1779"/>
      <c r="AC532" s="1779"/>
    </row>
    <row r="533" spans="1:29">
      <c r="A533" s="1779"/>
      <c r="B533" s="1779"/>
      <c r="C533" s="1779"/>
      <c r="D533" s="1779"/>
      <c r="E533" s="1779"/>
      <c r="F533" s="1779"/>
      <c r="G533" s="1779"/>
      <c r="H533" s="1779"/>
      <c r="I533" s="1779"/>
      <c r="J533" s="1779"/>
      <c r="K533" s="1780"/>
      <c r="L533" s="1781"/>
      <c r="M533" s="1779"/>
      <c r="N533" s="1779"/>
      <c r="O533" s="1779"/>
      <c r="P533" s="1816"/>
      <c r="Q533" s="1779"/>
      <c r="R533" s="1779"/>
      <c r="S533" s="1779"/>
      <c r="T533" s="1779"/>
      <c r="U533" s="1779"/>
      <c r="V533" s="1779"/>
      <c r="W533" s="1779"/>
      <c r="X533" s="1779"/>
      <c r="Y533" s="1779"/>
      <c r="Z533" s="1779"/>
      <c r="AA533" s="1779"/>
      <c r="AB533" s="1779"/>
      <c r="AC533" s="1779"/>
    </row>
    <row r="534" spans="1:29">
      <c r="A534" s="1779"/>
      <c r="B534" s="1779"/>
      <c r="C534" s="1779"/>
      <c r="D534" s="1779"/>
      <c r="E534" s="1779"/>
      <c r="F534" s="1779"/>
      <c r="G534" s="1779"/>
      <c r="H534" s="1779"/>
      <c r="I534" s="1779"/>
      <c r="J534" s="1779"/>
      <c r="K534" s="1780"/>
      <c r="L534" s="1781"/>
      <c r="M534" s="1779"/>
      <c r="N534" s="1779"/>
      <c r="O534" s="1779"/>
      <c r="P534" s="1816"/>
      <c r="Q534" s="1779"/>
      <c r="R534" s="1779"/>
      <c r="S534" s="1779"/>
      <c r="T534" s="1779"/>
      <c r="U534" s="1779"/>
      <c r="V534" s="1779"/>
      <c r="W534" s="1779"/>
      <c r="X534" s="1779"/>
      <c r="Y534" s="1779"/>
      <c r="Z534" s="1779"/>
      <c r="AA534" s="1779"/>
      <c r="AB534" s="1779"/>
      <c r="AC534" s="1779"/>
    </row>
    <row r="535" spans="1:29">
      <c r="A535" s="1779"/>
      <c r="B535" s="1779"/>
      <c r="C535" s="1779"/>
      <c r="D535" s="1779"/>
      <c r="E535" s="1779"/>
      <c r="F535" s="1779"/>
      <c r="G535" s="1779"/>
      <c r="H535" s="1779"/>
      <c r="I535" s="1779"/>
      <c r="J535" s="1779"/>
      <c r="K535" s="1780"/>
      <c r="L535" s="1781"/>
      <c r="M535" s="1779"/>
      <c r="N535" s="1779"/>
      <c r="O535" s="1779"/>
      <c r="P535" s="1816"/>
      <c r="Q535" s="1779"/>
      <c r="R535" s="1779"/>
      <c r="S535" s="1779"/>
      <c r="T535" s="1779"/>
      <c r="U535" s="1779"/>
      <c r="V535" s="1779"/>
      <c r="W535" s="1779"/>
      <c r="X535" s="1779"/>
      <c r="Y535" s="1779"/>
      <c r="Z535" s="1779"/>
      <c r="AA535" s="1779"/>
      <c r="AB535" s="1779"/>
      <c r="AC535" s="1779"/>
    </row>
    <row r="536" spans="1:29">
      <c r="A536" s="1779"/>
      <c r="B536" s="1779"/>
      <c r="C536" s="1779"/>
      <c r="D536" s="1779"/>
      <c r="E536" s="1779"/>
      <c r="F536" s="1779"/>
      <c r="G536" s="1779"/>
      <c r="H536" s="1779"/>
      <c r="I536" s="1779"/>
      <c r="J536" s="1779"/>
      <c r="K536" s="1780"/>
      <c r="L536" s="1781"/>
      <c r="M536" s="1779"/>
      <c r="N536" s="1779"/>
      <c r="O536" s="1779"/>
      <c r="P536" s="1816"/>
      <c r="Q536" s="1779"/>
      <c r="R536" s="1779"/>
      <c r="S536" s="1779"/>
      <c r="T536" s="1779"/>
      <c r="U536" s="1779"/>
      <c r="V536" s="1779"/>
      <c r="W536" s="1779"/>
      <c r="X536" s="1779"/>
      <c r="Y536" s="1779"/>
      <c r="Z536" s="1779"/>
      <c r="AA536" s="1779"/>
      <c r="AB536" s="1779"/>
      <c r="AC536" s="1779"/>
    </row>
    <row r="537" spans="1:29">
      <c r="A537" s="1779"/>
      <c r="B537" s="1779"/>
      <c r="C537" s="1779"/>
      <c r="D537" s="1779"/>
      <c r="E537" s="1779"/>
      <c r="F537" s="1779"/>
      <c r="G537" s="1779"/>
      <c r="H537" s="1779"/>
      <c r="I537" s="1779"/>
      <c r="J537" s="1779"/>
      <c r="K537" s="1780"/>
      <c r="L537" s="1781"/>
      <c r="M537" s="1779"/>
      <c r="N537" s="1779"/>
      <c r="O537" s="1779"/>
      <c r="P537" s="1816"/>
      <c r="Q537" s="1779"/>
      <c r="R537" s="1779"/>
      <c r="S537" s="1779"/>
      <c r="T537" s="1779"/>
      <c r="U537" s="1779"/>
      <c r="V537" s="1779"/>
      <c r="W537" s="1779"/>
      <c r="X537" s="1779"/>
      <c r="Y537" s="1779"/>
      <c r="Z537" s="1779"/>
      <c r="AA537" s="1779"/>
      <c r="AB537" s="1779"/>
      <c r="AC537" s="1779"/>
    </row>
    <row r="538" spans="1:29">
      <c r="A538" s="1779"/>
      <c r="B538" s="1779"/>
      <c r="C538" s="1779"/>
      <c r="D538" s="1779"/>
      <c r="E538" s="1779"/>
      <c r="F538" s="1779"/>
      <c r="G538" s="1779"/>
      <c r="H538" s="1779"/>
      <c r="I538" s="1779"/>
      <c r="J538" s="1779"/>
      <c r="K538" s="1780"/>
      <c r="L538" s="1781"/>
      <c r="M538" s="1779"/>
      <c r="N538" s="1779"/>
      <c r="O538" s="1779"/>
      <c r="P538" s="1816"/>
      <c r="Q538" s="1779"/>
      <c r="R538" s="1779"/>
      <c r="S538" s="1779"/>
      <c r="T538" s="1779"/>
      <c r="U538" s="1779"/>
      <c r="V538" s="1779"/>
      <c r="W538" s="1779"/>
      <c r="X538" s="1779"/>
      <c r="Y538" s="1779"/>
      <c r="Z538" s="1779"/>
      <c r="AA538" s="1779"/>
      <c r="AB538" s="1779"/>
      <c r="AC538" s="1779"/>
    </row>
    <row r="539" spans="1:29">
      <c r="A539" s="1779"/>
      <c r="B539" s="1779"/>
      <c r="C539" s="1779"/>
      <c r="D539" s="1779"/>
      <c r="E539" s="1779"/>
      <c r="F539" s="1779"/>
      <c r="G539" s="1779"/>
      <c r="H539" s="1779"/>
      <c r="I539" s="1779"/>
      <c r="J539" s="1779"/>
      <c r="K539" s="1780"/>
      <c r="L539" s="1781"/>
      <c r="M539" s="1779"/>
      <c r="N539" s="1779"/>
      <c r="O539" s="1779"/>
      <c r="P539" s="1816"/>
      <c r="Q539" s="1779"/>
      <c r="R539" s="1779"/>
      <c r="S539" s="1779"/>
      <c r="T539" s="1779"/>
      <c r="U539" s="1779"/>
      <c r="V539" s="1779"/>
      <c r="W539" s="1779"/>
      <c r="X539" s="1779"/>
      <c r="Y539" s="1779"/>
      <c r="Z539" s="1779"/>
      <c r="AA539" s="1779"/>
      <c r="AB539" s="1779"/>
      <c r="AC539" s="1779"/>
    </row>
    <row r="540" spans="1:29">
      <c r="A540" s="1779"/>
      <c r="B540" s="1779"/>
      <c r="C540" s="1779"/>
      <c r="D540" s="1779"/>
      <c r="E540" s="1779"/>
      <c r="F540" s="1779"/>
      <c r="G540" s="1779"/>
      <c r="H540" s="1779"/>
      <c r="I540" s="1779"/>
      <c r="J540" s="1779"/>
      <c r="K540" s="1780"/>
      <c r="L540" s="1781"/>
      <c r="M540" s="1779"/>
      <c r="N540" s="1779"/>
      <c r="O540" s="1779"/>
      <c r="P540" s="1816"/>
      <c r="Q540" s="1779"/>
      <c r="R540" s="1779"/>
      <c r="S540" s="1779"/>
      <c r="T540" s="1779"/>
      <c r="U540" s="1779"/>
      <c r="V540" s="1779"/>
      <c r="W540" s="1779"/>
      <c r="X540" s="1779"/>
      <c r="Y540" s="1779"/>
      <c r="Z540" s="1779"/>
      <c r="AA540" s="1779"/>
      <c r="AB540" s="1779"/>
      <c r="AC540" s="1779"/>
    </row>
    <row r="541" spans="1:29">
      <c r="A541" s="1779"/>
      <c r="B541" s="1779"/>
      <c r="C541" s="1779"/>
      <c r="D541" s="1779"/>
      <c r="E541" s="1779"/>
      <c r="F541" s="1779"/>
      <c r="G541" s="1779"/>
      <c r="H541" s="1779"/>
      <c r="I541" s="1779"/>
      <c r="J541" s="1779"/>
      <c r="K541" s="1780"/>
      <c r="L541" s="1781"/>
      <c r="M541" s="1779"/>
      <c r="N541" s="1779"/>
      <c r="O541" s="1779"/>
      <c r="P541" s="1816"/>
      <c r="Q541" s="1779"/>
      <c r="R541" s="1779"/>
      <c r="S541" s="1779"/>
      <c r="T541" s="1779"/>
      <c r="U541" s="1779"/>
      <c r="V541" s="1779"/>
      <c r="W541" s="1779"/>
      <c r="X541" s="1779"/>
      <c r="Y541" s="1779"/>
      <c r="Z541" s="1779"/>
      <c r="AA541" s="1779"/>
      <c r="AB541" s="1779"/>
      <c r="AC541" s="1779"/>
    </row>
    <row r="542" spans="1:29">
      <c r="A542" s="1779"/>
      <c r="B542" s="1779"/>
      <c r="C542" s="1779"/>
      <c r="D542" s="1779"/>
      <c r="E542" s="1779"/>
      <c r="F542" s="1779"/>
      <c r="G542" s="1779"/>
      <c r="H542" s="1779"/>
      <c r="I542" s="1779"/>
      <c r="J542" s="1779"/>
      <c r="K542" s="1780"/>
      <c r="L542" s="1781"/>
      <c r="M542" s="1779"/>
      <c r="N542" s="1779"/>
      <c r="O542" s="1779"/>
      <c r="P542" s="1816"/>
      <c r="Q542" s="1779"/>
      <c r="R542" s="1779"/>
      <c r="S542" s="1779"/>
      <c r="T542" s="1779"/>
      <c r="U542" s="1779"/>
      <c r="V542" s="1779"/>
      <c r="W542" s="1779"/>
      <c r="X542" s="1779"/>
      <c r="Y542" s="1779"/>
      <c r="Z542" s="1779"/>
      <c r="AA542" s="1779"/>
      <c r="AB542" s="1779"/>
      <c r="AC542" s="1779"/>
    </row>
    <row r="543" spans="1:29">
      <c r="A543" s="1779"/>
      <c r="B543" s="1779"/>
      <c r="C543" s="1779"/>
      <c r="D543" s="1779"/>
      <c r="E543" s="1779"/>
      <c r="F543" s="1779"/>
      <c r="G543" s="1779"/>
      <c r="H543" s="1779"/>
      <c r="I543" s="1779"/>
      <c r="J543" s="1779"/>
      <c r="K543" s="1780"/>
      <c r="L543" s="1781"/>
      <c r="M543" s="1779"/>
      <c r="N543" s="1779"/>
      <c r="O543" s="1779"/>
      <c r="P543" s="1816"/>
      <c r="Q543" s="1779"/>
      <c r="R543" s="1779"/>
      <c r="S543" s="1779"/>
      <c r="T543" s="1779"/>
      <c r="U543" s="1779"/>
      <c r="V543" s="1779"/>
      <c r="W543" s="1779"/>
      <c r="X543" s="1779"/>
      <c r="Y543" s="1779"/>
      <c r="Z543" s="1779"/>
      <c r="AA543" s="1779"/>
      <c r="AB543" s="1779"/>
      <c r="AC543" s="1779"/>
    </row>
    <row r="544" spans="1:29">
      <c r="A544" s="1779"/>
      <c r="B544" s="1779"/>
      <c r="C544" s="1779"/>
      <c r="D544" s="1779"/>
      <c r="E544" s="1779"/>
      <c r="F544" s="1779"/>
      <c r="G544" s="1779"/>
      <c r="H544" s="1779"/>
      <c r="I544" s="1779"/>
      <c r="J544" s="1779"/>
      <c r="K544" s="1780"/>
      <c r="L544" s="1781"/>
      <c r="M544" s="1779"/>
      <c r="N544" s="1779"/>
      <c r="O544" s="1779"/>
      <c r="P544" s="1816"/>
      <c r="Q544" s="1779"/>
      <c r="R544" s="1779"/>
      <c r="S544" s="1779"/>
      <c r="T544" s="1779"/>
      <c r="U544" s="1779"/>
      <c r="V544" s="1779"/>
      <c r="W544" s="1779"/>
      <c r="X544" s="1779"/>
      <c r="Y544" s="1779"/>
      <c r="Z544" s="1779"/>
      <c r="AA544" s="1779"/>
      <c r="AB544" s="1779"/>
      <c r="AC544" s="1779"/>
    </row>
    <row r="545" spans="1:29">
      <c r="A545" s="1779"/>
      <c r="B545" s="1779"/>
      <c r="C545" s="1779"/>
      <c r="D545" s="1779"/>
      <c r="E545" s="1779"/>
      <c r="F545" s="1779"/>
      <c r="G545" s="1779"/>
      <c r="H545" s="1779"/>
      <c r="I545" s="1779"/>
      <c r="J545" s="1779"/>
      <c r="K545" s="1780"/>
      <c r="L545" s="1781"/>
      <c r="M545" s="1779"/>
      <c r="N545" s="1779"/>
      <c r="O545" s="1779"/>
      <c r="P545" s="1816"/>
      <c r="Q545" s="1779"/>
      <c r="R545" s="1779"/>
      <c r="S545" s="1779"/>
      <c r="T545" s="1779"/>
      <c r="U545" s="1779"/>
      <c r="V545" s="1779"/>
      <c r="W545" s="1779"/>
      <c r="X545" s="1779"/>
      <c r="Y545" s="1779"/>
      <c r="Z545" s="1779"/>
      <c r="AA545" s="1779"/>
      <c r="AB545" s="1779"/>
      <c r="AC545" s="1779"/>
    </row>
    <row r="546" spans="1:29">
      <c r="A546" s="1779"/>
      <c r="B546" s="1779"/>
      <c r="C546" s="1779"/>
      <c r="D546" s="1779"/>
      <c r="E546" s="1779"/>
      <c r="F546" s="1779"/>
      <c r="G546" s="1779"/>
      <c r="H546" s="1779"/>
      <c r="I546" s="1779"/>
      <c r="J546" s="1779"/>
      <c r="K546" s="1780"/>
      <c r="L546" s="1781"/>
      <c r="M546" s="1779"/>
      <c r="N546" s="1779"/>
      <c r="O546" s="1779"/>
      <c r="P546" s="1816"/>
      <c r="Q546" s="1779"/>
      <c r="R546" s="1779"/>
      <c r="S546" s="1779"/>
      <c r="T546" s="1779"/>
      <c r="U546" s="1779"/>
      <c r="V546" s="1779"/>
      <c r="W546" s="1779"/>
      <c r="X546" s="1779"/>
      <c r="Y546" s="1779"/>
      <c r="Z546" s="1779"/>
      <c r="AA546" s="1779"/>
      <c r="AB546" s="1779"/>
      <c r="AC546" s="1779"/>
    </row>
    <row r="547" spans="1:29">
      <c r="A547" s="1779"/>
      <c r="B547" s="1779"/>
      <c r="C547" s="1779"/>
      <c r="D547" s="1779"/>
      <c r="E547" s="1779"/>
      <c r="F547" s="1779"/>
      <c r="G547" s="1779"/>
      <c r="H547" s="1779"/>
      <c r="I547" s="1779"/>
      <c r="J547" s="1779"/>
      <c r="K547" s="1780"/>
      <c r="L547" s="1781"/>
      <c r="M547" s="1779"/>
      <c r="N547" s="1779"/>
      <c r="O547" s="1779"/>
      <c r="P547" s="1816"/>
      <c r="Q547" s="1779"/>
      <c r="R547" s="1779"/>
      <c r="S547" s="1779"/>
      <c r="T547" s="1779"/>
      <c r="U547" s="1779"/>
      <c r="V547" s="1779"/>
      <c r="W547" s="1779"/>
      <c r="X547" s="1779"/>
      <c r="Y547" s="1779"/>
      <c r="Z547" s="1779"/>
      <c r="AA547" s="1779"/>
      <c r="AB547" s="1779"/>
      <c r="AC547" s="1779"/>
    </row>
    <row r="548" spans="1:29">
      <c r="A548" s="1779"/>
      <c r="B548" s="1779"/>
      <c r="C548" s="1779"/>
      <c r="D548" s="1779"/>
      <c r="E548" s="1779"/>
      <c r="F548" s="1779"/>
      <c r="G548" s="1779"/>
      <c r="H548" s="1779"/>
      <c r="I548" s="1779"/>
      <c r="J548" s="1779"/>
      <c r="K548" s="1780"/>
      <c r="L548" s="1781"/>
      <c r="M548" s="1779"/>
      <c r="N548" s="1779"/>
      <c r="O548" s="1779"/>
      <c r="P548" s="1816"/>
      <c r="Q548" s="1779"/>
      <c r="R548" s="1779"/>
      <c r="S548" s="1779"/>
      <c r="T548" s="1779"/>
      <c r="U548" s="1779"/>
      <c r="V548" s="1779"/>
      <c r="W548" s="1779"/>
      <c r="X548" s="1779"/>
      <c r="Y548" s="1779"/>
      <c r="Z548" s="1779"/>
      <c r="AA548" s="1779"/>
      <c r="AB548" s="1779"/>
      <c r="AC548" s="1779"/>
    </row>
    <row r="549" spans="1:29">
      <c r="A549" s="1779"/>
      <c r="B549" s="1779"/>
      <c r="C549" s="1779"/>
      <c r="D549" s="1779"/>
      <c r="E549" s="1779"/>
      <c r="F549" s="1779"/>
      <c r="G549" s="1779"/>
      <c r="H549" s="1779"/>
      <c r="I549" s="1779"/>
      <c r="J549" s="1779"/>
      <c r="K549" s="1780"/>
      <c r="L549" s="1781"/>
      <c r="M549" s="1779"/>
      <c r="N549" s="1779"/>
      <c r="O549" s="1779"/>
      <c r="P549" s="1816"/>
      <c r="Q549" s="1779"/>
      <c r="R549" s="1779"/>
      <c r="S549" s="1779"/>
      <c r="T549" s="1779"/>
      <c r="U549" s="1779"/>
      <c r="V549" s="1779"/>
      <c r="W549" s="1779"/>
      <c r="X549" s="1779"/>
      <c r="Y549" s="1779"/>
      <c r="Z549" s="1779"/>
      <c r="AA549" s="1779"/>
      <c r="AB549" s="1779"/>
      <c r="AC549" s="1779"/>
    </row>
    <row r="550" spans="1:29">
      <c r="A550" s="1779"/>
      <c r="B550" s="1779"/>
      <c r="C550" s="1779"/>
      <c r="D550" s="1779"/>
      <c r="E550" s="1779"/>
      <c r="F550" s="1779"/>
      <c r="G550" s="1779"/>
      <c r="H550" s="1779"/>
      <c r="I550" s="1779"/>
      <c r="J550" s="1779"/>
      <c r="K550" s="1780"/>
      <c r="L550" s="1781"/>
      <c r="M550" s="1779"/>
      <c r="N550" s="1779"/>
      <c r="O550" s="1779"/>
      <c r="P550" s="1816"/>
      <c r="Q550" s="1779"/>
      <c r="R550" s="1779"/>
      <c r="S550" s="1779"/>
      <c r="T550" s="1779"/>
      <c r="U550" s="1779"/>
      <c r="V550" s="1779"/>
      <c r="W550" s="1779"/>
      <c r="X550" s="1779"/>
      <c r="Y550" s="1779"/>
      <c r="Z550" s="1779"/>
      <c r="AA550" s="1779"/>
      <c r="AB550" s="1779"/>
      <c r="AC550" s="1779"/>
    </row>
    <row r="551" spans="1:29">
      <c r="A551" s="1779"/>
      <c r="B551" s="1779"/>
      <c r="C551" s="1779"/>
      <c r="D551" s="1779"/>
      <c r="E551" s="1779"/>
      <c r="F551" s="1779"/>
      <c r="G551" s="1779"/>
      <c r="H551" s="1779"/>
      <c r="I551" s="1779"/>
      <c r="J551" s="1779"/>
      <c r="K551" s="1780"/>
      <c r="L551" s="1781"/>
      <c r="M551" s="1779"/>
      <c r="N551" s="1779"/>
      <c r="O551" s="1779"/>
      <c r="P551" s="1816"/>
      <c r="Q551" s="1779"/>
      <c r="R551" s="1779"/>
      <c r="S551" s="1779"/>
      <c r="T551" s="1779"/>
      <c r="U551" s="1779"/>
      <c r="V551" s="1779"/>
      <c r="W551" s="1779"/>
      <c r="X551" s="1779"/>
      <c r="Y551" s="1779"/>
      <c r="Z551" s="1779"/>
      <c r="AA551" s="1779"/>
      <c r="AB551" s="1779"/>
      <c r="AC551" s="1779"/>
    </row>
    <row r="552" spans="1:29">
      <c r="A552" s="1779"/>
      <c r="B552" s="1779"/>
      <c r="C552" s="1779"/>
      <c r="D552" s="1779"/>
      <c r="E552" s="1779"/>
      <c r="F552" s="1779"/>
      <c r="G552" s="1779"/>
      <c r="H552" s="1779"/>
      <c r="I552" s="1779"/>
      <c r="J552" s="1779"/>
      <c r="K552" s="1780"/>
      <c r="L552" s="1781"/>
      <c r="M552" s="1779"/>
      <c r="N552" s="1779"/>
      <c r="O552" s="1779"/>
      <c r="P552" s="1816"/>
      <c r="Q552" s="1779"/>
      <c r="R552" s="1779"/>
      <c r="S552" s="1779"/>
      <c r="T552" s="1779"/>
      <c r="U552" s="1779"/>
      <c r="V552" s="1779"/>
      <c r="W552" s="1779"/>
      <c r="X552" s="1779"/>
      <c r="Y552" s="1779"/>
      <c r="Z552" s="1779"/>
      <c r="AA552" s="1779"/>
      <c r="AB552" s="1779"/>
      <c r="AC552" s="1779"/>
    </row>
    <row r="553" spans="1:29">
      <c r="A553" s="1779"/>
      <c r="B553" s="1779"/>
      <c r="C553" s="1779"/>
      <c r="D553" s="1779"/>
      <c r="E553" s="1779"/>
      <c r="F553" s="1779"/>
      <c r="G553" s="1779"/>
      <c r="H553" s="1779"/>
      <c r="I553" s="1779"/>
      <c r="J553" s="1779"/>
      <c r="K553" s="1780"/>
      <c r="L553" s="1781"/>
      <c r="M553" s="1779"/>
      <c r="N553" s="1779"/>
      <c r="O553" s="1779"/>
      <c r="P553" s="1816"/>
      <c r="Q553" s="1779"/>
      <c r="R553" s="1779"/>
      <c r="S553" s="1779"/>
      <c r="T553" s="1779"/>
      <c r="U553" s="1779"/>
      <c r="V553" s="1779"/>
      <c r="W553" s="1779"/>
      <c r="X553" s="1779"/>
      <c r="Y553" s="1779"/>
      <c r="Z553" s="1779"/>
      <c r="AA553" s="1779"/>
      <c r="AB553" s="1779"/>
      <c r="AC553" s="1779"/>
    </row>
    <row r="554" spans="1:29">
      <c r="A554" s="1779"/>
      <c r="B554" s="1779"/>
      <c r="C554" s="1779"/>
      <c r="D554" s="1779"/>
      <c r="E554" s="1779"/>
      <c r="F554" s="1779"/>
      <c r="G554" s="1779"/>
      <c r="H554" s="1779"/>
      <c r="I554" s="1779"/>
      <c r="J554" s="1779"/>
      <c r="K554" s="1780"/>
      <c r="L554" s="1781"/>
      <c r="M554" s="1779"/>
      <c r="N554" s="1779"/>
      <c r="O554" s="1779"/>
      <c r="P554" s="1816"/>
      <c r="Q554" s="1779"/>
      <c r="R554" s="1779"/>
      <c r="S554" s="1779"/>
      <c r="T554" s="1779"/>
      <c r="U554" s="1779"/>
      <c r="V554" s="1779"/>
      <c r="W554" s="1779"/>
      <c r="X554" s="1779"/>
      <c r="Y554" s="1779"/>
      <c r="Z554" s="1779"/>
      <c r="AA554" s="1779"/>
      <c r="AB554" s="1779"/>
      <c r="AC554" s="1779"/>
    </row>
    <row r="555" spans="1:29">
      <c r="A555" s="1779"/>
      <c r="B555" s="1779"/>
      <c r="C555" s="1779"/>
      <c r="D555" s="1779"/>
      <c r="E555" s="1779"/>
      <c r="F555" s="1779"/>
      <c r="G555" s="1779"/>
      <c r="H555" s="1779"/>
      <c r="I555" s="1779"/>
      <c r="J555" s="1779"/>
      <c r="K555" s="1780"/>
      <c r="L555" s="1781"/>
      <c r="M555" s="1779"/>
      <c r="N555" s="1779"/>
      <c r="O555" s="1779"/>
      <c r="P555" s="1816"/>
      <c r="Q555" s="1779"/>
      <c r="R555" s="1779"/>
      <c r="S555" s="1779"/>
      <c r="T555" s="1779"/>
      <c r="U555" s="1779"/>
      <c r="V555" s="1779"/>
      <c r="W555" s="1779"/>
      <c r="X555" s="1779"/>
      <c r="Y555" s="1779"/>
      <c r="Z555" s="1779"/>
      <c r="AA555" s="1779"/>
      <c r="AB555" s="1779"/>
      <c r="AC555" s="1779"/>
    </row>
    <row r="556" spans="1:29">
      <c r="A556" s="1779"/>
      <c r="B556" s="1779"/>
      <c r="C556" s="1779"/>
      <c r="D556" s="1779"/>
      <c r="E556" s="1779"/>
      <c r="F556" s="1779"/>
      <c r="G556" s="1779"/>
      <c r="H556" s="1779"/>
      <c r="I556" s="1779"/>
      <c r="J556" s="1779"/>
      <c r="K556" s="1780"/>
      <c r="L556" s="1781"/>
      <c r="M556" s="1779"/>
      <c r="N556" s="1779"/>
      <c r="O556" s="1779"/>
      <c r="P556" s="1816"/>
      <c r="Q556" s="1779"/>
      <c r="R556" s="1779"/>
      <c r="S556" s="1779"/>
      <c r="T556" s="1779"/>
      <c r="U556" s="1779"/>
      <c r="V556" s="1779"/>
      <c r="W556" s="1779"/>
      <c r="X556" s="1779"/>
      <c r="Y556" s="1779"/>
      <c r="Z556" s="1779"/>
      <c r="AA556" s="1779"/>
      <c r="AB556" s="1779"/>
      <c r="AC556" s="1779"/>
    </row>
    <row r="557" spans="1:29">
      <c r="A557" s="1779"/>
      <c r="B557" s="1779"/>
      <c r="C557" s="1779"/>
      <c r="D557" s="1779"/>
      <c r="E557" s="1779"/>
      <c r="F557" s="1779"/>
      <c r="G557" s="1779"/>
      <c r="H557" s="1779"/>
      <c r="I557" s="1779"/>
      <c r="J557" s="1779"/>
      <c r="K557" s="1780"/>
      <c r="L557" s="1781"/>
      <c r="M557" s="1779"/>
      <c r="N557" s="1779"/>
      <c r="O557" s="1779"/>
      <c r="P557" s="1816"/>
      <c r="Q557" s="1779"/>
      <c r="R557" s="1779"/>
      <c r="S557" s="1779"/>
      <c r="T557" s="1779"/>
      <c r="U557" s="1779"/>
      <c r="V557" s="1779"/>
      <c r="W557" s="1779"/>
      <c r="X557" s="1779"/>
      <c r="Y557" s="1779"/>
      <c r="Z557" s="1779"/>
      <c r="AA557" s="1779"/>
      <c r="AB557" s="1779"/>
      <c r="AC557" s="1779"/>
    </row>
    <row r="558" spans="1:29">
      <c r="A558" s="1779"/>
      <c r="B558" s="1779"/>
      <c r="C558" s="1779"/>
      <c r="D558" s="1779"/>
      <c r="E558" s="1779"/>
      <c r="F558" s="1779"/>
      <c r="G558" s="1779"/>
      <c r="H558" s="1779"/>
      <c r="I558" s="1779"/>
      <c r="J558" s="1779"/>
      <c r="K558" s="1780"/>
      <c r="L558" s="1781"/>
      <c r="M558" s="1779"/>
      <c r="N558" s="1779"/>
      <c r="O558" s="1779"/>
      <c r="P558" s="1816"/>
      <c r="Q558" s="1779"/>
      <c r="R558" s="1779"/>
      <c r="S558" s="1779"/>
      <c r="T558" s="1779"/>
      <c r="U558" s="1779"/>
      <c r="V558" s="1779"/>
      <c r="W558" s="1779"/>
      <c r="X558" s="1779"/>
      <c r="Y558" s="1779"/>
      <c r="Z558" s="1779"/>
      <c r="AA558" s="1779"/>
      <c r="AB558" s="1779"/>
      <c r="AC558" s="1779"/>
    </row>
    <row r="559" spans="1:29">
      <c r="A559" s="1779"/>
      <c r="B559" s="1779"/>
      <c r="C559" s="1779"/>
      <c r="D559" s="1779"/>
      <c r="E559" s="1779"/>
      <c r="F559" s="1779"/>
      <c r="G559" s="1779"/>
      <c r="H559" s="1779"/>
      <c r="I559" s="1779"/>
      <c r="J559" s="1779"/>
      <c r="K559" s="1780"/>
      <c r="L559" s="1781"/>
      <c r="M559" s="1779"/>
      <c r="N559" s="1779"/>
      <c r="O559" s="1779"/>
      <c r="P559" s="1816"/>
      <c r="Q559" s="1779"/>
      <c r="R559" s="1779"/>
      <c r="S559" s="1779"/>
      <c r="T559" s="1779"/>
      <c r="U559" s="1779"/>
      <c r="V559" s="1779"/>
      <c r="W559" s="1779"/>
      <c r="X559" s="1779"/>
      <c r="Y559" s="1779"/>
      <c r="Z559" s="1779"/>
      <c r="AA559" s="1779"/>
      <c r="AB559" s="1779"/>
      <c r="AC559" s="1779"/>
    </row>
    <row r="560" spans="1:29">
      <c r="A560" s="1779"/>
      <c r="B560" s="1779"/>
      <c r="C560" s="1779"/>
      <c r="D560" s="1779"/>
      <c r="E560" s="1779"/>
      <c r="F560" s="1779"/>
      <c r="G560" s="1779"/>
      <c r="H560" s="1779"/>
      <c r="I560" s="1779"/>
      <c r="J560" s="1779"/>
      <c r="K560" s="1780"/>
      <c r="L560" s="1781"/>
      <c r="M560" s="1779"/>
      <c r="N560" s="1779"/>
      <c r="O560" s="1779"/>
      <c r="P560" s="1816"/>
      <c r="Q560" s="1779"/>
      <c r="R560" s="1779"/>
      <c r="S560" s="1779"/>
      <c r="T560" s="1779"/>
      <c r="U560" s="1779"/>
      <c r="V560" s="1779"/>
      <c r="W560" s="1779"/>
      <c r="X560" s="1779"/>
      <c r="Y560" s="1779"/>
      <c r="Z560" s="1779"/>
      <c r="AA560" s="1779"/>
      <c r="AB560" s="1779"/>
      <c r="AC560" s="1779"/>
    </row>
    <row r="561" spans="1:29">
      <c r="A561" s="1779"/>
      <c r="B561" s="1779"/>
      <c r="C561" s="1779"/>
      <c r="D561" s="1779"/>
      <c r="E561" s="1779"/>
      <c r="F561" s="1779"/>
      <c r="G561" s="1779"/>
      <c r="H561" s="1779"/>
      <c r="I561" s="1779"/>
      <c r="J561" s="1779"/>
      <c r="K561" s="1780"/>
      <c r="L561" s="1781"/>
      <c r="M561" s="1779"/>
      <c r="N561" s="1779"/>
      <c r="O561" s="1779"/>
      <c r="P561" s="1816"/>
      <c r="Q561" s="1779"/>
      <c r="R561" s="1779"/>
      <c r="S561" s="1779"/>
      <c r="T561" s="1779"/>
      <c r="U561" s="1779"/>
      <c r="V561" s="1779"/>
      <c r="W561" s="1779"/>
      <c r="X561" s="1779"/>
      <c r="Y561" s="1779"/>
      <c r="Z561" s="1779"/>
      <c r="AA561" s="1779"/>
      <c r="AB561" s="1779"/>
      <c r="AC561" s="1779"/>
    </row>
    <row r="562" spans="1:29">
      <c r="A562" s="1779"/>
      <c r="B562" s="1779"/>
      <c r="C562" s="1779"/>
      <c r="D562" s="1779"/>
      <c r="E562" s="1779"/>
      <c r="F562" s="1779"/>
      <c r="G562" s="1779"/>
      <c r="H562" s="1779"/>
      <c r="I562" s="1779"/>
      <c r="J562" s="1779"/>
      <c r="K562" s="1780"/>
      <c r="L562" s="1781"/>
      <c r="M562" s="1779"/>
      <c r="N562" s="1779"/>
      <c r="O562" s="1779"/>
      <c r="P562" s="1816"/>
      <c r="Q562" s="1779"/>
      <c r="R562" s="1779"/>
      <c r="S562" s="1779"/>
      <c r="T562" s="1779"/>
      <c r="U562" s="1779"/>
      <c r="V562" s="1779"/>
      <c r="W562" s="1779"/>
      <c r="X562" s="1779"/>
      <c r="Y562" s="1779"/>
      <c r="Z562" s="1779"/>
      <c r="AA562" s="1779"/>
      <c r="AB562" s="1779"/>
      <c r="AC562" s="1779"/>
    </row>
    <row r="563" spans="1:29">
      <c r="A563" s="1779"/>
      <c r="B563" s="1779"/>
      <c r="C563" s="1779"/>
      <c r="D563" s="1779"/>
      <c r="E563" s="1779"/>
      <c r="F563" s="1779"/>
      <c r="G563" s="1779"/>
      <c r="H563" s="1779"/>
      <c r="I563" s="1779"/>
      <c r="J563" s="1779"/>
      <c r="K563" s="1780"/>
      <c r="L563" s="1781"/>
      <c r="M563" s="1779"/>
      <c r="N563" s="1779"/>
      <c r="O563" s="1779"/>
      <c r="P563" s="1816"/>
      <c r="Q563" s="1779"/>
      <c r="R563" s="1779"/>
      <c r="S563" s="1779"/>
      <c r="T563" s="1779"/>
      <c r="U563" s="1779"/>
      <c r="V563" s="1779"/>
      <c r="W563" s="1779"/>
      <c r="X563" s="1779"/>
      <c r="Y563" s="1779"/>
      <c r="Z563" s="1779"/>
      <c r="AA563" s="1779"/>
      <c r="AB563" s="1779"/>
      <c r="AC563" s="1779"/>
    </row>
    <row r="564" spans="1:29">
      <c r="A564" s="1779"/>
      <c r="B564" s="1779"/>
      <c r="C564" s="1779"/>
      <c r="D564" s="1779"/>
      <c r="E564" s="1779"/>
      <c r="F564" s="1779"/>
      <c r="G564" s="1779"/>
      <c r="H564" s="1779"/>
      <c r="I564" s="1779"/>
      <c r="J564" s="1779"/>
      <c r="K564" s="1780"/>
      <c r="L564" s="1781"/>
      <c r="M564" s="1779"/>
      <c r="N564" s="1779"/>
      <c r="O564" s="1779"/>
      <c r="P564" s="1816"/>
      <c r="Q564" s="1779"/>
      <c r="R564" s="1779"/>
      <c r="S564" s="1779"/>
      <c r="T564" s="1779"/>
      <c r="U564" s="1779"/>
      <c r="V564" s="1779"/>
      <c r="W564" s="1779"/>
      <c r="X564" s="1779"/>
      <c r="Y564" s="1779"/>
      <c r="Z564" s="1779"/>
      <c r="AA564" s="1779"/>
      <c r="AB564" s="1779"/>
      <c r="AC564" s="1779"/>
    </row>
    <row r="565" spans="1:29">
      <c r="A565" s="1779"/>
      <c r="B565" s="1779"/>
      <c r="C565" s="1779"/>
      <c r="D565" s="1779"/>
      <c r="E565" s="1779"/>
      <c r="F565" s="1779"/>
      <c r="G565" s="1779"/>
      <c r="H565" s="1779"/>
      <c r="I565" s="1779"/>
      <c r="J565" s="1779"/>
      <c r="K565" s="1780"/>
      <c r="L565" s="1781"/>
      <c r="M565" s="1779"/>
      <c r="N565" s="1779"/>
      <c r="O565" s="1779"/>
      <c r="P565" s="1816"/>
      <c r="Q565" s="1779"/>
      <c r="R565" s="1779"/>
      <c r="S565" s="1779"/>
      <c r="T565" s="1779"/>
      <c r="U565" s="1779"/>
      <c r="V565" s="1779"/>
      <c r="W565" s="1779"/>
      <c r="X565" s="1779"/>
      <c r="Y565" s="1779"/>
      <c r="Z565" s="1779"/>
      <c r="AA565" s="1779"/>
      <c r="AB565" s="1779"/>
      <c r="AC565" s="1779"/>
    </row>
    <row r="566" spans="1:29">
      <c r="A566" s="1779"/>
      <c r="B566" s="1779"/>
      <c r="C566" s="1779"/>
      <c r="D566" s="1779"/>
      <c r="E566" s="1779"/>
      <c r="F566" s="1779"/>
      <c r="G566" s="1779"/>
      <c r="H566" s="1779"/>
      <c r="I566" s="1779"/>
      <c r="J566" s="1779"/>
      <c r="K566" s="1780"/>
      <c r="L566" s="1781"/>
      <c r="M566" s="1779"/>
      <c r="N566" s="1779"/>
      <c r="O566" s="1779"/>
      <c r="P566" s="1816"/>
      <c r="Q566" s="1779"/>
      <c r="R566" s="1779"/>
      <c r="S566" s="1779"/>
      <c r="T566" s="1779"/>
      <c r="U566" s="1779"/>
      <c r="V566" s="1779"/>
      <c r="W566" s="1779"/>
      <c r="X566" s="1779"/>
      <c r="Y566" s="1779"/>
      <c r="Z566" s="1779"/>
      <c r="AA566" s="1779"/>
      <c r="AB566" s="1779"/>
      <c r="AC566" s="1779"/>
    </row>
    <row r="567" spans="1:29">
      <c r="A567" s="1779"/>
      <c r="B567" s="1779"/>
      <c r="C567" s="1779"/>
      <c r="D567" s="1779"/>
      <c r="E567" s="1779"/>
      <c r="F567" s="1779"/>
      <c r="G567" s="1779"/>
      <c r="H567" s="1779"/>
      <c r="I567" s="1779"/>
      <c r="J567" s="1779"/>
      <c r="K567" s="1780"/>
      <c r="L567" s="1781"/>
      <c r="M567" s="1779"/>
      <c r="N567" s="1779"/>
      <c r="O567" s="1779"/>
      <c r="P567" s="1816"/>
      <c r="Q567" s="1779"/>
      <c r="R567" s="1779"/>
      <c r="S567" s="1779"/>
      <c r="T567" s="1779"/>
      <c r="U567" s="1779"/>
      <c r="V567" s="1779"/>
      <c r="W567" s="1779"/>
      <c r="X567" s="1779"/>
      <c r="Y567" s="1779"/>
      <c r="Z567" s="1779"/>
      <c r="AA567" s="1779"/>
      <c r="AB567" s="1779"/>
      <c r="AC567" s="1779"/>
    </row>
    <row r="568" spans="1:29">
      <c r="A568" s="1779"/>
      <c r="B568" s="1779"/>
      <c r="C568" s="1779"/>
      <c r="D568" s="1779"/>
      <c r="E568" s="1779"/>
      <c r="F568" s="1779"/>
      <c r="G568" s="1779"/>
      <c r="H568" s="1779"/>
      <c r="I568" s="1779"/>
      <c r="J568" s="1779"/>
      <c r="K568" s="1780"/>
      <c r="L568" s="1781"/>
      <c r="M568" s="1779"/>
      <c r="N568" s="1779"/>
      <c r="O568" s="1779"/>
      <c r="P568" s="1816"/>
      <c r="Q568" s="1779"/>
      <c r="R568" s="1779"/>
      <c r="S568" s="1779"/>
      <c r="T568" s="1779"/>
      <c r="U568" s="1779"/>
      <c r="V568" s="1779"/>
      <c r="W568" s="1779"/>
      <c r="X568" s="1779"/>
      <c r="Y568" s="1779"/>
      <c r="Z568" s="1779"/>
      <c r="AA568" s="1779"/>
      <c r="AB568" s="1779"/>
      <c r="AC568" s="1779"/>
    </row>
    <row r="569" spans="1:29">
      <c r="A569" s="1779"/>
      <c r="B569" s="1779"/>
      <c r="C569" s="1779"/>
      <c r="D569" s="1779"/>
      <c r="E569" s="1779"/>
      <c r="F569" s="1779"/>
      <c r="G569" s="1779"/>
      <c r="H569" s="1779"/>
      <c r="I569" s="1779"/>
      <c r="J569" s="1779"/>
      <c r="K569" s="1780"/>
      <c r="L569" s="1781"/>
      <c r="M569" s="1779"/>
      <c r="N569" s="1779"/>
      <c r="O569" s="1779"/>
      <c r="P569" s="1816"/>
      <c r="Q569" s="1779"/>
      <c r="R569" s="1779"/>
      <c r="S569" s="1779"/>
      <c r="T569" s="1779"/>
      <c r="U569" s="1779"/>
      <c r="V569" s="1779"/>
      <c r="W569" s="1779"/>
      <c r="X569" s="1779"/>
      <c r="Y569" s="1779"/>
      <c r="Z569" s="1779"/>
      <c r="AA569" s="1779"/>
      <c r="AB569" s="1779"/>
      <c r="AC569" s="1779"/>
    </row>
    <row r="570" spans="1:29">
      <c r="A570" s="1779"/>
      <c r="B570" s="1779"/>
      <c r="C570" s="1779"/>
      <c r="D570" s="1779"/>
      <c r="E570" s="1779"/>
      <c r="F570" s="1779"/>
      <c r="G570" s="1779"/>
      <c r="H570" s="1779"/>
      <c r="I570" s="1779"/>
      <c r="J570" s="1779"/>
      <c r="K570" s="1780"/>
      <c r="L570" s="1781"/>
      <c r="M570" s="1779"/>
      <c r="N570" s="1779"/>
      <c r="O570" s="1779"/>
      <c r="P570" s="1816"/>
      <c r="Q570" s="1779"/>
      <c r="R570" s="1779"/>
      <c r="S570" s="1779"/>
      <c r="T570" s="1779"/>
      <c r="U570" s="1779"/>
      <c r="V570" s="1779"/>
      <c r="W570" s="1779"/>
      <c r="X570" s="1779"/>
      <c r="Y570" s="1779"/>
      <c r="Z570" s="1779"/>
      <c r="AA570" s="1779"/>
      <c r="AB570" s="1779"/>
      <c r="AC570" s="1779"/>
    </row>
    <row r="571" spans="1:29">
      <c r="A571" s="1779"/>
      <c r="B571" s="1779"/>
      <c r="C571" s="1779"/>
      <c r="D571" s="1779"/>
      <c r="E571" s="1779"/>
      <c r="F571" s="1779"/>
      <c r="G571" s="1779"/>
      <c r="H571" s="1779"/>
      <c r="I571" s="1779"/>
      <c r="J571" s="1779"/>
      <c r="K571" s="1780"/>
      <c r="L571" s="1781"/>
      <c r="M571" s="1779"/>
      <c r="N571" s="1779"/>
      <c r="O571" s="1779"/>
      <c r="P571" s="1816"/>
      <c r="Q571" s="1779"/>
      <c r="R571" s="1779"/>
      <c r="S571" s="1779"/>
      <c r="T571" s="1779"/>
      <c r="U571" s="1779"/>
      <c r="V571" s="1779"/>
      <c r="W571" s="1779"/>
      <c r="X571" s="1779"/>
      <c r="Y571" s="1779"/>
      <c r="Z571" s="1779"/>
      <c r="AA571" s="1779"/>
      <c r="AB571" s="1779"/>
      <c r="AC571" s="1779"/>
    </row>
    <row r="572" spans="1:29">
      <c r="A572" s="1779"/>
      <c r="B572" s="1779"/>
      <c r="C572" s="1779"/>
      <c r="D572" s="1779"/>
      <c r="E572" s="1779"/>
      <c r="F572" s="1779"/>
      <c r="G572" s="1779"/>
      <c r="H572" s="1779"/>
      <c r="I572" s="1779"/>
      <c r="J572" s="1779"/>
      <c r="K572" s="1780"/>
      <c r="L572" s="1781"/>
      <c r="M572" s="1779"/>
      <c r="N572" s="1779"/>
      <c r="O572" s="1779"/>
      <c r="P572" s="1816"/>
      <c r="Q572" s="1779"/>
      <c r="R572" s="1779"/>
      <c r="S572" s="1779"/>
      <c r="T572" s="1779"/>
      <c r="U572" s="1779"/>
      <c r="V572" s="1779"/>
      <c r="W572" s="1779"/>
      <c r="X572" s="1779"/>
      <c r="Y572" s="1779"/>
      <c r="Z572" s="1779"/>
      <c r="AA572" s="1779"/>
      <c r="AB572" s="1779"/>
      <c r="AC572" s="1779"/>
    </row>
    <row r="573" spans="1:29">
      <c r="A573" s="1779"/>
      <c r="B573" s="1779"/>
      <c r="C573" s="1779"/>
      <c r="D573" s="1779"/>
      <c r="E573" s="1779"/>
      <c r="F573" s="1779"/>
      <c r="G573" s="1779"/>
      <c r="H573" s="1779"/>
      <c r="I573" s="1779"/>
      <c r="J573" s="1779"/>
      <c r="K573" s="1780"/>
      <c r="L573" s="1781"/>
      <c r="M573" s="1779"/>
      <c r="N573" s="1779"/>
      <c r="O573" s="1779"/>
      <c r="P573" s="1816"/>
      <c r="Q573" s="1779"/>
      <c r="R573" s="1779"/>
      <c r="S573" s="1779"/>
      <c r="T573" s="1779"/>
      <c r="U573" s="1779"/>
      <c r="V573" s="1779"/>
      <c r="W573" s="1779"/>
      <c r="X573" s="1779"/>
      <c r="Y573" s="1779"/>
      <c r="Z573" s="1779"/>
      <c r="AA573" s="1779"/>
      <c r="AB573" s="1779"/>
      <c r="AC573" s="1779"/>
    </row>
    <row r="574" spans="1:29">
      <c r="A574" s="1779"/>
      <c r="B574" s="1779"/>
      <c r="C574" s="1779"/>
      <c r="D574" s="1779"/>
      <c r="E574" s="1779"/>
      <c r="F574" s="1779"/>
      <c r="G574" s="1779"/>
      <c r="H574" s="1779"/>
      <c r="I574" s="1779"/>
      <c r="J574" s="1779"/>
      <c r="K574" s="1780"/>
      <c r="L574" s="1781"/>
      <c r="M574" s="1779"/>
      <c r="N574" s="1779"/>
      <c r="O574" s="1779"/>
      <c r="P574" s="1816"/>
      <c r="Q574" s="1779"/>
      <c r="R574" s="1779"/>
      <c r="S574" s="1779"/>
      <c r="T574" s="1779"/>
      <c r="U574" s="1779"/>
      <c r="V574" s="1779"/>
      <c r="W574" s="1779"/>
      <c r="X574" s="1779"/>
      <c r="Y574" s="1779"/>
      <c r="Z574" s="1779"/>
      <c r="AA574" s="1779"/>
      <c r="AB574" s="1779"/>
      <c r="AC574" s="1779"/>
    </row>
    <row r="575" spans="1:29">
      <c r="A575" s="1779"/>
      <c r="B575" s="1779"/>
      <c r="C575" s="1779"/>
      <c r="D575" s="1779"/>
      <c r="E575" s="1779"/>
      <c r="F575" s="1779"/>
      <c r="G575" s="1779"/>
      <c r="H575" s="1779"/>
      <c r="I575" s="1779"/>
      <c r="J575" s="1779"/>
      <c r="K575" s="1780"/>
      <c r="L575" s="1781"/>
      <c r="M575" s="1779"/>
      <c r="N575" s="1779"/>
      <c r="O575" s="1779"/>
      <c r="P575" s="1816"/>
      <c r="Q575" s="1779"/>
      <c r="R575" s="1779"/>
      <c r="S575" s="1779"/>
      <c r="T575" s="1779"/>
      <c r="U575" s="1779"/>
      <c r="V575" s="1779"/>
      <c r="W575" s="1779"/>
      <c r="X575" s="1779"/>
      <c r="Y575" s="1779"/>
      <c r="Z575" s="1779"/>
      <c r="AA575" s="1779"/>
      <c r="AB575" s="1779"/>
      <c r="AC575" s="1779"/>
    </row>
    <row r="576" spans="1:29">
      <c r="A576" s="1779"/>
      <c r="B576" s="1779"/>
      <c r="C576" s="1779"/>
      <c r="D576" s="1779"/>
      <c r="E576" s="1779"/>
      <c r="F576" s="1779"/>
      <c r="G576" s="1779"/>
      <c r="H576" s="1779"/>
      <c r="I576" s="1779"/>
      <c r="J576" s="1779"/>
      <c r="K576" s="1780"/>
      <c r="L576" s="1781"/>
      <c r="M576" s="1779"/>
      <c r="N576" s="1779"/>
      <c r="O576" s="1779"/>
      <c r="P576" s="1816"/>
      <c r="Q576" s="1779"/>
      <c r="R576" s="1779"/>
      <c r="S576" s="1779"/>
      <c r="T576" s="1779"/>
      <c r="U576" s="1779"/>
      <c r="V576" s="1779"/>
      <c r="W576" s="1779"/>
      <c r="X576" s="1779"/>
      <c r="Y576" s="1779"/>
      <c r="Z576" s="1779"/>
      <c r="AA576" s="1779"/>
      <c r="AB576" s="1779"/>
      <c r="AC576" s="1779"/>
    </row>
    <row r="577" spans="1:29">
      <c r="A577" s="1779"/>
      <c r="B577" s="1779"/>
      <c r="C577" s="1779"/>
      <c r="D577" s="1779"/>
      <c r="E577" s="1779"/>
      <c r="F577" s="1779"/>
      <c r="G577" s="1779"/>
      <c r="H577" s="1779"/>
      <c r="I577" s="1779"/>
      <c r="J577" s="1779"/>
      <c r="K577" s="1780"/>
      <c r="L577" s="1781"/>
      <c r="M577" s="1779"/>
      <c r="N577" s="1779"/>
      <c r="O577" s="1779"/>
      <c r="P577" s="1816"/>
      <c r="Q577" s="1779"/>
      <c r="R577" s="1779"/>
      <c r="S577" s="1779"/>
      <c r="T577" s="1779"/>
      <c r="U577" s="1779"/>
      <c r="V577" s="1779"/>
      <c r="W577" s="1779"/>
      <c r="X577" s="1779"/>
      <c r="Y577" s="1779"/>
      <c r="Z577" s="1779"/>
      <c r="AA577" s="1779"/>
      <c r="AB577" s="1779"/>
      <c r="AC577" s="1779"/>
    </row>
    <row r="578" spans="1:29">
      <c r="A578" s="1779"/>
      <c r="B578" s="1779"/>
      <c r="C578" s="1779"/>
      <c r="D578" s="1779"/>
      <c r="E578" s="1779"/>
      <c r="F578" s="1779"/>
      <c r="G578" s="1779"/>
      <c r="H578" s="1779"/>
      <c r="I578" s="1779"/>
      <c r="J578" s="1779"/>
      <c r="K578" s="1780"/>
      <c r="L578" s="1781"/>
      <c r="M578" s="1779"/>
      <c r="N578" s="1779"/>
      <c r="O578" s="1779"/>
      <c r="P578" s="1816"/>
      <c r="Q578" s="1779"/>
      <c r="R578" s="1779"/>
      <c r="S578" s="1779"/>
      <c r="T578" s="1779"/>
      <c r="U578" s="1779"/>
      <c r="V578" s="1779"/>
      <c r="W578" s="1779"/>
      <c r="X578" s="1779"/>
      <c r="Y578" s="1779"/>
      <c r="Z578" s="1779"/>
      <c r="AA578" s="1779"/>
      <c r="AB578" s="1779"/>
      <c r="AC578" s="1779"/>
    </row>
    <row r="579" spans="1:29">
      <c r="A579" s="1779"/>
      <c r="B579" s="1779"/>
      <c r="C579" s="1779"/>
      <c r="D579" s="1779"/>
      <c r="E579" s="1779"/>
      <c r="F579" s="1779"/>
      <c r="G579" s="1779"/>
      <c r="H579" s="1779"/>
      <c r="I579" s="1779"/>
      <c r="J579" s="1779"/>
      <c r="K579" s="1780"/>
      <c r="L579" s="1781"/>
      <c r="M579" s="1779"/>
      <c r="N579" s="1779"/>
      <c r="O579" s="1779"/>
      <c r="P579" s="1816"/>
      <c r="Q579" s="1779"/>
      <c r="R579" s="1779"/>
      <c r="S579" s="1779"/>
      <c r="T579" s="1779"/>
      <c r="U579" s="1779"/>
      <c r="V579" s="1779"/>
      <c r="W579" s="1779"/>
      <c r="X579" s="1779"/>
      <c r="Y579" s="1779"/>
      <c r="Z579" s="1779"/>
      <c r="AA579" s="1779"/>
      <c r="AB579" s="1779"/>
      <c r="AC579" s="1779"/>
    </row>
    <row r="580" spans="1:29">
      <c r="A580" s="1779"/>
      <c r="B580" s="1779"/>
      <c r="C580" s="1779"/>
      <c r="D580" s="1779"/>
      <c r="E580" s="1779"/>
      <c r="F580" s="1779"/>
      <c r="G580" s="1779"/>
      <c r="H580" s="1779"/>
      <c r="I580" s="1779"/>
      <c r="J580" s="1779"/>
      <c r="K580" s="1780"/>
      <c r="L580" s="1781"/>
      <c r="M580" s="1779"/>
      <c r="N580" s="1779"/>
      <c r="O580" s="1779"/>
      <c r="P580" s="1816"/>
      <c r="Q580" s="1779"/>
      <c r="R580" s="1779"/>
      <c r="S580" s="1779"/>
      <c r="T580" s="1779"/>
      <c r="U580" s="1779"/>
      <c r="V580" s="1779"/>
      <c r="W580" s="1779"/>
      <c r="X580" s="1779"/>
      <c r="Y580" s="1779"/>
      <c r="Z580" s="1779"/>
      <c r="AA580" s="1779"/>
      <c r="AB580" s="1779"/>
      <c r="AC580" s="1779"/>
    </row>
    <row r="581" spans="1:29">
      <c r="A581" s="1779"/>
      <c r="B581" s="1779"/>
      <c r="C581" s="1779"/>
      <c r="D581" s="1779"/>
      <c r="E581" s="1779"/>
      <c r="F581" s="1779"/>
      <c r="G581" s="1779"/>
      <c r="H581" s="1779"/>
      <c r="I581" s="1779"/>
      <c r="J581" s="1779"/>
      <c r="K581" s="1780"/>
      <c r="L581" s="1781"/>
      <c r="M581" s="1779"/>
      <c r="N581" s="1779"/>
      <c r="O581" s="1779"/>
      <c r="P581" s="1816"/>
      <c r="Q581" s="1779"/>
      <c r="R581" s="1779"/>
      <c r="S581" s="1779"/>
      <c r="T581" s="1779"/>
      <c r="U581" s="1779"/>
      <c r="V581" s="1779"/>
      <c r="W581" s="1779"/>
      <c r="X581" s="1779"/>
      <c r="Y581" s="1779"/>
      <c r="Z581" s="1779"/>
      <c r="AA581" s="1779"/>
      <c r="AB581" s="1779"/>
      <c r="AC581" s="1779"/>
    </row>
    <row r="582" spans="1:29">
      <c r="A582" s="1779"/>
      <c r="B582" s="1779"/>
      <c r="C582" s="1779"/>
      <c r="D582" s="1779"/>
      <c r="E582" s="1779"/>
      <c r="F582" s="1779"/>
      <c r="G582" s="1779"/>
      <c r="H582" s="1779"/>
      <c r="I582" s="1779"/>
      <c r="J582" s="1779"/>
      <c r="K582" s="1780"/>
      <c r="L582" s="1781"/>
      <c r="M582" s="1779"/>
      <c r="N582" s="1779"/>
      <c r="O582" s="1779"/>
      <c r="P582" s="1816"/>
      <c r="Q582" s="1779"/>
      <c r="R582" s="1779"/>
      <c r="S582" s="1779"/>
      <c r="T582" s="1779"/>
      <c r="U582" s="1779"/>
      <c r="V582" s="1779"/>
      <c r="W582" s="1779"/>
      <c r="X582" s="1779"/>
      <c r="Y582" s="1779"/>
      <c r="Z582" s="1779"/>
      <c r="AA582" s="1779"/>
      <c r="AB582" s="1779"/>
      <c r="AC582" s="1779"/>
    </row>
    <row r="583" spans="1:29">
      <c r="A583" s="1779"/>
      <c r="B583" s="1779"/>
      <c r="C583" s="1779"/>
      <c r="D583" s="1779"/>
      <c r="E583" s="1779"/>
      <c r="F583" s="1779"/>
      <c r="G583" s="1779"/>
      <c r="H583" s="1779"/>
      <c r="I583" s="1779"/>
      <c r="J583" s="1779"/>
      <c r="K583" s="1780"/>
      <c r="L583" s="1781"/>
      <c r="M583" s="1779"/>
      <c r="N583" s="1779"/>
      <c r="O583" s="1779"/>
      <c r="P583" s="1816"/>
      <c r="Q583" s="1779"/>
      <c r="R583" s="1779"/>
      <c r="S583" s="1779"/>
      <c r="T583" s="1779"/>
      <c r="U583" s="1779"/>
      <c r="V583" s="1779"/>
      <c r="W583" s="1779"/>
      <c r="X583" s="1779"/>
      <c r="Y583" s="1779"/>
      <c r="Z583" s="1779"/>
      <c r="AA583" s="1779"/>
      <c r="AB583" s="1779"/>
      <c r="AC583" s="1779"/>
    </row>
    <row r="584" spans="1:29">
      <c r="A584" s="1779"/>
      <c r="B584" s="1779"/>
      <c r="C584" s="1779"/>
      <c r="D584" s="1779"/>
      <c r="E584" s="1779"/>
      <c r="F584" s="1779"/>
      <c r="G584" s="1779"/>
      <c r="H584" s="1779"/>
      <c r="I584" s="1779"/>
      <c r="J584" s="1779"/>
      <c r="K584" s="1780"/>
      <c r="L584" s="1781"/>
      <c r="M584" s="1779"/>
      <c r="N584" s="1779"/>
      <c r="O584" s="1779"/>
      <c r="P584" s="1816"/>
      <c r="Q584" s="1779"/>
      <c r="R584" s="1779"/>
      <c r="S584" s="1779"/>
      <c r="T584" s="1779"/>
      <c r="U584" s="1779"/>
      <c r="V584" s="1779"/>
      <c r="W584" s="1779"/>
      <c r="X584" s="1779"/>
      <c r="Y584" s="1779"/>
      <c r="Z584" s="1779"/>
      <c r="AA584" s="1779"/>
      <c r="AB584" s="1779"/>
      <c r="AC584" s="1779"/>
    </row>
    <row r="585" spans="1:29">
      <c r="A585" s="1779"/>
      <c r="B585" s="1779"/>
      <c r="C585" s="1779"/>
      <c r="D585" s="1779"/>
      <c r="E585" s="1779"/>
      <c r="F585" s="1779"/>
      <c r="G585" s="1779"/>
      <c r="H585" s="1779"/>
      <c r="I585" s="1779"/>
      <c r="J585" s="1779"/>
      <c r="K585" s="1780"/>
      <c r="L585" s="1781"/>
      <c r="M585" s="1779"/>
      <c r="N585" s="1779"/>
      <c r="O585" s="1779"/>
      <c r="P585" s="1816"/>
      <c r="Q585" s="1779"/>
      <c r="R585" s="1779"/>
      <c r="S585" s="1779"/>
      <c r="T585" s="1779"/>
      <c r="U585" s="1779"/>
      <c r="V585" s="1779"/>
      <c r="W585" s="1779"/>
      <c r="X585" s="1779"/>
      <c r="Y585" s="1779"/>
      <c r="Z585" s="1779"/>
      <c r="AA585" s="1779"/>
      <c r="AB585" s="1779"/>
      <c r="AC585" s="1779"/>
    </row>
    <row r="586" spans="1:29">
      <c r="A586" s="1779"/>
      <c r="B586" s="1779"/>
      <c r="C586" s="1779"/>
      <c r="D586" s="1779"/>
      <c r="E586" s="1779"/>
      <c r="F586" s="1779"/>
      <c r="G586" s="1779"/>
      <c r="H586" s="1779"/>
      <c r="I586" s="1779"/>
      <c r="J586" s="1779"/>
      <c r="K586" s="1780"/>
      <c r="L586" s="1781"/>
      <c r="M586" s="1779"/>
      <c r="N586" s="1779"/>
      <c r="O586" s="1779"/>
      <c r="P586" s="1816"/>
      <c r="Q586" s="1779"/>
      <c r="R586" s="1779"/>
      <c r="S586" s="1779"/>
      <c r="T586" s="1779"/>
      <c r="U586" s="1779"/>
      <c r="V586" s="1779"/>
      <c r="W586" s="1779"/>
      <c r="X586" s="1779"/>
      <c r="Y586" s="1779"/>
      <c r="Z586" s="1779"/>
      <c r="AA586" s="1779"/>
      <c r="AB586" s="1779"/>
      <c r="AC586" s="1779"/>
    </row>
    <row r="587" spans="1:29">
      <c r="A587" s="1779"/>
      <c r="B587" s="1779"/>
      <c r="C587" s="1779"/>
      <c r="D587" s="1779"/>
      <c r="E587" s="1779"/>
      <c r="F587" s="1779"/>
      <c r="G587" s="1779"/>
      <c r="H587" s="1779"/>
      <c r="I587" s="1779"/>
      <c r="J587" s="1779"/>
      <c r="K587" s="1780"/>
      <c r="L587" s="1781"/>
      <c r="M587" s="1779"/>
      <c r="N587" s="1779"/>
      <c r="O587" s="1779"/>
      <c r="P587" s="1816"/>
      <c r="Q587" s="1779"/>
      <c r="R587" s="1779"/>
      <c r="S587" s="1779"/>
      <c r="T587" s="1779"/>
      <c r="U587" s="1779"/>
      <c r="V587" s="1779"/>
      <c r="W587" s="1779"/>
      <c r="X587" s="1779"/>
      <c r="Y587" s="1779"/>
      <c r="Z587" s="1779"/>
      <c r="AA587" s="1779"/>
      <c r="AB587" s="1779"/>
      <c r="AC587" s="1779"/>
    </row>
    <row r="588" spans="1:29">
      <c r="A588" s="1779"/>
      <c r="B588" s="1779"/>
      <c r="C588" s="1779"/>
      <c r="D588" s="1779"/>
      <c r="E588" s="1779"/>
      <c r="F588" s="1779"/>
      <c r="G588" s="1779"/>
      <c r="H588" s="1779"/>
      <c r="I588" s="1779"/>
      <c r="J588" s="1779"/>
      <c r="K588" s="1780"/>
      <c r="L588" s="1781"/>
      <c r="M588" s="1779"/>
      <c r="N588" s="1779"/>
      <c r="O588" s="1779"/>
      <c r="P588" s="1816"/>
      <c r="Q588" s="1779"/>
      <c r="R588" s="1779"/>
      <c r="S588" s="1779"/>
      <c r="T588" s="1779"/>
      <c r="U588" s="1779"/>
      <c r="V588" s="1779"/>
      <c r="W588" s="1779"/>
      <c r="X588" s="1779"/>
      <c r="Y588" s="1779"/>
      <c r="Z588" s="1779"/>
      <c r="AA588" s="1779"/>
      <c r="AB588" s="1779"/>
      <c r="AC588" s="1779"/>
    </row>
    <row r="589" spans="1:29">
      <c r="A589" s="1779"/>
      <c r="B589" s="1779"/>
      <c r="C589" s="1779"/>
      <c r="D589" s="1779"/>
      <c r="E589" s="1779"/>
      <c r="F589" s="1779"/>
      <c r="G589" s="1779"/>
      <c r="H589" s="1779"/>
      <c r="I589" s="1779"/>
      <c r="J589" s="1779"/>
      <c r="K589" s="1780"/>
      <c r="L589" s="1781"/>
      <c r="M589" s="1779"/>
      <c r="N589" s="1779"/>
      <c r="O589" s="1779"/>
      <c r="P589" s="1816"/>
      <c r="Q589" s="1779"/>
      <c r="R589" s="1779"/>
      <c r="S589" s="1779"/>
      <c r="T589" s="1779"/>
      <c r="U589" s="1779"/>
      <c r="V589" s="1779"/>
      <c r="W589" s="1779"/>
      <c r="X589" s="1779"/>
      <c r="Y589" s="1779"/>
      <c r="Z589" s="1779"/>
      <c r="AA589" s="1779"/>
      <c r="AB589" s="1779"/>
      <c r="AC589" s="1779"/>
    </row>
    <row r="590" spans="1:29">
      <c r="A590" s="1779"/>
      <c r="B590" s="1779"/>
      <c r="C590" s="1779"/>
      <c r="D590" s="1779"/>
      <c r="E590" s="1779"/>
      <c r="F590" s="1779"/>
      <c r="G590" s="1779"/>
      <c r="H590" s="1779"/>
      <c r="I590" s="1779"/>
      <c r="J590" s="1779"/>
      <c r="K590" s="1780"/>
      <c r="L590" s="1781"/>
      <c r="M590" s="1779"/>
      <c r="N590" s="1779"/>
      <c r="O590" s="1779"/>
      <c r="P590" s="1816"/>
      <c r="Q590" s="1779"/>
      <c r="R590" s="1779"/>
      <c r="S590" s="1779"/>
      <c r="T590" s="1779"/>
      <c r="U590" s="1779"/>
      <c r="V590" s="1779"/>
      <c r="W590" s="1779"/>
      <c r="X590" s="1779"/>
      <c r="Y590" s="1779"/>
      <c r="Z590" s="1779"/>
      <c r="AA590" s="1779"/>
      <c r="AB590" s="1779"/>
      <c r="AC590" s="1779"/>
    </row>
    <row r="591" spans="1:29">
      <c r="A591" s="1779"/>
      <c r="B591" s="1779"/>
      <c r="C591" s="1779"/>
      <c r="D591" s="1779"/>
      <c r="E591" s="1779"/>
      <c r="F591" s="1779"/>
      <c r="G591" s="1779"/>
      <c r="H591" s="1779"/>
      <c r="I591" s="1779"/>
      <c r="J591" s="1779"/>
      <c r="K591" s="1780"/>
      <c r="L591" s="1781"/>
      <c r="M591" s="1779"/>
      <c r="N591" s="1779"/>
      <c r="O591" s="1779"/>
      <c r="P591" s="1816"/>
      <c r="Q591" s="1779"/>
      <c r="R591" s="1779"/>
      <c r="S591" s="1779"/>
      <c r="T591" s="1779"/>
      <c r="U591" s="1779"/>
      <c r="V591" s="1779"/>
      <c r="W591" s="1779"/>
      <c r="X591" s="1779"/>
      <c r="Y591" s="1779"/>
      <c r="Z591" s="1779"/>
      <c r="AA591" s="1779"/>
      <c r="AB591" s="1779"/>
      <c r="AC591" s="1779"/>
    </row>
    <row r="592" spans="1:29">
      <c r="A592" s="1779"/>
      <c r="B592" s="1779"/>
      <c r="C592" s="1779"/>
      <c r="D592" s="1779"/>
      <c r="E592" s="1779"/>
      <c r="F592" s="1779"/>
      <c r="G592" s="1779"/>
      <c r="H592" s="1779"/>
      <c r="I592" s="1779"/>
      <c r="J592" s="1779"/>
      <c r="K592" s="1780"/>
      <c r="L592" s="1781"/>
      <c r="M592" s="1779"/>
      <c r="N592" s="1779"/>
      <c r="O592" s="1779"/>
      <c r="P592" s="1816"/>
      <c r="Q592" s="1779"/>
      <c r="R592" s="1779"/>
      <c r="S592" s="1779"/>
      <c r="T592" s="1779"/>
      <c r="U592" s="1779"/>
      <c r="V592" s="1779"/>
      <c r="W592" s="1779"/>
      <c r="X592" s="1779"/>
      <c r="Y592" s="1779"/>
      <c r="Z592" s="1779"/>
      <c r="AA592" s="1779"/>
      <c r="AB592" s="1779"/>
      <c r="AC592" s="1779"/>
    </row>
    <row r="593" spans="1:29">
      <c r="A593" s="1779"/>
      <c r="B593" s="1779"/>
      <c r="C593" s="1779"/>
      <c r="D593" s="1779"/>
      <c r="E593" s="1779"/>
      <c r="F593" s="1779"/>
      <c r="G593" s="1779"/>
      <c r="H593" s="1779"/>
      <c r="I593" s="1779"/>
      <c r="J593" s="1779"/>
      <c r="K593" s="1780"/>
      <c r="L593" s="1781"/>
      <c r="M593" s="1779"/>
      <c r="N593" s="1779"/>
      <c r="O593" s="1779"/>
      <c r="P593" s="1816"/>
      <c r="Q593" s="1779"/>
      <c r="R593" s="1779"/>
      <c r="S593" s="1779"/>
      <c r="T593" s="1779"/>
      <c r="U593" s="1779"/>
      <c r="V593" s="1779"/>
      <c r="W593" s="1779"/>
      <c r="X593" s="1779"/>
      <c r="Y593" s="1779"/>
      <c r="Z593" s="1779"/>
      <c r="AA593" s="1779"/>
      <c r="AB593" s="1779"/>
      <c r="AC593" s="1779"/>
    </row>
    <row r="594" spans="1:29">
      <c r="A594" s="1779"/>
      <c r="B594" s="1779"/>
      <c r="C594" s="1779"/>
      <c r="D594" s="1779"/>
      <c r="E594" s="1779"/>
      <c r="F594" s="1779"/>
      <c r="G594" s="1779"/>
      <c r="H594" s="1779"/>
      <c r="I594" s="1779"/>
      <c r="J594" s="1779"/>
      <c r="K594" s="1780"/>
      <c r="L594" s="1781"/>
      <c r="M594" s="1779"/>
      <c r="N594" s="1779"/>
      <c r="O594" s="1779"/>
      <c r="P594" s="1816"/>
      <c r="Q594" s="1779"/>
      <c r="R594" s="1779"/>
      <c r="S594" s="1779"/>
      <c r="T594" s="1779"/>
      <c r="U594" s="1779"/>
      <c r="V594" s="1779"/>
      <c r="W594" s="1779"/>
      <c r="X594" s="1779"/>
      <c r="Y594" s="1779"/>
      <c r="Z594" s="1779"/>
      <c r="AA594" s="1779"/>
      <c r="AB594" s="1779"/>
      <c r="AC594" s="1779"/>
    </row>
    <row r="595" spans="1:29">
      <c r="A595" s="1779"/>
      <c r="B595" s="1779"/>
      <c r="C595" s="1779"/>
      <c r="D595" s="1779"/>
      <c r="E595" s="1779"/>
      <c r="F595" s="1779"/>
      <c r="G595" s="1779"/>
      <c r="H595" s="1779"/>
      <c r="I595" s="1779"/>
      <c r="J595" s="1779"/>
      <c r="K595" s="1780"/>
      <c r="L595" s="1781"/>
      <c r="M595" s="1779"/>
      <c r="N595" s="1779"/>
      <c r="O595" s="1779"/>
      <c r="P595" s="1816"/>
      <c r="Q595" s="1779"/>
      <c r="R595" s="1779"/>
      <c r="S595" s="1779"/>
      <c r="T595" s="1779"/>
      <c r="U595" s="1779"/>
      <c r="V595" s="1779"/>
      <c r="W595" s="1779"/>
      <c r="X595" s="1779"/>
      <c r="Y595" s="1779"/>
      <c r="Z595" s="1779"/>
      <c r="AA595" s="1779"/>
      <c r="AB595" s="1779"/>
      <c r="AC595" s="1779"/>
    </row>
    <row r="596" spans="1:29">
      <c r="A596" s="1779"/>
      <c r="B596" s="1779"/>
      <c r="C596" s="1779"/>
      <c r="D596" s="1779"/>
      <c r="E596" s="1779"/>
      <c r="F596" s="1779"/>
      <c r="G596" s="1779"/>
      <c r="H596" s="1779"/>
      <c r="I596" s="1779"/>
      <c r="J596" s="1779"/>
      <c r="K596" s="1780"/>
      <c r="L596" s="1781"/>
      <c r="M596" s="1779"/>
      <c r="N596" s="1779"/>
      <c r="O596" s="1779"/>
      <c r="P596" s="1816"/>
      <c r="Q596" s="1779"/>
      <c r="R596" s="1779"/>
      <c r="S596" s="1779"/>
      <c r="T596" s="1779"/>
      <c r="U596" s="1779"/>
      <c r="V596" s="1779"/>
      <c r="W596" s="1779"/>
      <c r="X596" s="1779"/>
      <c r="Y596" s="1779"/>
      <c r="Z596" s="1779"/>
      <c r="AA596" s="1779"/>
      <c r="AB596" s="1779"/>
      <c r="AC596" s="1779"/>
    </row>
    <row r="597" spans="1:29">
      <c r="A597" s="1779"/>
      <c r="B597" s="1779"/>
      <c r="C597" s="1779"/>
      <c r="D597" s="1779"/>
      <c r="E597" s="1779"/>
      <c r="F597" s="1779"/>
      <c r="G597" s="1779"/>
      <c r="H597" s="1779"/>
      <c r="I597" s="1779"/>
      <c r="J597" s="1779"/>
      <c r="K597" s="1780"/>
      <c r="L597" s="1781"/>
      <c r="M597" s="1779"/>
      <c r="N597" s="1779"/>
      <c r="O597" s="1779"/>
      <c r="P597" s="1816"/>
      <c r="Q597" s="1779"/>
      <c r="R597" s="1779"/>
      <c r="S597" s="1779"/>
      <c r="T597" s="1779"/>
      <c r="U597" s="1779"/>
      <c r="V597" s="1779"/>
      <c r="W597" s="1779"/>
      <c r="X597" s="1779"/>
      <c r="Y597" s="1779"/>
      <c r="Z597" s="1779"/>
      <c r="AA597" s="1779"/>
      <c r="AB597" s="1779"/>
      <c r="AC597" s="1779"/>
    </row>
    <row r="598" spans="1:29">
      <c r="A598" s="1779"/>
      <c r="B598" s="1779"/>
      <c r="C598" s="1779"/>
      <c r="D598" s="1779"/>
      <c r="E598" s="1779"/>
      <c r="F598" s="1779"/>
      <c r="G598" s="1779"/>
      <c r="H598" s="1779"/>
      <c r="I598" s="1779"/>
      <c r="J598" s="1779"/>
      <c r="K598" s="1780"/>
      <c r="L598" s="1781"/>
      <c r="M598" s="1779"/>
      <c r="N598" s="1779"/>
      <c r="O598" s="1779"/>
      <c r="P598" s="1816"/>
      <c r="Q598" s="1779"/>
      <c r="R598" s="1779"/>
      <c r="S598" s="1779"/>
      <c r="T598" s="1779"/>
      <c r="U598" s="1779"/>
      <c r="V598" s="1779"/>
      <c r="W598" s="1779"/>
      <c r="X598" s="1779"/>
      <c r="Y598" s="1779"/>
      <c r="Z598" s="1779"/>
      <c r="AA598" s="1779"/>
      <c r="AB598" s="1779"/>
      <c r="AC598" s="1779"/>
    </row>
    <row r="599" spans="1:29">
      <c r="A599" s="1779"/>
      <c r="B599" s="1779"/>
      <c r="C599" s="1779"/>
      <c r="D599" s="1779"/>
      <c r="E599" s="1779"/>
      <c r="F599" s="1779"/>
      <c r="G599" s="1779"/>
      <c r="H599" s="1779"/>
      <c r="I599" s="1779"/>
      <c r="J599" s="1779"/>
      <c r="K599" s="1780"/>
      <c r="L599" s="1781"/>
      <c r="M599" s="1779"/>
      <c r="N599" s="1779"/>
      <c r="O599" s="1779"/>
      <c r="P599" s="1816"/>
      <c r="Q599" s="1779"/>
      <c r="R599" s="1779"/>
      <c r="S599" s="1779"/>
      <c r="T599" s="1779"/>
      <c r="U599" s="1779"/>
      <c r="V599" s="1779"/>
      <c r="W599" s="1779"/>
      <c r="X599" s="1779"/>
      <c r="Y599" s="1779"/>
      <c r="Z599" s="1779"/>
      <c r="AA599" s="1779"/>
      <c r="AB599" s="1779"/>
      <c r="AC599" s="1779"/>
    </row>
    <row r="600" spans="1:29">
      <c r="A600" s="1779"/>
      <c r="B600" s="1779"/>
      <c r="C600" s="1779"/>
      <c r="D600" s="1779"/>
      <c r="E600" s="1779"/>
      <c r="F600" s="1779"/>
      <c r="G600" s="1779"/>
      <c r="H600" s="1779"/>
      <c r="I600" s="1779"/>
      <c r="J600" s="1779"/>
      <c r="K600" s="1780"/>
      <c r="L600" s="1781"/>
      <c r="M600" s="1779"/>
      <c r="N600" s="1779"/>
      <c r="O600" s="1779"/>
      <c r="P600" s="1816"/>
      <c r="Q600" s="1779"/>
      <c r="R600" s="1779"/>
      <c r="S600" s="1779"/>
      <c r="T600" s="1779"/>
      <c r="U600" s="1779"/>
      <c r="V600" s="1779"/>
      <c r="W600" s="1779"/>
      <c r="X600" s="1779"/>
      <c r="Y600" s="1779"/>
      <c r="Z600" s="1779"/>
      <c r="AA600" s="1779"/>
      <c r="AB600" s="1779"/>
      <c r="AC600" s="1779"/>
    </row>
    <row r="601" spans="1:29">
      <c r="A601" s="1779"/>
      <c r="B601" s="1779"/>
      <c r="C601" s="1779"/>
      <c r="D601" s="1779"/>
      <c r="E601" s="1779"/>
      <c r="F601" s="1779"/>
      <c r="G601" s="1779"/>
      <c r="H601" s="1779"/>
      <c r="I601" s="1779"/>
      <c r="J601" s="1779"/>
      <c r="K601" s="1780"/>
      <c r="L601" s="1781"/>
      <c r="M601" s="1779"/>
      <c r="N601" s="1779"/>
      <c r="O601" s="1779"/>
      <c r="P601" s="1816"/>
      <c r="Q601" s="1779"/>
      <c r="R601" s="1779"/>
      <c r="S601" s="1779"/>
      <c r="T601" s="1779"/>
      <c r="U601" s="1779"/>
      <c r="V601" s="1779"/>
      <c r="W601" s="1779"/>
      <c r="X601" s="1779"/>
      <c r="Y601" s="1779"/>
      <c r="Z601" s="1779"/>
      <c r="AA601" s="1779"/>
      <c r="AB601" s="1779"/>
      <c r="AC601" s="1779"/>
    </row>
    <row r="602" spans="1:29">
      <c r="A602" s="1779"/>
      <c r="B602" s="1779"/>
      <c r="C602" s="1779"/>
      <c r="D602" s="1779"/>
      <c r="E602" s="1779"/>
      <c r="F602" s="1779"/>
      <c r="G602" s="1779"/>
      <c r="H602" s="1779"/>
      <c r="I602" s="1779"/>
      <c r="J602" s="1779"/>
      <c r="K602" s="1780"/>
      <c r="L602" s="1781"/>
      <c r="M602" s="1779"/>
      <c r="N602" s="1779"/>
      <c r="O602" s="1779"/>
      <c r="P602" s="1816"/>
      <c r="Q602" s="1779"/>
      <c r="R602" s="1779"/>
      <c r="S602" s="1779"/>
      <c r="T602" s="1779"/>
      <c r="U602" s="1779"/>
      <c r="V602" s="1779"/>
      <c r="W602" s="1779"/>
      <c r="X602" s="1779"/>
      <c r="Y602" s="1779"/>
      <c r="Z602" s="1779"/>
      <c r="AA602" s="1779"/>
      <c r="AB602" s="1779"/>
      <c r="AC602" s="1779"/>
    </row>
    <row r="603" spans="1:29">
      <c r="A603" s="1779"/>
      <c r="B603" s="1779"/>
      <c r="C603" s="1779"/>
      <c r="D603" s="1779"/>
      <c r="E603" s="1779"/>
      <c r="F603" s="1779"/>
      <c r="G603" s="1779"/>
      <c r="H603" s="1779"/>
      <c r="I603" s="1779"/>
      <c r="J603" s="1779"/>
      <c r="K603" s="1780"/>
      <c r="L603" s="1781"/>
      <c r="M603" s="1779"/>
      <c r="N603" s="1779"/>
      <c r="O603" s="1779"/>
      <c r="P603" s="1816"/>
      <c r="Q603" s="1779"/>
      <c r="R603" s="1779"/>
      <c r="S603" s="1779"/>
      <c r="T603" s="1779"/>
      <c r="U603" s="1779"/>
      <c r="V603" s="1779"/>
      <c r="W603" s="1779"/>
      <c r="X603" s="1779"/>
      <c r="Y603" s="1779"/>
      <c r="Z603" s="1779"/>
      <c r="AA603" s="1779"/>
      <c r="AB603" s="1779"/>
      <c r="AC603" s="1779"/>
    </row>
    <row r="604" spans="1:29">
      <c r="A604" s="1779"/>
      <c r="B604" s="1779"/>
      <c r="C604" s="1779"/>
      <c r="D604" s="1779"/>
      <c r="E604" s="1779"/>
      <c r="F604" s="1779"/>
      <c r="G604" s="1779"/>
      <c r="H604" s="1779"/>
      <c r="I604" s="1779"/>
      <c r="J604" s="1779"/>
      <c r="K604" s="1780"/>
      <c r="L604" s="1781"/>
      <c r="M604" s="1779"/>
      <c r="N604" s="1779"/>
      <c r="O604" s="1779"/>
      <c r="P604" s="1816"/>
      <c r="Q604" s="1779"/>
      <c r="R604" s="1779"/>
      <c r="S604" s="1779"/>
      <c r="T604" s="1779"/>
      <c r="U604" s="1779"/>
      <c r="V604" s="1779"/>
      <c r="W604" s="1779"/>
      <c r="X604" s="1779"/>
      <c r="Y604" s="1779"/>
      <c r="Z604" s="1779"/>
      <c r="AA604" s="1779"/>
      <c r="AB604" s="1779"/>
      <c r="AC604" s="1779"/>
    </row>
    <row r="605" spans="1:29">
      <c r="A605" s="1779"/>
      <c r="B605" s="1779"/>
      <c r="C605" s="1779"/>
      <c r="D605" s="1779"/>
      <c r="E605" s="1779"/>
      <c r="F605" s="1779"/>
      <c r="G605" s="1779"/>
      <c r="H605" s="1779"/>
      <c r="I605" s="1779"/>
      <c r="J605" s="1779"/>
      <c r="K605" s="1780"/>
      <c r="L605" s="1781"/>
      <c r="M605" s="1779"/>
      <c r="N605" s="1779"/>
      <c r="O605" s="1779"/>
      <c r="P605" s="1816"/>
      <c r="Q605" s="1779"/>
      <c r="R605" s="1779"/>
      <c r="S605" s="1779"/>
      <c r="T605" s="1779"/>
      <c r="U605" s="1779"/>
      <c r="V605" s="1779"/>
      <c r="W605" s="1779"/>
      <c r="X605" s="1779"/>
      <c r="Y605" s="1779"/>
      <c r="Z605" s="1779"/>
      <c r="AA605" s="1779"/>
      <c r="AB605" s="1779"/>
      <c r="AC605" s="1779"/>
    </row>
    <row r="606" spans="1:29">
      <c r="A606" s="1779"/>
      <c r="B606" s="1779"/>
      <c r="C606" s="1779"/>
      <c r="D606" s="1779"/>
      <c r="E606" s="1779"/>
      <c r="F606" s="1779"/>
      <c r="G606" s="1779"/>
      <c r="H606" s="1779"/>
      <c r="I606" s="1779"/>
      <c r="J606" s="1779"/>
      <c r="K606" s="1780"/>
      <c r="L606" s="1781"/>
      <c r="M606" s="1779"/>
      <c r="N606" s="1779"/>
      <c r="O606" s="1779"/>
      <c r="P606" s="1816"/>
      <c r="Q606" s="1779"/>
      <c r="R606" s="1779"/>
      <c r="S606" s="1779"/>
      <c r="T606" s="1779"/>
      <c r="U606" s="1779"/>
      <c r="V606" s="1779"/>
      <c r="W606" s="1779"/>
      <c r="X606" s="1779"/>
      <c r="Y606" s="1779"/>
      <c r="Z606" s="1779"/>
      <c r="AA606" s="1779"/>
      <c r="AB606" s="1779"/>
      <c r="AC606" s="1779"/>
    </row>
    <row r="607" spans="1:29">
      <c r="A607" s="1779"/>
      <c r="B607" s="1779"/>
      <c r="C607" s="1779"/>
      <c r="D607" s="1779"/>
      <c r="E607" s="1779"/>
      <c r="F607" s="1779"/>
      <c r="G607" s="1779"/>
      <c r="H607" s="1779"/>
      <c r="I607" s="1779"/>
      <c r="J607" s="1779"/>
      <c r="K607" s="1780"/>
      <c r="L607" s="1781"/>
      <c r="M607" s="1779"/>
      <c r="N607" s="1779"/>
      <c r="O607" s="1779"/>
      <c r="P607" s="1816"/>
      <c r="Q607" s="1779"/>
      <c r="R607" s="1779"/>
      <c r="S607" s="1779"/>
      <c r="T607" s="1779"/>
      <c r="U607" s="1779"/>
      <c r="V607" s="1779"/>
      <c r="W607" s="1779"/>
      <c r="X607" s="1779"/>
      <c r="Y607" s="1779"/>
      <c r="Z607" s="1779"/>
      <c r="AA607" s="1779"/>
      <c r="AB607" s="1779"/>
      <c r="AC607" s="1779"/>
    </row>
    <row r="608" spans="1:29">
      <c r="A608" s="1779"/>
      <c r="B608" s="1779"/>
      <c r="C608" s="1779"/>
      <c r="D608" s="1779"/>
      <c r="E608" s="1779"/>
      <c r="F608" s="1779"/>
      <c r="G608" s="1779"/>
      <c r="H608" s="1779"/>
      <c r="I608" s="1779"/>
      <c r="J608" s="1779"/>
      <c r="K608" s="1780"/>
      <c r="L608" s="1781"/>
      <c r="M608" s="1779"/>
      <c r="N608" s="1779"/>
      <c r="O608" s="1779"/>
      <c r="P608" s="1816"/>
      <c r="Q608" s="1779"/>
      <c r="R608" s="1779"/>
      <c r="S608" s="1779"/>
      <c r="T608" s="1779"/>
      <c r="U608" s="1779"/>
      <c r="V608" s="1779"/>
      <c r="W608" s="1779"/>
      <c r="X608" s="1779"/>
      <c r="Y608" s="1779"/>
      <c r="Z608" s="1779"/>
      <c r="AA608" s="1779"/>
      <c r="AB608" s="1779"/>
      <c r="AC608" s="1779"/>
    </row>
    <row r="609" spans="1:29">
      <c r="A609" s="1779"/>
      <c r="B609" s="1779"/>
      <c r="C609" s="1779"/>
      <c r="D609" s="1779"/>
      <c r="E609" s="1779"/>
      <c r="F609" s="1779"/>
      <c r="G609" s="1779"/>
      <c r="H609" s="1779"/>
      <c r="I609" s="1779"/>
      <c r="J609" s="1779"/>
      <c r="K609" s="1780"/>
      <c r="L609" s="1781"/>
      <c r="M609" s="1779"/>
      <c r="N609" s="1779"/>
      <c r="O609" s="1779"/>
      <c r="P609" s="1816"/>
      <c r="Q609" s="1779"/>
      <c r="R609" s="1779"/>
      <c r="S609" s="1779"/>
      <c r="T609" s="1779"/>
      <c r="U609" s="1779"/>
      <c r="V609" s="1779"/>
      <c r="W609" s="1779"/>
      <c r="X609" s="1779"/>
      <c r="Y609" s="1779"/>
      <c r="Z609" s="1779"/>
      <c r="AA609" s="1779"/>
      <c r="AB609" s="1779"/>
      <c r="AC609" s="1779"/>
    </row>
    <row r="610" spans="1:29">
      <c r="A610" s="1779"/>
      <c r="B610" s="1779"/>
      <c r="C610" s="1779"/>
      <c r="D610" s="1779"/>
      <c r="E610" s="1779"/>
      <c r="F610" s="1779"/>
      <c r="G610" s="1779"/>
      <c r="H610" s="1779"/>
      <c r="I610" s="1779"/>
      <c r="J610" s="1779"/>
      <c r="K610" s="1780"/>
      <c r="L610" s="1781"/>
      <c r="M610" s="1779"/>
      <c r="N610" s="1779"/>
      <c r="O610" s="1779"/>
      <c r="P610" s="1816"/>
      <c r="Q610" s="1779"/>
      <c r="R610" s="1779"/>
      <c r="S610" s="1779"/>
      <c r="T610" s="1779"/>
      <c r="U610" s="1779"/>
      <c r="V610" s="1779"/>
      <c r="W610" s="1779"/>
      <c r="X610" s="1779"/>
      <c r="Y610" s="1779"/>
      <c r="Z610" s="1779"/>
      <c r="AA610" s="1779"/>
      <c r="AB610" s="1779"/>
      <c r="AC610" s="1779"/>
    </row>
    <row r="611" spans="1:29">
      <c r="A611" s="1779"/>
      <c r="B611" s="1779"/>
      <c r="C611" s="1779"/>
      <c r="D611" s="1779"/>
      <c r="E611" s="1779"/>
      <c r="F611" s="1779"/>
      <c r="G611" s="1779"/>
      <c r="H611" s="1779"/>
      <c r="I611" s="1779"/>
      <c r="J611" s="1779"/>
      <c r="K611" s="1780"/>
      <c r="L611" s="1781"/>
      <c r="M611" s="1779"/>
      <c r="N611" s="1779"/>
      <c r="O611" s="1779"/>
      <c r="P611" s="1816"/>
      <c r="Q611" s="1779"/>
      <c r="R611" s="1779"/>
      <c r="S611" s="1779"/>
      <c r="T611" s="1779"/>
      <c r="U611" s="1779"/>
      <c r="V611" s="1779"/>
      <c r="W611" s="1779"/>
      <c r="X611" s="1779"/>
      <c r="Y611" s="1779"/>
      <c r="Z611" s="1779"/>
      <c r="AA611" s="1779"/>
      <c r="AB611" s="1779"/>
      <c r="AC611" s="1779"/>
    </row>
    <row r="612" spans="1:29">
      <c r="A612" s="1779"/>
      <c r="B612" s="1779"/>
      <c r="C612" s="1779"/>
      <c r="D612" s="1779"/>
      <c r="E612" s="1779"/>
      <c r="F612" s="1779"/>
      <c r="G612" s="1779"/>
      <c r="H612" s="1779"/>
      <c r="I612" s="1779"/>
      <c r="J612" s="1779"/>
      <c r="K612" s="1780"/>
      <c r="L612" s="1781"/>
      <c r="M612" s="1779"/>
      <c r="N612" s="1779"/>
      <c r="O612" s="1779"/>
      <c r="P612" s="1816"/>
      <c r="Q612" s="1779"/>
      <c r="R612" s="1779"/>
      <c r="S612" s="1779"/>
      <c r="T612" s="1779"/>
      <c r="U612" s="1779"/>
      <c r="V612" s="1779"/>
      <c r="W612" s="1779"/>
      <c r="X612" s="1779"/>
      <c r="Y612" s="1779"/>
      <c r="Z612" s="1779"/>
      <c r="AA612" s="1779"/>
      <c r="AB612" s="1779"/>
      <c r="AC612" s="1779"/>
    </row>
    <row r="613" spans="1:29">
      <c r="A613" s="1779"/>
      <c r="B613" s="1779"/>
      <c r="C613" s="1779"/>
      <c r="D613" s="1779"/>
      <c r="E613" s="1779"/>
      <c r="F613" s="1779"/>
      <c r="G613" s="1779"/>
      <c r="H613" s="1779"/>
      <c r="I613" s="1779"/>
      <c r="J613" s="1779"/>
      <c r="K613" s="1780"/>
      <c r="L613" s="1781"/>
      <c r="M613" s="1779"/>
      <c r="N613" s="1779"/>
      <c r="O613" s="1779"/>
      <c r="P613" s="1816"/>
      <c r="Q613" s="1779"/>
      <c r="R613" s="1779"/>
      <c r="S613" s="1779"/>
      <c r="T613" s="1779"/>
      <c r="U613" s="1779"/>
      <c r="V613" s="1779"/>
      <c r="W613" s="1779"/>
      <c r="X613" s="1779"/>
      <c r="Y613" s="1779"/>
      <c r="Z613" s="1779"/>
      <c r="AA613" s="1779"/>
      <c r="AB613" s="1779"/>
      <c r="AC613" s="1779"/>
    </row>
    <row r="614" spans="1:29">
      <c r="A614" s="1779"/>
      <c r="B614" s="1779"/>
      <c r="C614" s="1779"/>
      <c r="D614" s="1779"/>
      <c r="E614" s="1779"/>
      <c r="F614" s="1779"/>
      <c r="G614" s="1779"/>
      <c r="H614" s="1779"/>
      <c r="I614" s="1779"/>
      <c r="J614" s="1779"/>
      <c r="K614" s="1780"/>
      <c r="L614" s="1781"/>
      <c r="M614" s="1779"/>
      <c r="N614" s="1779"/>
      <c r="O614" s="1779"/>
      <c r="P614" s="1816"/>
      <c r="Q614" s="1779"/>
      <c r="R614" s="1779"/>
      <c r="S614" s="1779"/>
      <c r="T614" s="1779"/>
      <c r="U614" s="1779"/>
      <c r="V614" s="1779"/>
      <c r="W614" s="1779"/>
      <c r="X614" s="1779"/>
      <c r="Y614" s="1779"/>
      <c r="Z614" s="1779"/>
      <c r="AA614" s="1779"/>
      <c r="AB614" s="1779"/>
      <c r="AC614" s="1779"/>
    </row>
    <row r="615" spans="1:29">
      <c r="A615" s="1779"/>
      <c r="B615" s="1779"/>
      <c r="C615" s="1779"/>
      <c r="D615" s="1779"/>
      <c r="E615" s="1779"/>
      <c r="F615" s="1779"/>
      <c r="G615" s="1779"/>
      <c r="H615" s="1779"/>
      <c r="I615" s="1779"/>
      <c r="J615" s="1779"/>
      <c r="K615" s="1780"/>
      <c r="L615" s="1781"/>
      <c r="M615" s="1779"/>
      <c r="N615" s="1779"/>
      <c r="O615" s="1779"/>
      <c r="P615" s="1816"/>
      <c r="Q615" s="1779"/>
      <c r="R615" s="1779"/>
      <c r="S615" s="1779"/>
      <c r="T615" s="1779"/>
      <c r="U615" s="1779"/>
      <c r="V615" s="1779"/>
      <c r="W615" s="1779"/>
      <c r="X615" s="1779"/>
      <c r="Y615" s="1779"/>
      <c r="Z615" s="1779"/>
      <c r="AA615" s="1779"/>
      <c r="AB615" s="1779"/>
      <c r="AC615" s="1779"/>
    </row>
    <row r="616" spans="1:29">
      <c r="A616" s="1779"/>
      <c r="B616" s="1779"/>
      <c r="C616" s="1779"/>
      <c r="D616" s="1779"/>
      <c r="E616" s="1779"/>
      <c r="F616" s="1779"/>
      <c r="G616" s="1779"/>
      <c r="H616" s="1779"/>
      <c r="I616" s="1779"/>
      <c r="J616" s="1779"/>
      <c r="K616" s="1780"/>
      <c r="L616" s="1781"/>
      <c r="M616" s="1779"/>
      <c r="N616" s="1779"/>
      <c r="O616" s="1779"/>
      <c r="P616" s="1816"/>
      <c r="Q616" s="1779"/>
      <c r="R616" s="1779"/>
      <c r="S616" s="1779"/>
      <c r="T616" s="1779"/>
      <c r="U616" s="1779"/>
      <c r="V616" s="1779"/>
      <c r="W616" s="1779"/>
      <c r="X616" s="1779"/>
      <c r="Y616" s="1779"/>
      <c r="Z616" s="1779"/>
      <c r="AA616" s="1779"/>
      <c r="AB616" s="1779"/>
      <c r="AC616" s="1779"/>
    </row>
    <row r="617" spans="1:29">
      <c r="A617" s="1779"/>
      <c r="B617" s="1779"/>
      <c r="C617" s="1779"/>
      <c r="D617" s="1779"/>
      <c r="E617" s="1779"/>
      <c r="F617" s="1779"/>
      <c r="G617" s="1779"/>
      <c r="H617" s="1779"/>
      <c r="I617" s="1779"/>
      <c r="J617" s="1779"/>
      <c r="K617" s="1780"/>
      <c r="L617" s="1781"/>
      <c r="M617" s="1779"/>
      <c r="N617" s="1779"/>
      <c r="O617" s="1779"/>
      <c r="P617" s="1816"/>
      <c r="Q617" s="1779"/>
      <c r="R617" s="1779"/>
      <c r="S617" s="1779"/>
      <c r="T617" s="1779"/>
      <c r="U617" s="1779"/>
      <c r="V617" s="1779"/>
      <c r="W617" s="1779"/>
      <c r="X617" s="1779"/>
      <c r="Y617" s="1779"/>
      <c r="Z617" s="1779"/>
      <c r="AA617" s="1779"/>
      <c r="AB617" s="1779"/>
      <c r="AC617" s="1779"/>
    </row>
    <row r="618" spans="1:29">
      <c r="A618" s="1779"/>
      <c r="B618" s="1779"/>
      <c r="C618" s="1779"/>
      <c r="D618" s="1779"/>
      <c r="E618" s="1779"/>
      <c r="F618" s="1779"/>
      <c r="G618" s="1779"/>
      <c r="H618" s="1779"/>
      <c r="I618" s="1779"/>
      <c r="J618" s="1779"/>
      <c r="K618" s="1780"/>
      <c r="L618" s="1781"/>
      <c r="M618" s="1779"/>
      <c r="N618" s="1779"/>
      <c r="O618" s="1779"/>
      <c r="P618" s="1816"/>
      <c r="Q618" s="1779"/>
      <c r="R618" s="1779"/>
      <c r="S618" s="1779"/>
      <c r="T618" s="1779"/>
      <c r="U618" s="1779"/>
      <c r="V618" s="1779"/>
      <c r="W618" s="1779"/>
      <c r="X618" s="1779"/>
      <c r="Y618" s="1779"/>
      <c r="Z618" s="1779"/>
      <c r="AA618" s="1779"/>
      <c r="AB618" s="1779"/>
      <c r="AC618" s="1779"/>
    </row>
    <row r="619" spans="1:29">
      <c r="A619" s="1779"/>
      <c r="B619" s="1779"/>
      <c r="C619" s="1779"/>
      <c r="D619" s="1779"/>
      <c r="E619" s="1779"/>
      <c r="F619" s="1779"/>
      <c r="G619" s="1779"/>
      <c r="H619" s="1779"/>
      <c r="I619" s="1779"/>
      <c r="J619" s="1779"/>
      <c r="K619" s="1780"/>
      <c r="L619" s="1781"/>
      <c r="M619" s="1779"/>
      <c r="N619" s="1779"/>
      <c r="O619" s="1779"/>
      <c r="P619" s="1816"/>
      <c r="Q619" s="1779"/>
      <c r="R619" s="1779"/>
      <c r="S619" s="1779"/>
      <c r="T619" s="1779"/>
      <c r="U619" s="1779"/>
      <c r="V619" s="1779"/>
      <c r="W619" s="1779"/>
      <c r="X619" s="1779"/>
      <c r="Y619" s="1779"/>
      <c r="Z619" s="1779"/>
      <c r="AA619" s="1779"/>
      <c r="AB619" s="1779"/>
      <c r="AC619" s="1779"/>
    </row>
    <row r="620" spans="1:29">
      <c r="A620" s="1779"/>
      <c r="B620" s="1779"/>
      <c r="C620" s="1779"/>
      <c r="D620" s="1779"/>
      <c r="E620" s="1779"/>
      <c r="F620" s="1779"/>
      <c r="G620" s="1779"/>
      <c r="H620" s="1779"/>
      <c r="I620" s="1779"/>
      <c r="J620" s="1779"/>
      <c r="K620" s="1780"/>
      <c r="L620" s="1781"/>
      <c r="M620" s="1779"/>
      <c r="N620" s="1779"/>
      <c r="O620" s="1779"/>
      <c r="P620" s="1816"/>
      <c r="Q620" s="1779"/>
      <c r="R620" s="1779"/>
      <c r="S620" s="1779"/>
      <c r="T620" s="1779"/>
      <c r="U620" s="1779"/>
      <c r="V620" s="1779"/>
      <c r="W620" s="1779"/>
      <c r="X620" s="1779"/>
      <c r="Y620" s="1779"/>
      <c r="Z620" s="1779"/>
      <c r="AA620" s="1779"/>
      <c r="AB620" s="1779"/>
      <c r="AC620" s="1779"/>
    </row>
    <row r="621" spans="1:29">
      <c r="A621" s="1779"/>
      <c r="B621" s="1779"/>
      <c r="C621" s="1779"/>
      <c r="D621" s="1779"/>
      <c r="E621" s="1779"/>
      <c r="F621" s="1779"/>
      <c r="G621" s="1779"/>
      <c r="H621" s="1779"/>
      <c r="I621" s="1779"/>
      <c r="J621" s="1779"/>
      <c r="K621" s="1780"/>
      <c r="L621" s="1781"/>
      <c r="M621" s="1779"/>
      <c r="N621" s="1779"/>
      <c r="O621" s="1779"/>
      <c r="P621" s="1816"/>
      <c r="Q621" s="1779"/>
      <c r="R621" s="1779"/>
      <c r="S621" s="1779"/>
      <c r="T621" s="1779"/>
      <c r="U621" s="1779"/>
      <c r="V621" s="1779"/>
      <c r="W621" s="1779"/>
      <c r="X621" s="1779"/>
      <c r="Y621" s="1779"/>
      <c r="Z621" s="1779"/>
      <c r="AA621" s="1779"/>
      <c r="AB621" s="1779"/>
      <c r="AC621" s="1779"/>
    </row>
    <row r="622" spans="1:29">
      <c r="A622" s="1779"/>
      <c r="B622" s="1779"/>
      <c r="C622" s="1779"/>
      <c r="D622" s="1779"/>
      <c r="E622" s="1779"/>
      <c r="F622" s="1779"/>
      <c r="G622" s="1779"/>
      <c r="H622" s="1779"/>
      <c r="I622" s="1779"/>
      <c r="J622" s="1779"/>
      <c r="K622" s="1780"/>
      <c r="L622" s="1781"/>
      <c r="M622" s="1779"/>
      <c r="N622" s="1779"/>
      <c r="O622" s="1779"/>
      <c r="P622" s="1816"/>
      <c r="Q622" s="1779"/>
      <c r="R622" s="1779"/>
      <c r="S622" s="1779"/>
      <c r="T622" s="1779"/>
      <c r="U622" s="1779"/>
      <c r="V622" s="1779"/>
      <c r="W622" s="1779"/>
      <c r="X622" s="1779"/>
      <c r="Y622" s="1779"/>
      <c r="Z622" s="1779"/>
      <c r="AA622" s="1779"/>
      <c r="AB622" s="1779"/>
      <c r="AC622" s="1779"/>
    </row>
    <row r="623" spans="1:29">
      <c r="A623" s="1779"/>
      <c r="B623" s="1779"/>
      <c r="C623" s="1779"/>
      <c r="D623" s="1779"/>
      <c r="E623" s="1779"/>
      <c r="F623" s="1779"/>
      <c r="G623" s="1779"/>
      <c r="H623" s="1779"/>
      <c r="I623" s="1779"/>
      <c r="J623" s="1779"/>
      <c r="K623" s="1780"/>
      <c r="L623" s="1781"/>
      <c r="M623" s="1779"/>
      <c r="N623" s="1779"/>
      <c r="O623" s="1779"/>
      <c r="P623" s="1816"/>
      <c r="Q623" s="1779"/>
      <c r="R623" s="1779"/>
      <c r="S623" s="1779"/>
      <c r="T623" s="1779"/>
      <c r="U623" s="1779"/>
      <c r="V623" s="1779"/>
      <c r="W623" s="1779"/>
      <c r="X623" s="1779"/>
      <c r="Y623" s="1779"/>
      <c r="Z623" s="1779"/>
      <c r="AA623" s="1779"/>
      <c r="AB623" s="1779"/>
      <c r="AC623" s="1779"/>
    </row>
    <row r="624" spans="1:29">
      <c r="A624" s="1779"/>
      <c r="B624" s="1779"/>
      <c r="C624" s="1779"/>
      <c r="D624" s="1779"/>
      <c r="E624" s="1779"/>
      <c r="F624" s="1779"/>
      <c r="G624" s="1779"/>
      <c r="H624" s="1779"/>
      <c r="I624" s="1779"/>
      <c r="J624" s="1779"/>
      <c r="K624" s="1780"/>
      <c r="L624" s="1781"/>
      <c r="M624" s="1779"/>
      <c r="N624" s="1779"/>
      <c r="O624" s="1779"/>
      <c r="P624" s="1816"/>
      <c r="Q624" s="1779"/>
      <c r="R624" s="1779"/>
      <c r="S624" s="1779"/>
      <c r="T624" s="1779"/>
      <c r="U624" s="1779"/>
      <c r="V624" s="1779"/>
      <c r="W624" s="1779"/>
      <c r="X624" s="1779"/>
      <c r="Y624" s="1779"/>
      <c r="Z624" s="1779"/>
      <c r="AA624" s="1779"/>
      <c r="AB624" s="1779"/>
      <c r="AC624" s="1779"/>
    </row>
    <row r="625" spans="1:29">
      <c r="A625" s="1779"/>
      <c r="B625" s="1779"/>
      <c r="C625" s="1779"/>
      <c r="D625" s="1779"/>
      <c r="E625" s="1779"/>
      <c r="F625" s="1779"/>
      <c r="G625" s="1779"/>
      <c r="H625" s="1779"/>
      <c r="I625" s="1779"/>
      <c r="J625" s="1779"/>
      <c r="K625" s="1780"/>
      <c r="L625" s="1781"/>
      <c r="M625" s="1779"/>
      <c r="N625" s="1779"/>
      <c r="O625" s="1779"/>
      <c r="P625" s="1816"/>
      <c r="Q625" s="1779"/>
      <c r="R625" s="1779"/>
      <c r="S625" s="1779"/>
      <c r="T625" s="1779"/>
      <c r="U625" s="1779"/>
      <c r="V625" s="1779"/>
      <c r="W625" s="1779"/>
      <c r="X625" s="1779"/>
      <c r="Y625" s="1779"/>
      <c r="Z625" s="1779"/>
      <c r="AA625" s="1779"/>
      <c r="AB625" s="1779"/>
      <c r="AC625" s="1779"/>
    </row>
    <row r="626" spans="1:29">
      <c r="A626" s="1779"/>
      <c r="B626" s="1779"/>
      <c r="C626" s="1779"/>
      <c r="D626" s="1779"/>
      <c r="E626" s="1779"/>
      <c r="F626" s="1779"/>
      <c r="G626" s="1779"/>
      <c r="H626" s="1779"/>
      <c r="I626" s="1779"/>
      <c r="J626" s="1779"/>
      <c r="K626" s="1780"/>
      <c r="L626" s="1781"/>
      <c r="M626" s="1779"/>
      <c r="N626" s="1779"/>
      <c r="O626" s="1779"/>
      <c r="P626" s="1816"/>
      <c r="Q626" s="1779"/>
      <c r="R626" s="1779"/>
      <c r="S626" s="1779"/>
      <c r="T626" s="1779"/>
      <c r="U626" s="1779"/>
      <c r="V626" s="1779"/>
      <c r="W626" s="1779"/>
      <c r="X626" s="1779"/>
      <c r="Y626" s="1779"/>
      <c r="Z626" s="1779"/>
      <c r="AA626" s="1779"/>
      <c r="AB626" s="1779"/>
      <c r="AC626" s="1779"/>
    </row>
    <row r="627" spans="1:29">
      <c r="A627" s="1779"/>
      <c r="B627" s="1779"/>
      <c r="C627" s="1779"/>
      <c r="D627" s="1779"/>
      <c r="E627" s="1779"/>
      <c r="F627" s="1779"/>
      <c r="G627" s="1779"/>
      <c r="H627" s="1779"/>
      <c r="I627" s="1779"/>
      <c r="J627" s="1779"/>
      <c r="K627" s="1780"/>
      <c r="L627" s="1781"/>
      <c r="M627" s="1779"/>
      <c r="N627" s="1779"/>
      <c r="O627" s="1779"/>
      <c r="P627" s="1816"/>
      <c r="Q627" s="1779"/>
      <c r="R627" s="1779"/>
      <c r="S627" s="1779"/>
      <c r="T627" s="1779"/>
      <c r="U627" s="1779"/>
      <c r="V627" s="1779"/>
      <c r="W627" s="1779"/>
      <c r="X627" s="1779"/>
      <c r="Y627" s="1779"/>
      <c r="Z627" s="1779"/>
      <c r="AA627" s="1779"/>
      <c r="AB627" s="1779"/>
      <c r="AC627" s="1779"/>
    </row>
    <row r="628" spans="1:29">
      <c r="A628" s="1779"/>
      <c r="B628" s="1779"/>
      <c r="C628" s="1779"/>
      <c r="D628" s="1779"/>
      <c r="E628" s="1779"/>
      <c r="F628" s="1779"/>
      <c r="G628" s="1779"/>
      <c r="H628" s="1779"/>
      <c r="I628" s="1779"/>
      <c r="J628" s="1779"/>
      <c r="K628" s="1780"/>
      <c r="L628" s="1781"/>
      <c r="M628" s="1779"/>
      <c r="N628" s="1779"/>
      <c r="O628" s="1779"/>
      <c r="P628" s="1816"/>
      <c r="Q628" s="1779"/>
      <c r="R628" s="1779"/>
      <c r="S628" s="1779"/>
      <c r="T628" s="1779"/>
      <c r="U628" s="1779"/>
      <c r="V628" s="1779"/>
      <c r="W628" s="1779"/>
      <c r="X628" s="1779"/>
      <c r="Y628" s="1779"/>
      <c r="Z628" s="1779"/>
      <c r="AA628" s="1779"/>
      <c r="AB628" s="1779"/>
      <c r="AC628" s="1779"/>
    </row>
    <row r="629" spans="1:29">
      <c r="A629" s="1779"/>
      <c r="B629" s="1779"/>
      <c r="C629" s="1779"/>
      <c r="D629" s="1779"/>
      <c r="E629" s="1779"/>
      <c r="F629" s="1779"/>
      <c r="G629" s="1779"/>
      <c r="H629" s="1779"/>
      <c r="I629" s="1779"/>
      <c r="J629" s="1779"/>
      <c r="K629" s="1780"/>
      <c r="L629" s="1781"/>
      <c r="M629" s="1779"/>
      <c r="N629" s="1779"/>
      <c r="O629" s="1779"/>
      <c r="P629" s="1816"/>
      <c r="Q629" s="1779"/>
      <c r="R629" s="1779"/>
      <c r="S629" s="1779"/>
      <c r="T629" s="1779"/>
      <c r="U629" s="1779"/>
      <c r="V629" s="1779"/>
      <c r="W629" s="1779"/>
      <c r="X629" s="1779"/>
      <c r="Y629" s="1779"/>
      <c r="Z629" s="1779"/>
      <c r="AA629" s="1779"/>
      <c r="AB629" s="1779"/>
      <c r="AC629" s="1779"/>
    </row>
    <row r="630" spans="1:29">
      <c r="A630" s="1779"/>
      <c r="B630" s="1779"/>
      <c r="C630" s="1779"/>
      <c r="D630" s="1779"/>
      <c r="E630" s="1779"/>
      <c r="F630" s="1779"/>
      <c r="G630" s="1779"/>
      <c r="H630" s="1779"/>
      <c r="I630" s="1779"/>
      <c r="J630" s="1779"/>
      <c r="K630" s="1780"/>
      <c r="L630" s="1781"/>
      <c r="M630" s="1779"/>
      <c r="N630" s="1779"/>
      <c r="O630" s="1779"/>
      <c r="P630" s="1816"/>
      <c r="Q630" s="1779"/>
      <c r="R630" s="1779"/>
      <c r="S630" s="1779"/>
      <c r="T630" s="1779"/>
      <c r="U630" s="1779"/>
      <c r="V630" s="1779"/>
      <c r="W630" s="1779"/>
      <c r="X630" s="1779"/>
      <c r="Y630" s="1779"/>
      <c r="Z630" s="1779"/>
      <c r="AA630" s="1779"/>
      <c r="AB630" s="1779"/>
      <c r="AC630" s="1779"/>
    </row>
    <row r="631" spans="1:29">
      <c r="A631" s="1779"/>
      <c r="B631" s="1779"/>
      <c r="C631" s="1779"/>
      <c r="D631" s="1779"/>
      <c r="E631" s="1779"/>
      <c r="F631" s="1779"/>
      <c r="G631" s="1779"/>
      <c r="H631" s="1779"/>
      <c r="I631" s="1779"/>
      <c r="J631" s="1779"/>
      <c r="K631" s="1780"/>
      <c r="L631" s="1781"/>
      <c r="M631" s="1779"/>
      <c r="N631" s="1779"/>
      <c r="O631" s="1779"/>
      <c r="P631" s="1816"/>
      <c r="Q631" s="1779"/>
      <c r="R631" s="1779"/>
      <c r="S631" s="1779"/>
      <c r="T631" s="1779"/>
      <c r="U631" s="1779"/>
      <c r="V631" s="1779"/>
      <c r="W631" s="1779"/>
      <c r="X631" s="1779"/>
      <c r="Y631" s="1779"/>
      <c r="Z631" s="1779"/>
      <c r="AA631" s="1779"/>
      <c r="AB631" s="1779"/>
      <c r="AC631" s="1779"/>
    </row>
    <row r="632" spans="1:29">
      <c r="A632" s="1779"/>
      <c r="B632" s="1779"/>
      <c r="C632" s="1779"/>
      <c r="D632" s="1779"/>
      <c r="E632" s="1779"/>
      <c r="F632" s="1779"/>
      <c r="G632" s="1779"/>
      <c r="H632" s="1779"/>
      <c r="I632" s="1779"/>
      <c r="J632" s="1779"/>
      <c r="K632" s="1780"/>
      <c r="L632" s="1781"/>
      <c r="M632" s="1779"/>
      <c r="N632" s="1779"/>
      <c r="O632" s="1779"/>
      <c r="P632" s="1816"/>
      <c r="Q632" s="1779"/>
      <c r="R632" s="1779"/>
      <c r="S632" s="1779"/>
      <c r="T632" s="1779"/>
      <c r="U632" s="1779"/>
      <c r="V632" s="1779"/>
      <c r="W632" s="1779"/>
      <c r="X632" s="1779"/>
      <c r="Y632" s="1779"/>
      <c r="Z632" s="1779"/>
      <c r="AA632" s="1779"/>
      <c r="AB632" s="1779"/>
      <c r="AC632" s="1779"/>
    </row>
    <row r="633" spans="1:29">
      <c r="A633" s="1779"/>
      <c r="B633" s="1779"/>
      <c r="C633" s="1779"/>
      <c r="D633" s="1779"/>
      <c r="E633" s="1779"/>
      <c r="F633" s="1779"/>
      <c r="G633" s="1779"/>
      <c r="H633" s="1779"/>
      <c r="I633" s="1779"/>
      <c r="J633" s="1779"/>
      <c r="K633" s="1780"/>
      <c r="L633" s="1781"/>
      <c r="M633" s="1779"/>
      <c r="N633" s="1779"/>
      <c r="O633" s="1779"/>
      <c r="P633" s="1816"/>
      <c r="Q633" s="1779"/>
      <c r="R633" s="1779"/>
      <c r="S633" s="1779"/>
      <c r="T633" s="1779"/>
      <c r="U633" s="1779"/>
      <c r="V633" s="1779"/>
      <c r="W633" s="1779"/>
      <c r="X633" s="1779"/>
      <c r="Y633" s="1779"/>
      <c r="Z633" s="1779"/>
      <c r="AA633" s="1779"/>
      <c r="AB633" s="1779"/>
      <c r="AC633" s="1779"/>
    </row>
    <row r="634" spans="1:29">
      <c r="A634" s="1779"/>
      <c r="B634" s="1779"/>
      <c r="C634" s="1779"/>
      <c r="D634" s="1779"/>
      <c r="E634" s="1779"/>
      <c r="F634" s="1779"/>
      <c r="G634" s="1779"/>
      <c r="H634" s="1779"/>
      <c r="I634" s="1779"/>
      <c r="J634" s="1779"/>
      <c r="K634" s="1780"/>
      <c r="L634" s="1781"/>
      <c r="M634" s="1779"/>
      <c r="N634" s="1779"/>
      <c r="O634" s="1779"/>
      <c r="P634" s="1816"/>
      <c r="Q634" s="1779"/>
      <c r="R634" s="1779"/>
      <c r="S634" s="1779"/>
      <c r="T634" s="1779"/>
      <c r="U634" s="1779"/>
      <c r="V634" s="1779"/>
      <c r="W634" s="1779"/>
      <c r="X634" s="1779"/>
      <c r="Y634" s="1779"/>
      <c r="Z634" s="1779"/>
      <c r="AA634" s="1779"/>
      <c r="AB634" s="1779"/>
      <c r="AC634" s="1779"/>
    </row>
    <row r="635" spans="1:29">
      <c r="A635" s="1779"/>
      <c r="B635" s="1779"/>
      <c r="C635" s="1779"/>
      <c r="D635" s="1779"/>
      <c r="E635" s="1779"/>
      <c r="F635" s="1779"/>
      <c r="G635" s="1779"/>
      <c r="H635" s="1779"/>
      <c r="I635" s="1779"/>
      <c r="J635" s="1779"/>
      <c r="K635" s="1780"/>
      <c r="L635" s="1781"/>
      <c r="M635" s="1779"/>
      <c r="N635" s="1779"/>
      <c r="O635" s="1779"/>
      <c r="P635" s="1816"/>
      <c r="Q635" s="1779"/>
      <c r="R635" s="1779"/>
      <c r="S635" s="1779"/>
      <c r="T635" s="1779"/>
      <c r="U635" s="1779"/>
      <c r="V635" s="1779"/>
      <c r="W635" s="1779"/>
      <c r="X635" s="1779"/>
      <c r="Y635" s="1779"/>
      <c r="Z635" s="1779"/>
      <c r="AA635" s="1779"/>
      <c r="AB635" s="1779"/>
      <c r="AC635" s="1779"/>
    </row>
    <row r="636" spans="1:29">
      <c r="A636" s="1779"/>
      <c r="B636" s="1779"/>
      <c r="C636" s="1779"/>
      <c r="D636" s="1779"/>
      <c r="E636" s="1779"/>
      <c r="F636" s="1779"/>
      <c r="G636" s="1779"/>
      <c r="H636" s="1779"/>
      <c r="I636" s="1779"/>
      <c r="J636" s="1779"/>
      <c r="K636" s="1780"/>
      <c r="L636" s="1781"/>
      <c r="M636" s="1779"/>
      <c r="N636" s="1779"/>
      <c r="O636" s="1779"/>
      <c r="P636" s="1816"/>
      <c r="Q636" s="1779"/>
      <c r="R636" s="1779"/>
      <c r="S636" s="1779"/>
      <c r="T636" s="1779"/>
      <c r="U636" s="1779"/>
      <c r="V636" s="1779"/>
      <c r="W636" s="1779"/>
      <c r="X636" s="1779"/>
      <c r="Y636" s="1779"/>
      <c r="Z636" s="1779"/>
      <c r="AA636" s="1779"/>
      <c r="AB636" s="1779"/>
      <c r="AC636" s="1779"/>
    </row>
    <row r="637" spans="1:29">
      <c r="A637" s="1779"/>
      <c r="B637" s="1779"/>
      <c r="C637" s="1779"/>
      <c r="D637" s="1779"/>
      <c r="E637" s="1779"/>
      <c r="F637" s="1779"/>
      <c r="G637" s="1779"/>
      <c r="H637" s="1779"/>
      <c r="I637" s="1779"/>
      <c r="J637" s="1779"/>
      <c r="K637" s="1780"/>
      <c r="L637" s="1781"/>
      <c r="M637" s="1779"/>
      <c r="N637" s="1779"/>
      <c r="O637" s="1779"/>
      <c r="P637" s="1816"/>
      <c r="Q637" s="1779"/>
      <c r="R637" s="1779"/>
      <c r="S637" s="1779"/>
      <c r="T637" s="1779"/>
      <c r="U637" s="1779"/>
      <c r="V637" s="1779"/>
      <c r="W637" s="1779"/>
      <c r="X637" s="1779"/>
      <c r="Y637" s="1779"/>
      <c r="Z637" s="1779"/>
      <c r="AA637" s="1779"/>
      <c r="AB637" s="1779"/>
      <c r="AC637" s="1779"/>
    </row>
    <row r="638" spans="1:29">
      <c r="A638" s="1779"/>
      <c r="B638" s="1779"/>
      <c r="C638" s="1779"/>
      <c r="D638" s="1779"/>
      <c r="E638" s="1779"/>
      <c r="F638" s="1779"/>
      <c r="G638" s="1779"/>
      <c r="H638" s="1779"/>
      <c r="I638" s="1779"/>
      <c r="J638" s="1779"/>
      <c r="K638" s="1780"/>
      <c r="L638" s="1781"/>
      <c r="M638" s="1779"/>
      <c r="N638" s="1779"/>
      <c r="O638" s="1779"/>
      <c r="P638" s="1816"/>
      <c r="Q638" s="1779"/>
      <c r="R638" s="1779"/>
      <c r="S638" s="1779"/>
      <c r="T638" s="1779"/>
      <c r="U638" s="1779"/>
      <c r="V638" s="1779"/>
      <c r="W638" s="1779"/>
      <c r="X638" s="1779"/>
      <c r="Y638" s="1779"/>
      <c r="Z638" s="1779"/>
      <c r="AA638" s="1779"/>
      <c r="AB638" s="1779"/>
      <c r="AC638" s="1779"/>
    </row>
    <row r="639" spans="1:29">
      <c r="A639" s="1779"/>
      <c r="B639" s="1779"/>
      <c r="C639" s="1779"/>
      <c r="D639" s="1779"/>
      <c r="E639" s="1779"/>
      <c r="F639" s="1779"/>
      <c r="G639" s="1779"/>
      <c r="H639" s="1779"/>
      <c r="I639" s="1779"/>
      <c r="J639" s="1779"/>
      <c r="K639" s="1780"/>
      <c r="L639" s="1781"/>
      <c r="M639" s="1779"/>
      <c r="N639" s="1779"/>
      <c r="O639" s="1779"/>
      <c r="P639" s="1816"/>
      <c r="Q639" s="1779"/>
      <c r="R639" s="1779"/>
      <c r="S639" s="1779"/>
      <c r="T639" s="1779"/>
      <c r="U639" s="1779"/>
      <c r="V639" s="1779"/>
      <c r="W639" s="1779"/>
      <c r="X639" s="1779"/>
      <c r="Y639" s="1779"/>
      <c r="Z639" s="1779"/>
      <c r="AA639" s="1779"/>
      <c r="AB639" s="1779"/>
      <c r="AC639" s="1779"/>
    </row>
    <row r="640" spans="1:29">
      <c r="A640" s="1779"/>
      <c r="B640" s="1779"/>
      <c r="C640" s="1779"/>
      <c r="D640" s="1779"/>
      <c r="E640" s="1779"/>
      <c r="F640" s="1779"/>
      <c r="G640" s="1779"/>
      <c r="H640" s="1779"/>
      <c r="I640" s="1779"/>
      <c r="J640" s="1779"/>
      <c r="K640" s="1780"/>
      <c r="L640" s="1781"/>
      <c r="M640" s="1779"/>
      <c r="N640" s="1779"/>
      <c r="O640" s="1779"/>
      <c r="P640" s="1816"/>
      <c r="Q640" s="1779"/>
      <c r="R640" s="1779"/>
      <c r="S640" s="1779"/>
      <c r="T640" s="1779"/>
      <c r="U640" s="1779"/>
      <c r="V640" s="1779"/>
      <c r="W640" s="1779"/>
      <c r="X640" s="1779"/>
      <c r="Y640" s="1779"/>
      <c r="Z640" s="1779"/>
      <c r="AA640" s="1779"/>
      <c r="AB640" s="1779"/>
      <c r="AC640" s="1779"/>
    </row>
    <row r="641" spans="1:29">
      <c r="A641" s="1779"/>
      <c r="B641" s="1779"/>
      <c r="C641" s="1779"/>
      <c r="D641" s="1779"/>
      <c r="E641" s="1779"/>
      <c r="F641" s="1779"/>
      <c r="G641" s="1779"/>
      <c r="H641" s="1779"/>
      <c r="I641" s="1779"/>
      <c r="J641" s="1779"/>
      <c r="K641" s="1780"/>
      <c r="L641" s="1781"/>
      <c r="M641" s="1779"/>
      <c r="N641" s="1779"/>
      <c r="O641" s="1779"/>
      <c r="P641" s="1816"/>
      <c r="Q641" s="1779"/>
      <c r="R641" s="1779"/>
      <c r="S641" s="1779"/>
      <c r="T641" s="1779"/>
      <c r="U641" s="1779"/>
      <c r="V641" s="1779"/>
      <c r="W641" s="1779"/>
      <c r="X641" s="1779"/>
      <c r="Y641" s="1779"/>
      <c r="Z641" s="1779"/>
      <c r="AA641" s="1779"/>
      <c r="AB641" s="1779"/>
      <c r="AC641" s="1779"/>
    </row>
    <row r="642" spans="1:29">
      <c r="A642" s="1779"/>
      <c r="B642" s="1779"/>
      <c r="C642" s="1779"/>
      <c r="D642" s="1779"/>
      <c r="E642" s="1779"/>
      <c r="F642" s="1779"/>
      <c r="G642" s="1779"/>
      <c r="H642" s="1779"/>
      <c r="I642" s="1779"/>
      <c r="J642" s="1779"/>
      <c r="K642" s="1780"/>
      <c r="L642" s="1781"/>
      <c r="M642" s="1779"/>
      <c r="N642" s="1779"/>
      <c r="O642" s="1779"/>
      <c r="P642" s="1816"/>
      <c r="Q642" s="1779"/>
      <c r="R642" s="1779"/>
      <c r="S642" s="1779"/>
      <c r="T642" s="1779"/>
      <c r="U642" s="1779"/>
      <c r="V642" s="1779"/>
      <c r="W642" s="1779"/>
      <c r="X642" s="1779"/>
      <c r="Y642" s="1779"/>
      <c r="Z642" s="1779"/>
      <c r="AA642" s="1779"/>
      <c r="AB642" s="1779"/>
      <c r="AC642" s="1779"/>
    </row>
    <row r="643" spans="1:29">
      <c r="A643" s="1779"/>
      <c r="B643" s="1779"/>
      <c r="C643" s="1779"/>
      <c r="D643" s="1779"/>
      <c r="E643" s="1779"/>
      <c r="F643" s="1779"/>
      <c r="G643" s="1779"/>
      <c r="H643" s="1779"/>
      <c r="I643" s="1779"/>
      <c r="J643" s="1779"/>
      <c r="K643" s="1780"/>
      <c r="L643" s="1781"/>
      <c r="M643" s="1779"/>
      <c r="N643" s="1779"/>
      <c r="O643" s="1779"/>
      <c r="P643" s="1816"/>
      <c r="Q643" s="1779"/>
      <c r="R643" s="1779"/>
      <c r="S643" s="1779"/>
      <c r="T643" s="1779"/>
      <c r="U643" s="1779"/>
      <c r="V643" s="1779"/>
      <c r="W643" s="1779"/>
      <c r="X643" s="1779"/>
      <c r="Y643" s="1779"/>
      <c r="Z643" s="1779"/>
      <c r="AA643" s="1779"/>
      <c r="AB643" s="1779"/>
      <c r="AC643" s="1779"/>
    </row>
    <row r="644" spans="1:29">
      <c r="A644" s="1779"/>
      <c r="B644" s="1779"/>
      <c r="C644" s="1779"/>
      <c r="D644" s="1779"/>
      <c r="E644" s="1779"/>
      <c r="F644" s="1779"/>
      <c r="G644" s="1779"/>
      <c r="H644" s="1779"/>
      <c r="I644" s="1779"/>
      <c r="J644" s="1779"/>
      <c r="K644" s="1780"/>
      <c r="L644" s="1781"/>
      <c r="M644" s="1779"/>
      <c r="N644" s="1779"/>
      <c r="O644" s="1779"/>
      <c r="P644" s="1816"/>
      <c r="Q644" s="1779"/>
      <c r="R644" s="1779"/>
      <c r="S644" s="1779"/>
      <c r="T644" s="1779"/>
      <c r="U644" s="1779"/>
      <c r="V644" s="1779"/>
      <c r="W644" s="1779"/>
      <c r="X644" s="1779"/>
      <c r="Y644" s="1779"/>
      <c r="Z644" s="1779"/>
      <c r="AA644" s="1779"/>
      <c r="AB644" s="1779"/>
      <c r="AC644" s="1779"/>
    </row>
    <row r="645" spans="1:29">
      <c r="A645" s="1779"/>
      <c r="B645" s="1779"/>
      <c r="C645" s="1779"/>
      <c r="D645" s="1779"/>
      <c r="E645" s="1779"/>
      <c r="F645" s="1779"/>
      <c r="G645" s="1779"/>
      <c r="H645" s="1779"/>
      <c r="I645" s="1779"/>
      <c r="J645" s="1779"/>
      <c r="K645" s="1780"/>
      <c r="L645" s="1781"/>
      <c r="M645" s="1779"/>
      <c r="N645" s="1779"/>
      <c r="O645" s="1779"/>
      <c r="P645" s="1816"/>
      <c r="Q645" s="1779"/>
      <c r="R645" s="1779"/>
      <c r="S645" s="1779"/>
      <c r="T645" s="1779"/>
      <c r="U645" s="1779"/>
      <c r="V645" s="1779"/>
      <c r="W645" s="1779"/>
      <c r="X645" s="1779"/>
      <c r="Y645" s="1779"/>
      <c r="Z645" s="1779"/>
      <c r="AA645" s="1779"/>
      <c r="AB645" s="1779"/>
      <c r="AC645" s="1779"/>
    </row>
    <row r="646" spans="1:29">
      <c r="A646" s="1779"/>
      <c r="B646" s="1779"/>
      <c r="C646" s="1779"/>
      <c r="D646" s="1779"/>
      <c r="E646" s="1779"/>
      <c r="F646" s="1779"/>
      <c r="G646" s="1779"/>
      <c r="H646" s="1779"/>
      <c r="I646" s="1779"/>
      <c r="J646" s="1779"/>
      <c r="K646" s="1780"/>
      <c r="L646" s="1781"/>
      <c r="M646" s="1779"/>
      <c r="N646" s="1779"/>
      <c r="O646" s="1779"/>
      <c r="P646" s="1816"/>
      <c r="Q646" s="1779"/>
      <c r="R646" s="1779"/>
      <c r="S646" s="1779"/>
      <c r="T646" s="1779"/>
      <c r="U646" s="1779"/>
      <c r="V646" s="1779"/>
      <c r="W646" s="1779"/>
      <c r="X646" s="1779"/>
      <c r="Y646" s="1779"/>
      <c r="Z646" s="1779"/>
      <c r="AA646" s="1779"/>
      <c r="AB646" s="1779"/>
      <c r="AC646" s="1779"/>
    </row>
    <row r="647" spans="1:29">
      <c r="A647" s="1779"/>
      <c r="B647" s="1779"/>
      <c r="C647" s="1779"/>
      <c r="D647" s="1779"/>
      <c r="E647" s="1779"/>
      <c r="F647" s="1779"/>
      <c r="G647" s="1779"/>
      <c r="H647" s="1779"/>
      <c r="I647" s="1779"/>
      <c r="J647" s="1779"/>
      <c r="K647" s="1780"/>
      <c r="L647" s="1781"/>
      <c r="M647" s="1779"/>
      <c r="N647" s="1779"/>
      <c r="O647" s="1779"/>
      <c r="P647" s="1816"/>
      <c r="Q647" s="1779"/>
      <c r="R647" s="1779"/>
      <c r="S647" s="1779"/>
      <c r="T647" s="1779"/>
      <c r="U647" s="1779"/>
      <c r="V647" s="1779"/>
      <c r="W647" s="1779"/>
      <c r="X647" s="1779"/>
      <c r="Y647" s="1779"/>
      <c r="Z647" s="1779"/>
      <c r="AA647" s="1779"/>
      <c r="AB647" s="1779"/>
      <c r="AC647" s="1779"/>
    </row>
    <row r="648" spans="1:29">
      <c r="A648" s="1779"/>
      <c r="B648" s="1779"/>
      <c r="C648" s="1779"/>
      <c r="D648" s="1779"/>
      <c r="E648" s="1779"/>
      <c r="F648" s="1779"/>
      <c r="G648" s="1779"/>
      <c r="H648" s="1779"/>
      <c r="I648" s="1779"/>
      <c r="J648" s="1779"/>
      <c r="K648" s="1780"/>
      <c r="L648" s="1781"/>
      <c r="M648" s="1779"/>
      <c r="N648" s="1779"/>
      <c r="O648" s="1779"/>
      <c r="P648" s="1816"/>
      <c r="Q648" s="1779"/>
      <c r="R648" s="1779"/>
      <c r="S648" s="1779"/>
      <c r="T648" s="1779"/>
      <c r="U648" s="1779"/>
      <c r="V648" s="1779"/>
      <c r="W648" s="1779"/>
      <c r="X648" s="1779"/>
      <c r="Y648" s="1779"/>
      <c r="Z648" s="1779"/>
      <c r="AA648" s="1779"/>
      <c r="AB648" s="1779"/>
      <c r="AC648" s="1779"/>
    </row>
    <row r="649" spans="1:29">
      <c r="A649" s="1779"/>
      <c r="B649" s="1779"/>
      <c r="C649" s="1779"/>
      <c r="D649" s="1779"/>
      <c r="E649" s="1779"/>
      <c r="F649" s="1779"/>
      <c r="G649" s="1779"/>
      <c r="H649" s="1779"/>
      <c r="I649" s="1779"/>
      <c r="J649" s="1779"/>
      <c r="K649" s="1780"/>
      <c r="L649" s="1781"/>
      <c r="M649" s="1779"/>
      <c r="N649" s="1779"/>
      <c r="O649" s="1779"/>
      <c r="P649" s="1816"/>
      <c r="Q649" s="1779"/>
      <c r="R649" s="1779"/>
      <c r="S649" s="1779"/>
      <c r="T649" s="1779"/>
      <c r="U649" s="1779"/>
      <c r="V649" s="1779"/>
      <c r="W649" s="1779"/>
      <c r="X649" s="1779"/>
      <c r="Y649" s="1779"/>
      <c r="Z649" s="1779"/>
      <c r="AA649" s="1779"/>
      <c r="AB649" s="1779"/>
      <c r="AC649" s="1779"/>
    </row>
    <row r="650" spans="1:29">
      <c r="A650" s="1779"/>
      <c r="B650" s="1779"/>
      <c r="C650" s="1779"/>
      <c r="D650" s="1779"/>
      <c r="E650" s="1779"/>
      <c r="F650" s="1779"/>
      <c r="G650" s="1779"/>
      <c r="H650" s="1779"/>
      <c r="I650" s="1779"/>
      <c r="J650" s="1779"/>
      <c r="K650" s="1780"/>
      <c r="L650" s="1781"/>
      <c r="M650" s="1779"/>
      <c r="N650" s="1779"/>
      <c r="O650" s="1779"/>
      <c r="P650" s="1816"/>
      <c r="Q650" s="1779"/>
      <c r="R650" s="1779"/>
      <c r="S650" s="1779"/>
      <c r="T650" s="1779"/>
      <c r="U650" s="1779"/>
      <c r="V650" s="1779"/>
      <c r="W650" s="1779"/>
      <c r="X650" s="1779"/>
      <c r="Y650" s="1779"/>
      <c r="Z650" s="1779"/>
      <c r="AA650" s="1779"/>
      <c r="AB650" s="1779"/>
      <c r="AC650" s="1779"/>
    </row>
    <row r="651" spans="1:29">
      <c r="A651" s="1779"/>
      <c r="B651" s="1779"/>
      <c r="C651" s="1779"/>
      <c r="D651" s="1779"/>
      <c r="E651" s="1779"/>
      <c r="F651" s="1779"/>
      <c r="G651" s="1779"/>
      <c r="H651" s="1779"/>
      <c r="I651" s="1779"/>
      <c r="J651" s="1779"/>
      <c r="K651" s="1780"/>
      <c r="L651" s="1781"/>
      <c r="M651" s="1779"/>
      <c r="N651" s="1779"/>
      <c r="O651" s="1779"/>
      <c r="P651" s="1816"/>
      <c r="Q651" s="1779"/>
      <c r="R651" s="1779"/>
      <c r="S651" s="1779"/>
      <c r="T651" s="1779"/>
      <c r="U651" s="1779"/>
      <c r="V651" s="1779"/>
      <c r="W651" s="1779"/>
      <c r="X651" s="1779"/>
      <c r="Y651" s="1779"/>
      <c r="Z651" s="1779"/>
      <c r="AA651" s="1779"/>
      <c r="AB651" s="1779"/>
      <c r="AC651" s="1779"/>
    </row>
    <row r="652" spans="1:29">
      <c r="A652" s="1779"/>
      <c r="B652" s="1779"/>
      <c r="C652" s="1779"/>
      <c r="D652" s="1779"/>
      <c r="E652" s="1779"/>
      <c r="F652" s="1779"/>
      <c r="G652" s="1779"/>
      <c r="H652" s="1779"/>
      <c r="I652" s="1779"/>
      <c r="J652" s="1779"/>
      <c r="K652" s="1780"/>
      <c r="L652" s="1781"/>
      <c r="M652" s="1779"/>
      <c r="N652" s="1779"/>
      <c r="O652" s="1779"/>
      <c r="P652" s="1816"/>
      <c r="Q652" s="1779"/>
      <c r="R652" s="1779"/>
      <c r="S652" s="1779"/>
      <c r="T652" s="1779"/>
      <c r="U652" s="1779"/>
      <c r="V652" s="1779"/>
      <c r="W652" s="1779"/>
      <c r="X652" s="1779"/>
      <c r="Y652" s="1779"/>
      <c r="Z652" s="1779"/>
      <c r="AA652" s="1779"/>
      <c r="AB652" s="1779"/>
      <c r="AC652" s="1779"/>
    </row>
    <row r="653" spans="1:29">
      <c r="A653" s="1779"/>
      <c r="B653" s="1779"/>
      <c r="C653" s="1779"/>
      <c r="D653" s="1779"/>
      <c r="E653" s="1779"/>
      <c r="F653" s="1779"/>
      <c r="G653" s="1779"/>
      <c r="H653" s="1779"/>
      <c r="I653" s="1779"/>
      <c r="J653" s="1779"/>
      <c r="K653" s="1780"/>
      <c r="L653" s="1781"/>
      <c r="M653" s="1779"/>
      <c r="N653" s="1779"/>
      <c r="O653" s="1779"/>
      <c r="P653" s="1816"/>
      <c r="Q653" s="1779"/>
      <c r="R653" s="1779"/>
      <c r="S653" s="1779"/>
      <c r="T653" s="1779"/>
      <c r="U653" s="1779"/>
      <c r="V653" s="1779"/>
      <c r="W653" s="1779"/>
      <c r="X653" s="1779"/>
      <c r="Y653" s="1779"/>
      <c r="Z653" s="1779"/>
      <c r="AA653" s="1779"/>
      <c r="AB653" s="1779"/>
      <c r="AC653" s="1779"/>
    </row>
    <row r="654" spans="1:29">
      <c r="A654" s="1779"/>
      <c r="B654" s="1779"/>
      <c r="C654" s="1779"/>
      <c r="D654" s="1779"/>
      <c r="E654" s="1779"/>
      <c r="F654" s="1779"/>
      <c r="G654" s="1779"/>
      <c r="H654" s="1779"/>
      <c r="I654" s="1779"/>
      <c r="J654" s="1779"/>
      <c r="K654" s="1780"/>
      <c r="L654" s="1781"/>
      <c r="M654" s="1779"/>
      <c r="N654" s="1779"/>
      <c r="O654" s="1779"/>
      <c r="P654" s="1816"/>
      <c r="Q654" s="1779"/>
      <c r="R654" s="1779"/>
      <c r="S654" s="1779"/>
      <c r="T654" s="1779"/>
      <c r="U654" s="1779"/>
      <c r="V654" s="1779"/>
      <c r="W654" s="1779"/>
      <c r="X654" s="1779"/>
      <c r="Y654" s="1779"/>
      <c r="Z654" s="1779"/>
      <c r="AA654" s="1779"/>
      <c r="AB654" s="1779"/>
      <c r="AC654" s="1779"/>
    </row>
    <row r="655" spans="1:29">
      <c r="A655" s="1779"/>
      <c r="B655" s="1779"/>
      <c r="C655" s="1779"/>
      <c r="D655" s="1779"/>
      <c r="E655" s="1779"/>
      <c r="F655" s="1779"/>
      <c r="G655" s="1779"/>
      <c r="H655" s="1779"/>
      <c r="I655" s="1779"/>
      <c r="J655" s="1779"/>
      <c r="K655" s="1780"/>
      <c r="L655" s="1781"/>
      <c r="M655" s="1779"/>
      <c r="N655" s="1779"/>
      <c r="O655" s="1779"/>
      <c r="P655" s="1816"/>
      <c r="Q655" s="1779"/>
      <c r="R655" s="1779"/>
      <c r="S655" s="1779"/>
      <c r="T655" s="1779"/>
      <c r="U655" s="1779"/>
      <c r="V655" s="1779"/>
      <c r="W655" s="1779"/>
      <c r="X655" s="1779"/>
      <c r="Y655" s="1779"/>
      <c r="Z655" s="1779"/>
      <c r="AA655" s="1779"/>
      <c r="AB655" s="1779"/>
      <c r="AC655" s="1779"/>
    </row>
    <row r="656" spans="1:29">
      <c r="A656" s="1779"/>
      <c r="B656" s="1779"/>
      <c r="C656" s="1779"/>
      <c r="D656" s="1779"/>
      <c r="E656" s="1779"/>
      <c r="F656" s="1779"/>
      <c r="G656" s="1779"/>
      <c r="H656" s="1779"/>
      <c r="I656" s="1779"/>
      <c r="J656" s="1779"/>
      <c r="K656" s="1780"/>
      <c r="L656" s="1781"/>
      <c r="M656" s="1779"/>
      <c r="N656" s="1779"/>
      <c r="O656" s="1779"/>
      <c r="P656" s="1816"/>
      <c r="Q656" s="1779"/>
      <c r="R656" s="1779"/>
      <c r="S656" s="1779"/>
      <c r="T656" s="1779"/>
      <c r="U656" s="1779"/>
      <c r="V656" s="1779"/>
      <c r="W656" s="1779"/>
      <c r="X656" s="1779"/>
      <c r="Y656" s="1779"/>
      <c r="Z656" s="1779"/>
      <c r="AA656" s="1779"/>
      <c r="AB656" s="1779"/>
      <c r="AC656" s="1779"/>
    </row>
    <row r="657" spans="1:29">
      <c r="A657" s="1779"/>
      <c r="B657" s="1779"/>
      <c r="C657" s="1779"/>
      <c r="D657" s="1779"/>
      <c r="E657" s="1779"/>
      <c r="F657" s="1779"/>
      <c r="G657" s="1779"/>
      <c r="H657" s="1779"/>
      <c r="I657" s="1779"/>
      <c r="J657" s="1779"/>
      <c r="K657" s="1780"/>
      <c r="L657" s="1781"/>
      <c r="M657" s="1779"/>
      <c r="N657" s="1779"/>
      <c r="O657" s="1779"/>
      <c r="P657" s="1816"/>
      <c r="Q657" s="1779"/>
      <c r="R657" s="1779"/>
      <c r="S657" s="1779"/>
      <c r="T657" s="1779"/>
      <c r="U657" s="1779"/>
      <c r="V657" s="1779"/>
      <c r="W657" s="1779"/>
      <c r="X657" s="1779"/>
      <c r="Y657" s="1779"/>
      <c r="Z657" s="1779"/>
      <c r="AA657" s="1779"/>
      <c r="AB657" s="1779"/>
      <c r="AC657" s="1779"/>
    </row>
    <row r="658" spans="1:29">
      <c r="A658" s="1779"/>
      <c r="B658" s="1779"/>
      <c r="C658" s="1779"/>
      <c r="D658" s="1779"/>
      <c r="E658" s="1779"/>
      <c r="F658" s="1779"/>
      <c r="G658" s="1779"/>
      <c r="H658" s="1779"/>
      <c r="I658" s="1779"/>
      <c r="J658" s="1779"/>
      <c r="K658" s="1780"/>
      <c r="L658" s="1781"/>
      <c r="M658" s="1779"/>
      <c r="N658" s="1779"/>
      <c r="O658" s="1779"/>
      <c r="P658" s="1816"/>
      <c r="Q658" s="1779"/>
      <c r="R658" s="1779"/>
      <c r="S658" s="1779"/>
      <c r="T658" s="1779"/>
      <c r="U658" s="1779"/>
      <c r="V658" s="1779"/>
      <c r="W658" s="1779"/>
      <c r="X658" s="1779"/>
      <c r="Y658" s="1779"/>
      <c r="Z658" s="1779"/>
      <c r="AA658" s="1779"/>
      <c r="AB658" s="1779"/>
      <c r="AC658" s="1779"/>
    </row>
    <row r="659" spans="1:29">
      <c r="A659" s="1779"/>
      <c r="B659" s="1779"/>
      <c r="C659" s="1779"/>
      <c r="D659" s="1779"/>
      <c r="E659" s="1779"/>
      <c r="F659" s="1779"/>
      <c r="G659" s="1779"/>
      <c r="H659" s="1779"/>
      <c r="I659" s="1779"/>
      <c r="J659" s="1779"/>
      <c r="K659" s="1780"/>
      <c r="L659" s="1781"/>
      <c r="M659" s="1779"/>
      <c r="N659" s="1779"/>
      <c r="O659" s="1779"/>
      <c r="P659" s="1816"/>
      <c r="Q659" s="1779"/>
      <c r="R659" s="1779"/>
      <c r="S659" s="1779"/>
      <c r="T659" s="1779"/>
      <c r="U659" s="1779"/>
      <c r="V659" s="1779"/>
      <c r="W659" s="1779"/>
      <c r="X659" s="1779"/>
      <c r="Y659" s="1779"/>
      <c r="Z659" s="1779"/>
      <c r="AA659" s="1779"/>
      <c r="AB659" s="1779"/>
      <c r="AC659" s="1779"/>
    </row>
    <row r="660" spans="1:29">
      <c r="A660" s="1779"/>
      <c r="B660" s="1779"/>
      <c r="C660" s="1779"/>
      <c r="D660" s="1779"/>
      <c r="E660" s="1779"/>
      <c r="F660" s="1779"/>
      <c r="G660" s="1779"/>
      <c r="H660" s="1779"/>
      <c r="I660" s="1779"/>
      <c r="J660" s="1779"/>
      <c r="K660" s="1780"/>
      <c r="L660" s="1781"/>
      <c r="M660" s="1779"/>
      <c r="N660" s="1779"/>
      <c r="O660" s="1779"/>
      <c r="P660" s="1816"/>
      <c r="Q660" s="1779"/>
      <c r="R660" s="1779"/>
      <c r="S660" s="1779"/>
      <c r="T660" s="1779"/>
      <c r="U660" s="1779"/>
      <c r="V660" s="1779"/>
      <c r="W660" s="1779"/>
      <c r="X660" s="1779"/>
      <c r="Y660" s="1779"/>
      <c r="Z660" s="1779"/>
      <c r="AA660" s="1779"/>
      <c r="AB660" s="1779"/>
      <c r="AC660" s="1779"/>
    </row>
    <row r="661" spans="1:29">
      <c r="A661" s="1779"/>
      <c r="B661" s="1779"/>
      <c r="C661" s="1779"/>
      <c r="D661" s="1779"/>
      <c r="E661" s="1779"/>
      <c r="F661" s="1779"/>
      <c r="G661" s="1779"/>
      <c r="H661" s="1779"/>
      <c r="I661" s="1779"/>
      <c r="J661" s="1779"/>
      <c r="K661" s="1780"/>
      <c r="L661" s="1781"/>
      <c r="M661" s="1779"/>
      <c r="N661" s="1779"/>
      <c r="O661" s="1779"/>
      <c r="P661" s="1816"/>
      <c r="Q661" s="1779"/>
      <c r="R661" s="1779"/>
      <c r="S661" s="1779"/>
      <c r="T661" s="1779"/>
      <c r="U661" s="1779"/>
      <c r="V661" s="1779"/>
      <c r="W661" s="1779"/>
      <c r="X661" s="1779"/>
      <c r="Y661" s="1779"/>
      <c r="Z661" s="1779"/>
      <c r="AA661" s="1779"/>
      <c r="AB661" s="1779"/>
      <c r="AC661" s="1779"/>
    </row>
    <row r="662" spans="1:29">
      <c r="A662" s="1779"/>
      <c r="B662" s="1779"/>
      <c r="C662" s="1779"/>
      <c r="D662" s="1779"/>
      <c r="E662" s="1779"/>
      <c r="F662" s="1779"/>
      <c r="G662" s="1779"/>
      <c r="H662" s="1779"/>
      <c r="I662" s="1779"/>
      <c r="J662" s="1779"/>
      <c r="K662" s="1780"/>
      <c r="L662" s="1781"/>
      <c r="M662" s="1779"/>
      <c r="N662" s="1779"/>
      <c r="O662" s="1779"/>
      <c r="P662" s="1816"/>
      <c r="Q662" s="1779"/>
      <c r="R662" s="1779"/>
      <c r="S662" s="1779"/>
      <c r="T662" s="1779"/>
      <c r="U662" s="1779"/>
      <c r="V662" s="1779"/>
      <c r="W662" s="1779"/>
      <c r="X662" s="1779"/>
      <c r="Y662" s="1779"/>
      <c r="Z662" s="1779"/>
      <c r="AA662" s="1779"/>
      <c r="AB662" s="1779"/>
      <c r="AC662" s="1779"/>
    </row>
    <row r="663" spans="1:29">
      <c r="A663" s="1779"/>
      <c r="B663" s="1779"/>
      <c r="C663" s="1779"/>
      <c r="D663" s="1779"/>
      <c r="E663" s="1779"/>
      <c r="F663" s="1779"/>
      <c r="G663" s="1779"/>
      <c r="H663" s="1779"/>
      <c r="I663" s="1779"/>
      <c r="J663" s="1779"/>
      <c r="K663" s="1780"/>
      <c r="L663" s="1781"/>
      <c r="M663" s="1779"/>
      <c r="N663" s="1779"/>
      <c r="O663" s="1779"/>
      <c r="P663" s="1816"/>
      <c r="Q663" s="1779"/>
      <c r="R663" s="1779"/>
      <c r="S663" s="1779"/>
      <c r="T663" s="1779"/>
      <c r="U663" s="1779"/>
      <c r="V663" s="1779"/>
      <c r="W663" s="1779"/>
      <c r="X663" s="1779"/>
      <c r="Y663" s="1779"/>
      <c r="Z663" s="1779"/>
      <c r="AA663" s="1779"/>
      <c r="AB663" s="1779"/>
      <c r="AC663" s="1779"/>
    </row>
    <row r="664" spans="1:29">
      <c r="A664" s="1779"/>
      <c r="B664" s="1779"/>
      <c r="C664" s="1779"/>
      <c r="D664" s="1779"/>
      <c r="E664" s="1779"/>
      <c r="F664" s="1779"/>
      <c r="G664" s="1779"/>
      <c r="H664" s="1779"/>
      <c r="I664" s="1779"/>
      <c r="J664" s="1779"/>
      <c r="K664" s="1780"/>
      <c r="L664" s="1781"/>
      <c r="M664" s="1779"/>
      <c r="N664" s="1779"/>
      <c r="O664" s="1779"/>
      <c r="P664" s="1816"/>
      <c r="Q664" s="1779"/>
      <c r="R664" s="1779"/>
      <c r="S664" s="1779"/>
      <c r="T664" s="1779"/>
      <c r="U664" s="1779"/>
      <c r="V664" s="1779"/>
      <c r="W664" s="1779"/>
      <c r="X664" s="1779"/>
      <c r="Y664" s="1779"/>
      <c r="Z664" s="1779"/>
      <c r="AA664" s="1779"/>
      <c r="AB664" s="1779"/>
      <c r="AC664" s="1779"/>
    </row>
    <row r="665" spans="1:29">
      <c r="A665" s="1779"/>
      <c r="B665" s="1779"/>
      <c r="C665" s="1779"/>
      <c r="D665" s="1779"/>
      <c r="E665" s="1779"/>
      <c r="F665" s="1779"/>
      <c r="G665" s="1779"/>
      <c r="H665" s="1779"/>
      <c r="I665" s="1779"/>
      <c r="J665" s="1779"/>
      <c r="K665" s="1780"/>
      <c r="L665" s="1781"/>
      <c r="M665" s="1779"/>
      <c r="N665" s="1779"/>
      <c r="O665" s="1779"/>
      <c r="P665" s="1816"/>
      <c r="Q665" s="1779"/>
      <c r="R665" s="1779"/>
      <c r="S665" s="1779"/>
      <c r="T665" s="1779"/>
      <c r="U665" s="1779"/>
      <c r="V665" s="1779"/>
      <c r="W665" s="1779"/>
      <c r="X665" s="1779"/>
      <c r="Y665" s="1779"/>
      <c r="Z665" s="1779"/>
      <c r="AA665" s="1779"/>
      <c r="AB665" s="1779"/>
      <c r="AC665" s="1779"/>
    </row>
    <row r="666" spans="1:29">
      <c r="A666" s="1779"/>
      <c r="B666" s="1779"/>
      <c r="C666" s="1779"/>
      <c r="D666" s="1779"/>
      <c r="E666" s="1779"/>
      <c r="F666" s="1779"/>
      <c r="G666" s="1779"/>
      <c r="H666" s="1779"/>
      <c r="I666" s="1779"/>
      <c r="J666" s="1779"/>
      <c r="K666" s="1780"/>
      <c r="L666" s="1781"/>
      <c r="M666" s="1779"/>
      <c r="N666" s="1779"/>
      <c r="O666" s="1779"/>
      <c r="P666" s="1816"/>
      <c r="Q666" s="1779"/>
      <c r="R666" s="1779"/>
      <c r="S666" s="1779"/>
      <c r="T666" s="1779"/>
      <c r="U666" s="1779"/>
      <c r="V666" s="1779"/>
      <c r="W666" s="1779"/>
      <c r="X666" s="1779"/>
      <c r="Y666" s="1779"/>
      <c r="Z666" s="1779"/>
      <c r="AA666" s="1779"/>
      <c r="AB666" s="1779"/>
      <c r="AC666" s="1779"/>
    </row>
    <row r="667" spans="1:29">
      <c r="A667" s="1779"/>
      <c r="B667" s="1779"/>
      <c r="C667" s="1779"/>
      <c r="D667" s="1779"/>
      <c r="E667" s="1779"/>
      <c r="F667" s="1779"/>
      <c r="G667" s="1779"/>
      <c r="H667" s="1779"/>
      <c r="I667" s="1779"/>
      <c r="J667" s="1779"/>
      <c r="K667" s="1780"/>
      <c r="L667" s="1781"/>
      <c r="M667" s="1779"/>
      <c r="N667" s="1779"/>
      <c r="O667" s="1779"/>
      <c r="P667" s="1816"/>
      <c r="Q667" s="1779"/>
      <c r="R667" s="1779"/>
      <c r="S667" s="1779"/>
      <c r="T667" s="1779"/>
      <c r="U667" s="1779"/>
      <c r="V667" s="1779"/>
      <c r="W667" s="1779"/>
      <c r="X667" s="1779"/>
      <c r="Y667" s="1779"/>
      <c r="Z667" s="1779"/>
      <c r="AA667" s="1779"/>
      <c r="AB667" s="1779"/>
      <c r="AC667" s="1779"/>
    </row>
    <row r="668" spans="1:29">
      <c r="A668" s="1779"/>
      <c r="B668" s="1779"/>
      <c r="C668" s="1779"/>
      <c r="D668" s="1779"/>
      <c r="E668" s="1779"/>
      <c r="F668" s="1779"/>
      <c r="G668" s="1779"/>
      <c r="H668" s="1779"/>
      <c r="I668" s="1779"/>
      <c r="J668" s="1779"/>
      <c r="K668" s="1780"/>
      <c r="L668" s="1781"/>
      <c r="M668" s="1779"/>
      <c r="N668" s="1779"/>
      <c r="O668" s="1779"/>
      <c r="P668" s="1816"/>
      <c r="Q668" s="1779"/>
      <c r="R668" s="1779"/>
      <c r="S668" s="1779"/>
      <c r="T668" s="1779"/>
      <c r="U668" s="1779"/>
      <c r="V668" s="1779"/>
      <c r="W668" s="1779"/>
      <c r="X668" s="1779"/>
      <c r="Y668" s="1779"/>
      <c r="Z668" s="1779"/>
      <c r="AA668" s="1779"/>
      <c r="AB668" s="1779"/>
      <c r="AC668" s="1779"/>
    </row>
    <row r="669" spans="1:29">
      <c r="A669" s="1779"/>
      <c r="B669" s="1779"/>
      <c r="C669" s="1779"/>
      <c r="D669" s="1779"/>
      <c r="E669" s="1779"/>
      <c r="F669" s="1779"/>
      <c r="G669" s="1779"/>
      <c r="H669" s="1779"/>
      <c r="I669" s="1779"/>
      <c r="J669" s="1779"/>
      <c r="K669" s="1780"/>
      <c r="L669" s="1781"/>
      <c r="M669" s="1779"/>
      <c r="N669" s="1779"/>
      <c r="O669" s="1779"/>
      <c r="P669" s="1816"/>
      <c r="Q669" s="1779"/>
      <c r="R669" s="1779"/>
      <c r="S669" s="1779"/>
      <c r="T669" s="1779"/>
      <c r="U669" s="1779"/>
      <c r="V669" s="1779"/>
      <c r="W669" s="1779"/>
      <c r="X669" s="1779"/>
      <c r="Y669" s="1779"/>
      <c r="Z669" s="1779"/>
      <c r="AA669" s="1779"/>
      <c r="AB669" s="1779"/>
      <c r="AC669" s="1779"/>
    </row>
    <row r="670" spans="1:29">
      <c r="A670" s="1779"/>
      <c r="B670" s="1779"/>
      <c r="C670" s="1779"/>
      <c r="D670" s="1779"/>
      <c r="E670" s="1779"/>
      <c r="F670" s="1779"/>
      <c r="G670" s="1779"/>
      <c r="H670" s="1779"/>
      <c r="I670" s="1779"/>
      <c r="J670" s="1779"/>
      <c r="K670" s="1780"/>
      <c r="L670" s="1781"/>
      <c r="M670" s="1779"/>
      <c r="N670" s="1779"/>
      <c r="O670" s="1779"/>
      <c r="P670" s="1816"/>
      <c r="Q670" s="1779"/>
      <c r="R670" s="1779"/>
      <c r="S670" s="1779"/>
      <c r="T670" s="1779"/>
      <c r="U670" s="1779"/>
      <c r="V670" s="1779"/>
      <c r="W670" s="1779"/>
      <c r="X670" s="1779"/>
      <c r="Y670" s="1779"/>
      <c r="Z670" s="1779"/>
      <c r="AA670" s="1779"/>
      <c r="AB670" s="1779"/>
      <c r="AC670" s="1779"/>
    </row>
    <row r="671" spans="1:29">
      <c r="A671" s="1779"/>
      <c r="B671" s="1779"/>
      <c r="C671" s="1779"/>
      <c r="D671" s="1779"/>
      <c r="E671" s="1779"/>
      <c r="F671" s="1779"/>
      <c r="G671" s="1779"/>
      <c r="H671" s="1779"/>
      <c r="I671" s="1779"/>
      <c r="J671" s="1779"/>
      <c r="K671" s="1780"/>
      <c r="L671" s="1781"/>
      <c r="M671" s="1779"/>
      <c r="N671" s="1779"/>
      <c r="O671" s="1779"/>
      <c r="P671" s="1816"/>
      <c r="Q671" s="1779"/>
      <c r="R671" s="1779"/>
      <c r="S671" s="1779"/>
      <c r="T671" s="1779"/>
      <c r="U671" s="1779"/>
      <c r="V671" s="1779"/>
      <c r="W671" s="1779"/>
      <c r="X671" s="1779"/>
      <c r="Y671" s="1779"/>
      <c r="Z671" s="1779"/>
      <c r="AA671" s="1779"/>
      <c r="AB671" s="1779"/>
      <c r="AC671" s="1779"/>
    </row>
    <row r="672" spans="1:29">
      <c r="A672" s="1779"/>
      <c r="B672" s="1779"/>
      <c r="C672" s="1779"/>
      <c r="D672" s="1779"/>
      <c r="E672" s="1779"/>
      <c r="F672" s="1779"/>
      <c r="G672" s="1779"/>
      <c r="H672" s="1779"/>
      <c r="I672" s="1779"/>
      <c r="J672" s="1779"/>
      <c r="K672" s="1780"/>
      <c r="L672" s="1781"/>
      <c r="M672" s="1779"/>
      <c r="N672" s="1779"/>
      <c r="O672" s="1779"/>
      <c r="P672" s="1816"/>
      <c r="Q672" s="1779"/>
      <c r="R672" s="1779"/>
      <c r="S672" s="1779"/>
      <c r="T672" s="1779"/>
      <c r="U672" s="1779"/>
      <c r="V672" s="1779"/>
      <c r="W672" s="1779"/>
      <c r="X672" s="1779"/>
      <c r="Y672" s="1779"/>
      <c r="Z672" s="1779"/>
      <c r="AA672" s="1779"/>
      <c r="AB672" s="1779"/>
      <c r="AC672" s="1779"/>
    </row>
    <row r="673" spans="1:29">
      <c r="A673" s="1779"/>
      <c r="B673" s="1779"/>
      <c r="C673" s="1779"/>
      <c r="D673" s="1779"/>
      <c r="E673" s="1779"/>
      <c r="F673" s="1779"/>
      <c r="G673" s="1779"/>
      <c r="H673" s="1779"/>
      <c r="I673" s="1779"/>
      <c r="J673" s="1779"/>
      <c r="K673" s="1780"/>
      <c r="L673" s="1781"/>
      <c r="M673" s="1779"/>
      <c r="N673" s="1779"/>
      <c r="O673" s="1779"/>
      <c r="P673" s="1816"/>
      <c r="Q673" s="1779"/>
      <c r="R673" s="1779"/>
      <c r="S673" s="1779"/>
      <c r="T673" s="1779"/>
      <c r="U673" s="1779"/>
      <c r="V673" s="1779"/>
      <c r="W673" s="1779"/>
      <c r="X673" s="1779"/>
      <c r="Y673" s="1779"/>
      <c r="Z673" s="1779"/>
      <c r="AA673" s="1779"/>
      <c r="AB673" s="1779"/>
      <c r="AC673" s="1779"/>
    </row>
    <row r="674" spans="1:29">
      <c r="A674" s="1779"/>
      <c r="B674" s="1779"/>
      <c r="C674" s="1779"/>
      <c r="D674" s="1779"/>
      <c r="E674" s="1779"/>
      <c r="F674" s="1779"/>
      <c r="G674" s="1779"/>
      <c r="H674" s="1779"/>
      <c r="I674" s="1779"/>
      <c r="J674" s="1779"/>
      <c r="K674" s="1780"/>
      <c r="L674" s="1781"/>
      <c r="M674" s="1779"/>
      <c r="N674" s="1779"/>
      <c r="O674" s="1779"/>
      <c r="P674" s="1816"/>
      <c r="Q674" s="1779"/>
      <c r="R674" s="1779"/>
      <c r="S674" s="1779"/>
      <c r="T674" s="1779"/>
      <c r="U674" s="1779"/>
      <c r="V674" s="1779"/>
      <c r="W674" s="1779"/>
      <c r="X674" s="1779"/>
      <c r="Y674" s="1779"/>
      <c r="Z674" s="1779"/>
      <c r="AA674" s="1779"/>
      <c r="AB674" s="1779"/>
      <c r="AC674" s="1779"/>
    </row>
    <row r="675" spans="1:29">
      <c r="A675" s="1779"/>
      <c r="B675" s="1779"/>
      <c r="C675" s="1779"/>
      <c r="D675" s="1779"/>
      <c r="E675" s="1779"/>
      <c r="F675" s="1779"/>
      <c r="G675" s="1779"/>
      <c r="H675" s="1779"/>
      <c r="I675" s="1779"/>
      <c r="J675" s="1779"/>
      <c r="K675" s="1780"/>
      <c r="L675" s="1781"/>
      <c r="M675" s="1779"/>
      <c r="N675" s="1779"/>
      <c r="O675" s="1779"/>
      <c r="P675" s="1816"/>
      <c r="Q675" s="1779"/>
      <c r="R675" s="1779"/>
      <c r="S675" s="1779"/>
      <c r="T675" s="1779"/>
      <c r="U675" s="1779"/>
      <c r="V675" s="1779"/>
      <c r="W675" s="1779"/>
      <c r="X675" s="1779"/>
      <c r="Y675" s="1779"/>
      <c r="Z675" s="1779"/>
      <c r="AA675" s="1779"/>
      <c r="AB675" s="1779"/>
      <c r="AC675" s="1779"/>
    </row>
    <row r="676" spans="1:29">
      <c r="A676" s="1779"/>
      <c r="B676" s="1779"/>
      <c r="C676" s="1779"/>
      <c r="D676" s="1779"/>
      <c r="E676" s="1779"/>
      <c r="F676" s="1779"/>
      <c r="G676" s="1779"/>
      <c r="H676" s="1779"/>
      <c r="I676" s="1779"/>
      <c r="J676" s="1779"/>
      <c r="K676" s="1780"/>
      <c r="L676" s="1781"/>
      <c r="M676" s="1779"/>
      <c r="N676" s="1779"/>
      <c r="O676" s="1779"/>
      <c r="P676" s="1816"/>
      <c r="Q676" s="1779"/>
      <c r="R676" s="1779"/>
      <c r="S676" s="1779"/>
      <c r="T676" s="1779"/>
      <c r="U676" s="1779"/>
      <c r="V676" s="1779"/>
      <c r="W676" s="1779"/>
      <c r="X676" s="1779"/>
      <c r="Y676" s="1779"/>
      <c r="Z676" s="1779"/>
      <c r="AA676" s="1779"/>
      <c r="AB676" s="1779"/>
      <c r="AC676" s="1779"/>
    </row>
    <row r="677" spans="1:29">
      <c r="A677" s="1779"/>
      <c r="B677" s="1779"/>
      <c r="C677" s="1779"/>
      <c r="D677" s="1779"/>
      <c r="E677" s="1779"/>
      <c r="F677" s="1779"/>
      <c r="G677" s="1779"/>
      <c r="H677" s="1779"/>
      <c r="I677" s="1779"/>
      <c r="J677" s="1779"/>
      <c r="K677" s="1780"/>
      <c r="L677" s="1781"/>
      <c r="M677" s="1779"/>
      <c r="N677" s="1779"/>
      <c r="O677" s="1779"/>
      <c r="P677" s="1816"/>
      <c r="Q677" s="1779"/>
      <c r="R677" s="1779"/>
      <c r="S677" s="1779"/>
      <c r="T677" s="1779"/>
      <c r="U677" s="1779"/>
      <c r="V677" s="1779"/>
      <c r="W677" s="1779"/>
      <c r="X677" s="1779"/>
      <c r="Y677" s="1779"/>
      <c r="Z677" s="1779"/>
      <c r="AA677" s="1779"/>
      <c r="AB677" s="1779"/>
      <c r="AC677" s="1779"/>
    </row>
    <row r="678" spans="1:29">
      <c r="A678" s="1779"/>
      <c r="B678" s="1779"/>
      <c r="C678" s="1779"/>
      <c r="D678" s="1779"/>
      <c r="E678" s="1779"/>
      <c r="F678" s="1779"/>
      <c r="G678" s="1779"/>
      <c r="H678" s="1779"/>
      <c r="I678" s="1779"/>
      <c r="J678" s="1779"/>
      <c r="K678" s="1780"/>
      <c r="L678" s="1781"/>
      <c r="M678" s="1779"/>
      <c r="N678" s="1779"/>
      <c r="O678" s="1779"/>
      <c r="P678" s="1816"/>
      <c r="Q678" s="1779"/>
      <c r="R678" s="1779"/>
      <c r="S678" s="1779"/>
      <c r="T678" s="1779"/>
      <c r="U678" s="1779"/>
      <c r="V678" s="1779"/>
      <c r="W678" s="1779"/>
      <c r="X678" s="1779"/>
      <c r="Y678" s="1779"/>
      <c r="Z678" s="1779"/>
      <c r="AA678" s="1779"/>
      <c r="AB678" s="1779"/>
      <c r="AC678" s="1779"/>
    </row>
    <row r="679" spans="1:29">
      <c r="A679" s="1779"/>
      <c r="B679" s="1779"/>
      <c r="C679" s="1779"/>
      <c r="D679" s="1779"/>
      <c r="E679" s="1779"/>
      <c r="F679" s="1779"/>
      <c r="G679" s="1779"/>
      <c r="H679" s="1779"/>
      <c r="I679" s="1779"/>
      <c r="J679" s="1779"/>
      <c r="K679" s="1780"/>
      <c r="L679" s="1781"/>
      <c r="M679" s="1779"/>
      <c r="N679" s="1779"/>
      <c r="O679" s="1779"/>
      <c r="P679" s="1816"/>
      <c r="Q679" s="1779"/>
      <c r="R679" s="1779"/>
      <c r="S679" s="1779"/>
      <c r="T679" s="1779"/>
      <c r="U679" s="1779"/>
      <c r="V679" s="1779"/>
      <c r="W679" s="1779"/>
      <c r="X679" s="1779"/>
      <c r="Y679" s="1779"/>
      <c r="Z679" s="1779"/>
      <c r="AA679" s="1779"/>
      <c r="AB679" s="1779"/>
      <c r="AC679" s="1779"/>
    </row>
    <row r="680" spans="1:29">
      <c r="A680" s="1779"/>
      <c r="B680" s="1779"/>
      <c r="C680" s="1779"/>
      <c r="D680" s="1779"/>
      <c r="E680" s="1779"/>
      <c r="F680" s="1779"/>
      <c r="G680" s="1779"/>
      <c r="H680" s="1779"/>
      <c r="I680" s="1779"/>
      <c r="J680" s="1779"/>
      <c r="K680" s="1780"/>
      <c r="L680" s="1781"/>
      <c r="M680" s="1779"/>
      <c r="N680" s="1779"/>
      <c r="O680" s="1779"/>
      <c r="P680" s="1816"/>
      <c r="Q680" s="1779"/>
      <c r="R680" s="1779"/>
      <c r="S680" s="1779"/>
      <c r="T680" s="1779"/>
      <c r="U680" s="1779"/>
      <c r="V680" s="1779"/>
      <c r="W680" s="1779"/>
      <c r="X680" s="1779"/>
      <c r="Y680" s="1779"/>
      <c r="Z680" s="1779"/>
      <c r="AA680" s="1779"/>
      <c r="AB680" s="1779"/>
      <c r="AC680" s="1779"/>
    </row>
    <row r="681" spans="1:29">
      <c r="A681" s="1779"/>
      <c r="B681" s="1779"/>
      <c r="C681" s="1779"/>
      <c r="D681" s="1779"/>
      <c r="E681" s="1779"/>
      <c r="F681" s="1779"/>
      <c r="G681" s="1779"/>
      <c r="H681" s="1779"/>
      <c r="I681" s="1779"/>
      <c r="J681" s="1779"/>
      <c r="K681" s="1780"/>
      <c r="L681" s="1781"/>
      <c r="M681" s="1779"/>
      <c r="N681" s="1779"/>
      <c r="O681" s="1779"/>
      <c r="P681" s="1816"/>
      <c r="Q681" s="1779"/>
      <c r="R681" s="1779"/>
      <c r="S681" s="1779"/>
      <c r="T681" s="1779"/>
      <c r="U681" s="1779"/>
      <c r="V681" s="1779"/>
      <c r="W681" s="1779"/>
      <c r="X681" s="1779"/>
      <c r="Y681" s="1779"/>
      <c r="Z681" s="1779"/>
      <c r="AA681" s="1779"/>
      <c r="AB681" s="1779"/>
      <c r="AC681" s="1779"/>
    </row>
    <row r="682" spans="1:29">
      <c r="A682" s="1779"/>
      <c r="B682" s="1779"/>
      <c r="C682" s="1779"/>
      <c r="D682" s="1779"/>
      <c r="E682" s="1779"/>
      <c r="F682" s="1779"/>
      <c r="G682" s="1779"/>
      <c r="H682" s="1779"/>
      <c r="I682" s="1779"/>
      <c r="J682" s="1779"/>
      <c r="K682" s="1780"/>
      <c r="L682" s="1781"/>
      <c r="M682" s="1779"/>
      <c r="N682" s="1779"/>
      <c r="O682" s="1779"/>
      <c r="P682" s="1816"/>
      <c r="Q682" s="1779"/>
      <c r="R682" s="1779"/>
      <c r="S682" s="1779"/>
      <c r="T682" s="1779"/>
      <c r="U682" s="1779"/>
      <c r="V682" s="1779"/>
      <c r="W682" s="1779"/>
      <c r="X682" s="1779"/>
      <c r="Y682" s="1779"/>
      <c r="Z682" s="1779"/>
      <c r="AA682" s="1779"/>
      <c r="AB682" s="1779"/>
      <c r="AC682" s="1779"/>
    </row>
    <row r="683" spans="1:29">
      <c r="A683" s="1779"/>
      <c r="B683" s="1779"/>
      <c r="C683" s="1779"/>
      <c r="D683" s="1779"/>
      <c r="E683" s="1779"/>
      <c r="F683" s="1779"/>
      <c r="G683" s="1779"/>
      <c r="H683" s="1779"/>
      <c r="I683" s="1779"/>
      <c r="J683" s="1779"/>
      <c r="K683" s="1780"/>
      <c r="L683" s="1781"/>
      <c r="M683" s="1779"/>
      <c r="N683" s="1779"/>
      <c r="O683" s="1779"/>
      <c r="P683" s="1816"/>
      <c r="Q683" s="1779"/>
      <c r="R683" s="1779"/>
      <c r="S683" s="1779"/>
      <c r="T683" s="1779"/>
      <c r="U683" s="1779"/>
      <c r="V683" s="1779"/>
      <c r="W683" s="1779"/>
      <c r="X683" s="1779"/>
      <c r="Y683" s="1779"/>
      <c r="Z683" s="1779"/>
      <c r="AA683" s="1779"/>
      <c r="AB683" s="1779"/>
      <c r="AC683" s="1779"/>
    </row>
    <row r="684" spans="1:29">
      <c r="A684" s="1779"/>
      <c r="B684" s="1779"/>
      <c r="C684" s="1779"/>
      <c r="D684" s="1779"/>
      <c r="E684" s="1779"/>
      <c r="F684" s="1779"/>
      <c r="G684" s="1779"/>
      <c r="H684" s="1779"/>
      <c r="I684" s="1779"/>
      <c r="J684" s="1779"/>
      <c r="K684" s="1780"/>
      <c r="L684" s="1781"/>
      <c r="M684" s="1779"/>
      <c r="N684" s="1779"/>
      <c r="O684" s="1779"/>
      <c r="P684" s="1816"/>
      <c r="Q684" s="1779"/>
      <c r="R684" s="1779"/>
      <c r="S684" s="1779"/>
      <c r="T684" s="1779"/>
      <c r="U684" s="1779"/>
      <c r="V684" s="1779"/>
      <c r="W684" s="1779"/>
      <c r="X684" s="1779"/>
      <c r="Y684" s="1779"/>
      <c r="Z684" s="1779"/>
      <c r="AA684" s="1779"/>
      <c r="AB684" s="1779"/>
      <c r="AC684" s="1779"/>
    </row>
    <row r="685" spans="1:29">
      <c r="A685" s="1779"/>
      <c r="B685" s="1779"/>
      <c r="C685" s="1779"/>
      <c r="D685" s="1779"/>
      <c r="E685" s="1779"/>
      <c r="F685" s="1779"/>
      <c r="G685" s="1779"/>
      <c r="H685" s="1779"/>
      <c r="I685" s="1779"/>
      <c r="J685" s="1779"/>
      <c r="K685" s="1780"/>
      <c r="L685" s="1781"/>
      <c r="M685" s="1779"/>
      <c r="N685" s="1779"/>
      <c r="O685" s="1779"/>
      <c r="P685" s="1816"/>
      <c r="Q685" s="1779"/>
      <c r="R685" s="1779"/>
      <c r="S685" s="1779"/>
      <c r="T685" s="1779"/>
      <c r="U685" s="1779"/>
      <c r="V685" s="1779"/>
      <c r="W685" s="1779"/>
      <c r="X685" s="1779"/>
      <c r="Y685" s="1779"/>
      <c r="Z685" s="1779"/>
      <c r="AA685" s="1779"/>
      <c r="AB685" s="1779"/>
      <c r="AC685" s="1779"/>
    </row>
    <row r="686" spans="1:29">
      <c r="A686" s="1779"/>
      <c r="B686" s="1779"/>
      <c r="C686" s="1779"/>
      <c r="D686" s="1779"/>
      <c r="E686" s="1779"/>
      <c r="F686" s="1779"/>
      <c r="G686" s="1779"/>
      <c r="H686" s="1779"/>
      <c r="I686" s="1779"/>
      <c r="J686" s="1779"/>
      <c r="K686" s="1780"/>
      <c r="L686" s="1781"/>
      <c r="M686" s="1779"/>
      <c r="N686" s="1779"/>
      <c r="O686" s="1779"/>
      <c r="P686" s="1816"/>
      <c r="Q686" s="1779"/>
      <c r="R686" s="1779"/>
      <c r="S686" s="1779"/>
      <c r="T686" s="1779"/>
      <c r="U686" s="1779"/>
      <c r="V686" s="1779"/>
      <c r="W686" s="1779"/>
      <c r="X686" s="1779"/>
      <c r="Y686" s="1779"/>
      <c r="Z686" s="1779"/>
      <c r="AA686" s="1779"/>
      <c r="AB686" s="1779"/>
      <c r="AC686" s="1779"/>
    </row>
    <row r="687" spans="1:29">
      <c r="A687" s="1779"/>
      <c r="B687" s="1779"/>
      <c r="C687" s="1779"/>
      <c r="D687" s="1779"/>
      <c r="E687" s="1779"/>
      <c r="F687" s="1779"/>
      <c r="G687" s="1779"/>
      <c r="H687" s="1779"/>
      <c r="I687" s="1779"/>
      <c r="J687" s="1779"/>
      <c r="K687" s="1780"/>
      <c r="L687" s="1781"/>
      <c r="M687" s="1779"/>
      <c r="N687" s="1779"/>
      <c r="O687" s="1779"/>
      <c r="P687" s="1816"/>
      <c r="Q687" s="1779"/>
      <c r="R687" s="1779"/>
      <c r="S687" s="1779"/>
      <c r="T687" s="1779"/>
      <c r="U687" s="1779"/>
      <c r="V687" s="1779"/>
      <c r="W687" s="1779"/>
      <c r="X687" s="1779"/>
      <c r="Y687" s="1779"/>
      <c r="Z687" s="1779"/>
      <c r="AA687" s="1779"/>
      <c r="AB687" s="1779"/>
      <c r="AC687" s="1779"/>
    </row>
    <row r="688" spans="1:29">
      <c r="A688" s="1779"/>
      <c r="B688" s="1779"/>
      <c r="C688" s="1779"/>
      <c r="D688" s="1779"/>
      <c r="E688" s="1779"/>
      <c r="F688" s="1779"/>
      <c r="G688" s="1779"/>
      <c r="H688" s="1779"/>
      <c r="I688" s="1779"/>
      <c r="J688" s="1779"/>
      <c r="K688" s="1780"/>
      <c r="L688" s="1781"/>
      <c r="M688" s="1779"/>
      <c r="N688" s="1779"/>
      <c r="O688" s="1779"/>
      <c r="P688" s="1816"/>
      <c r="Q688" s="1779"/>
      <c r="R688" s="1779"/>
      <c r="S688" s="1779"/>
      <c r="T688" s="1779"/>
      <c r="U688" s="1779"/>
      <c r="V688" s="1779"/>
      <c r="W688" s="1779"/>
      <c r="X688" s="1779"/>
      <c r="Y688" s="1779"/>
      <c r="Z688" s="1779"/>
      <c r="AA688" s="1779"/>
      <c r="AB688" s="1779"/>
      <c r="AC688" s="1779"/>
    </row>
    <row r="689" spans="1:29">
      <c r="A689" s="1779"/>
      <c r="B689" s="1779"/>
      <c r="C689" s="1779"/>
      <c r="D689" s="1779"/>
      <c r="E689" s="1779"/>
      <c r="F689" s="1779"/>
      <c r="G689" s="1779"/>
      <c r="H689" s="1779"/>
      <c r="I689" s="1779"/>
      <c r="J689" s="1779"/>
      <c r="K689" s="1780"/>
      <c r="L689" s="1781"/>
      <c r="M689" s="1779"/>
      <c r="N689" s="1779"/>
      <c r="O689" s="1779"/>
      <c r="P689" s="1816"/>
      <c r="Q689" s="1779"/>
      <c r="R689" s="1779"/>
      <c r="S689" s="1779"/>
      <c r="T689" s="1779"/>
      <c r="U689" s="1779"/>
      <c r="V689" s="1779"/>
      <c r="W689" s="1779"/>
      <c r="X689" s="1779"/>
      <c r="Y689" s="1779"/>
      <c r="Z689" s="1779"/>
      <c r="AA689" s="1779"/>
      <c r="AB689" s="1779"/>
      <c r="AC689" s="1779"/>
    </row>
    <row r="690" spans="1:29">
      <c r="A690" s="1779"/>
      <c r="B690" s="1779"/>
      <c r="C690" s="1779"/>
      <c r="D690" s="1779"/>
      <c r="E690" s="1779"/>
      <c r="F690" s="1779"/>
      <c r="G690" s="1779"/>
      <c r="H690" s="1779"/>
      <c r="I690" s="1779"/>
      <c r="J690" s="1779"/>
      <c r="K690" s="1780"/>
      <c r="L690" s="1781"/>
      <c r="M690" s="1779"/>
      <c r="N690" s="1779"/>
      <c r="O690" s="1779"/>
      <c r="P690" s="1816"/>
      <c r="Q690" s="1779"/>
      <c r="R690" s="1779"/>
      <c r="S690" s="1779"/>
      <c r="T690" s="1779"/>
      <c r="U690" s="1779"/>
      <c r="V690" s="1779"/>
      <c r="W690" s="1779"/>
      <c r="X690" s="1779"/>
      <c r="Y690" s="1779"/>
      <c r="Z690" s="1779"/>
      <c r="AA690" s="1779"/>
      <c r="AB690" s="1779"/>
      <c r="AC690" s="1779"/>
    </row>
    <row r="691" spans="1:29">
      <c r="A691" s="1779"/>
      <c r="B691" s="1779"/>
      <c r="C691" s="1779"/>
      <c r="D691" s="1779"/>
      <c r="E691" s="1779"/>
      <c r="F691" s="1779"/>
      <c r="G691" s="1779"/>
      <c r="H691" s="1779"/>
      <c r="I691" s="1779"/>
      <c r="J691" s="1779"/>
      <c r="K691" s="1780"/>
      <c r="L691" s="1781"/>
      <c r="M691" s="1779"/>
      <c r="N691" s="1779"/>
      <c r="O691" s="1779"/>
      <c r="P691" s="1816"/>
      <c r="Q691" s="1779"/>
      <c r="R691" s="1779"/>
      <c r="S691" s="1779"/>
      <c r="T691" s="1779"/>
      <c r="U691" s="1779"/>
      <c r="V691" s="1779"/>
      <c r="W691" s="1779"/>
      <c r="X691" s="1779"/>
      <c r="Y691" s="1779"/>
      <c r="Z691" s="1779"/>
      <c r="AA691" s="1779"/>
      <c r="AB691" s="1779"/>
      <c r="AC691" s="1779"/>
    </row>
    <row r="692" spans="1:29">
      <c r="A692" s="1779"/>
      <c r="B692" s="1779"/>
      <c r="C692" s="1779"/>
      <c r="D692" s="1779"/>
      <c r="E692" s="1779"/>
      <c r="F692" s="1779"/>
      <c r="G692" s="1779"/>
      <c r="H692" s="1779"/>
      <c r="I692" s="1779"/>
      <c r="J692" s="1779"/>
      <c r="K692" s="1780"/>
      <c r="L692" s="1781"/>
      <c r="M692" s="1779"/>
      <c r="N692" s="1779"/>
      <c r="O692" s="1779"/>
      <c r="P692" s="1816"/>
      <c r="Q692" s="1779"/>
      <c r="R692" s="1779"/>
      <c r="S692" s="1779"/>
      <c r="T692" s="1779"/>
      <c r="U692" s="1779"/>
      <c r="V692" s="1779"/>
      <c r="W692" s="1779"/>
      <c r="X692" s="1779"/>
      <c r="Y692" s="1779"/>
      <c r="Z692" s="1779"/>
      <c r="AA692" s="1779"/>
      <c r="AB692" s="1779"/>
      <c r="AC692" s="1779"/>
    </row>
    <row r="693" spans="1:29">
      <c r="A693" s="1779"/>
      <c r="B693" s="1779"/>
      <c r="C693" s="1779"/>
      <c r="D693" s="1779"/>
      <c r="E693" s="1779"/>
      <c r="F693" s="1779"/>
      <c r="G693" s="1779"/>
      <c r="H693" s="1779"/>
      <c r="I693" s="1779"/>
      <c r="J693" s="1779"/>
      <c r="K693" s="1780"/>
      <c r="L693" s="1781"/>
      <c r="M693" s="1779"/>
      <c r="N693" s="1779"/>
      <c r="O693" s="1779"/>
      <c r="P693" s="1816"/>
      <c r="Q693" s="1779"/>
      <c r="R693" s="1779"/>
      <c r="S693" s="1779"/>
      <c r="T693" s="1779"/>
      <c r="U693" s="1779"/>
      <c r="V693" s="1779"/>
      <c r="W693" s="1779"/>
      <c r="X693" s="1779"/>
      <c r="Y693" s="1779"/>
      <c r="Z693" s="1779"/>
      <c r="AA693" s="1779"/>
      <c r="AB693" s="1779"/>
      <c r="AC693" s="1779"/>
    </row>
    <row r="694" spans="1:29">
      <c r="A694" s="1779"/>
      <c r="B694" s="1779"/>
      <c r="C694" s="1779"/>
      <c r="D694" s="1779"/>
      <c r="E694" s="1779"/>
      <c r="F694" s="1779"/>
      <c r="G694" s="1779"/>
      <c r="H694" s="1779"/>
      <c r="I694" s="1779"/>
      <c r="J694" s="1779"/>
      <c r="K694" s="1780"/>
      <c r="L694" s="1781"/>
      <c r="M694" s="1779"/>
      <c r="N694" s="1779"/>
      <c r="O694" s="1779"/>
      <c r="P694" s="1816"/>
      <c r="Q694" s="1779"/>
      <c r="R694" s="1779"/>
      <c r="S694" s="1779"/>
      <c r="T694" s="1779"/>
      <c r="U694" s="1779"/>
      <c r="V694" s="1779"/>
      <c r="W694" s="1779"/>
      <c r="X694" s="1779"/>
      <c r="Y694" s="1779"/>
      <c r="Z694" s="1779"/>
      <c r="AA694" s="1779"/>
      <c r="AB694" s="1779"/>
      <c r="AC694" s="1779"/>
    </row>
    <row r="695" spans="1:29">
      <c r="A695" s="1779"/>
      <c r="B695" s="1779"/>
      <c r="C695" s="1779"/>
      <c r="D695" s="1779"/>
      <c r="E695" s="1779"/>
      <c r="F695" s="1779"/>
      <c r="G695" s="1779"/>
      <c r="H695" s="1779"/>
      <c r="I695" s="1779"/>
      <c r="J695" s="1779"/>
      <c r="K695" s="1780"/>
      <c r="L695" s="1781"/>
      <c r="M695" s="1779"/>
      <c r="N695" s="1779"/>
      <c r="O695" s="1779"/>
      <c r="P695" s="1816"/>
      <c r="Q695" s="1779"/>
      <c r="R695" s="1779"/>
      <c r="S695" s="1779"/>
      <c r="T695" s="1779"/>
      <c r="U695" s="1779"/>
      <c r="V695" s="1779"/>
      <c r="W695" s="1779"/>
      <c r="X695" s="1779"/>
      <c r="Y695" s="1779"/>
      <c r="Z695" s="1779"/>
      <c r="AA695" s="1779"/>
      <c r="AB695" s="1779"/>
      <c r="AC695" s="1779"/>
    </row>
    <row r="696" spans="1:29">
      <c r="A696" s="1779"/>
      <c r="B696" s="1779"/>
      <c r="C696" s="1779"/>
      <c r="D696" s="1779"/>
      <c r="E696" s="1779"/>
      <c r="F696" s="1779"/>
      <c r="G696" s="1779"/>
      <c r="H696" s="1779"/>
      <c r="I696" s="1779"/>
      <c r="J696" s="1779"/>
      <c r="K696" s="1780"/>
      <c r="L696" s="1781"/>
      <c r="M696" s="1779"/>
      <c r="N696" s="1779"/>
      <c r="O696" s="1779"/>
      <c r="P696" s="1816"/>
      <c r="Q696" s="1779"/>
      <c r="R696" s="1779"/>
      <c r="S696" s="1779"/>
      <c r="T696" s="1779"/>
      <c r="U696" s="1779"/>
      <c r="V696" s="1779"/>
      <c r="W696" s="1779"/>
      <c r="X696" s="1779"/>
      <c r="Y696" s="1779"/>
      <c r="Z696" s="1779"/>
      <c r="AA696" s="1779"/>
      <c r="AB696" s="1779"/>
      <c r="AC696" s="1779"/>
    </row>
    <row r="697" spans="1:29">
      <c r="A697" s="1779"/>
      <c r="B697" s="1779"/>
      <c r="C697" s="1779"/>
      <c r="D697" s="1779"/>
      <c r="E697" s="1779"/>
      <c r="F697" s="1779"/>
      <c r="G697" s="1779"/>
      <c r="H697" s="1779"/>
      <c r="I697" s="1779"/>
      <c r="J697" s="1779"/>
      <c r="K697" s="1780"/>
      <c r="L697" s="1781"/>
      <c r="M697" s="1779"/>
      <c r="N697" s="1779"/>
      <c r="O697" s="1779"/>
      <c r="P697" s="1816"/>
      <c r="Q697" s="1779"/>
      <c r="R697" s="1779"/>
      <c r="S697" s="1779"/>
      <c r="T697" s="1779"/>
      <c r="U697" s="1779"/>
      <c r="V697" s="1779"/>
      <c r="W697" s="1779"/>
      <c r="X697" s="1779"/>
      <c r="Y697" s="1779"/>
      <c r="Z697" s="1779"/>
      <c r="AA697" s="1779"/>
      <c r="AB697" s="1779"/>
      <c r="AC697" s="1779"/>
    </row>
    <row r="698" spans="1:29">
      <c r="A698" s="1779"/>
      <c r="B698" s="1779"/>
      <c r="C698" s="1779"/>
      <c r="D698" s="1779"/>
      <c r="E698" s="1779"/>
      <c r="F698" s="1779"/>
      <c r="G698" s="1779"/>
      <c r="H698" s="1779"/>
      <c r="I698" s="1779"/>
      <c r="J698" s="1779"/>
      <c r="K698" s="1780"/>
      <c r="L698" s="1781"/>
      <c r="M698" s="1779"/>
      <c r="N698" s="1779"/>
      <c r="O698" s="1779"/>
      <c r="P698" s="1816"/>
      <c r="Q698" s="1779"/>
      <c r="R698" s="1779"/>
      <c r="S698" s="1779"/>
      <c r="T698" s="1779"/>
      <c r="U698" s="1779"/>
      <c r="V698" s="1779"/>
      <c r="W698" s="1779"/>
      <c r="X698" s="1779"/>
      <c r="Y698" s="1779"/>
      <c r="Z698" s="1779"/>
      <c r="AA698" s="1779"/>
      <c r="AB698" s="1779"/>
      <c r="AC698" s="1779"/>
    </row>
    <row r="699" spans="1:29">
      <c r="A699" s="1779"/>
      <c r="B699" s="1779"/>
      <c r="C699" s="1779"/>
      <c r="D699" s="1779"/>
      <c r="E699" s="1779"/>
      <c r="F699" s="1779"/>
      <c r="G699" s="1779"/>
      <c r="H699" s="1779"/>
      <c r="I699" s="1779"/>
      <c r="J699" s="1779"/>
      <c r="K699" s="1780"/>
      <c r="L699" s="1781"/>
      <c r="M699" s="1779"/>
      <c r="N699" s="1779"/>
      <c r="O699" s="1779"/>
      <c r="P699" s="1816"/>
      <c r="Q699" s="1779"/>
      <c r="R699" s="1779"/>
      <c r="S699" s="1779"/>
      <c r="T699" s="1779"/>
      <c r="U699" s="1779"/>
      <c r="V699" s="1779"/>
      <c r="W699" s="1779"/>
      <c r="X699" s="1779"/>
      <c r="Y699" s="1779"/>
      <c r="Z699" s="1779"/>
      <c r="AA699" s="1779"/>
      <c r="AB699" s="1779"/>
      <c r="AC699" s="1779"/>
    </row>
    <row r="700" spans="1:29">
      <c r="A700" s="1779"/>
      <c r="B700" s="1779"/>
      <c r="C700" s="1779"/>
      <c r="D700" s="1779"/>
      <c r="E700" s="1779"/>
      <c r="F700" s="1779"/>
      <c r="G700" s="1779"/>
      <c r="H700" s="1779"/>
      <c r="I700" s="1779"/>
      <c r="J700" s="1779"/>
      <c r="K700" s="1780"/>
      <c r="L700" s="1781"/>
      <c r="M700" s="1779"/>
      <c r="N700" s="1779"/>
      <c r="O700" s="1779"/>
      <c r="P700" s="1816"/>
      <c r="Q700" s="1779"/>
      <c r="R700" s="1779"/>
      <c r="S700" s="1779"/>
      <c r="T700" s="1779"/>
      <c r="U700" s="1779"/>
      <c r="V700" s="1779"/>
      <c r="W700" s="1779"/>
      <c r="X700" s="1779"/>
      <c r="Y700" s="1779"/>
      <c r="Z700" s="1779"/>
      <c r="AA700" s="1779"/>
      <c r="AB700" s="1779"/>
      <c r="AC700" s="1779"/>
    </row>
    <row r="701" spans="1:29">
      <c r="A701" s="1779"/>
      <c r="B701" s="1779"/>
      <c r="C701" s="1779"/>
      <c r="D701" s="1779"/>
      <c r="E701" s="1779"/>
      <c r="F701" s="1779"/>
      <c r="G701" s="1779"/>
      <c r="H701" s="1779"/>
      <c r="I701" s="1779"/>
      <c r="J701" s="1779"/>
      <c r="K701" s="1780"/>
      <c r="L701" s="1781"/>
      <c r="M701" s="1779"/>
      <c r="N701" s="1779"/>
      <c r="O701" s="1779"/>
      <c r="P701" s="1816"/>
      <c r="Q701" s="1779"/>
      <c r="R701" s="1779"/>
      <c r="S701" s="1779"/>
      <c r="T701" s="1779"/>
      <c r="U701" s="1779"/>
      <c r="V701" s="1779"/>
      <c r="W701" s="1779"/>
      <c r="X701" s="1779"/>
      <c r="Y701" s="1779"/>
      <c r="Z701" s="1779"/>
      <c r="AA701" s="1779"/>
      <c r="AB701" s="1779"/>
      <c r="AC701" s="1779"/>
    </row>
    <row r="702" spans="1:29">
      <c r="A702" s="1779"/>
      <c r="B702" s="1779"/>
      <c r="C702" s="1779"/>
      <c r="D702" s="1779"/>
      <c r="E702" s="1779"/>
      <c r="F702" s="1779"/>
      <c r="G702" s="1779"/>
      <c r="H702" s="1779"/>
      <c r="I702" s="1779"/>
      <c r="J702" s="1779"/>
      <c r="K702" s="1780"/>
      <c r="L702" s="1781"/>
      <c r="M702" s="1779"/>
      <c r="N702" s="1779"/>
      <c r="O702" s="1779"/>
      <c r="P702" s="1816"/>
      <c r="Q702" s="1779"/>
      <c r="R702" s="1779"/>
      <c r="S702" s="1779"/>
      <c r="T702" s="1779"/>
      <c r="U702" s="1779"/>
      <c r="V702" s="1779"/>
      <c r="W702" s="1779"/>
      <c r="X702" s="1779"/>
      <c r="Y702" s="1779"/>
      <c r="Z702" s="1779"/>
      <c r="AA702" s="1779"/>
      <c r="AB702" s="1779"/>
      <c r="AC702" s="1779"/>
    </row>
    <row r="703" spans="1:29">
      <c r="A703" s="1779"/>
      <c r="B703" s="1779"/>
      <c r="C703" s="1779"/>
      <c r="D703" s="1779"/>
      <c r="E703" s="1779"/>
      <c r="F703" s="1779"/>
      <c r="G703" s="1779"/>
      <c r="H703" s="1779"/>
      <c r="I703" s="1779"/>
      <c r="J703" s="1779"/>
      <c r="K703" s="1780"/>
      <c r="L703" s="1781"/>
      <c r="M703" s="1779"/>
      <c r="N703" s="1779"/>
      <c r="O703" s="1779"/>
      <c r="P703" s="1816"/>
      <c r="Q703" s="1779"/>
      <c r="R703" s="1779"/>
      <c r="S703" s="1779"/>
      <c r="T703" s="1779"/>
      <c r="U703" s="1779"/>
      <c r="V703" s="1779"/>
      <c r="W703" s="1779"/>
      <c r="X703" s="1779"/>
      <c r="Y703" s="1779"/>
      <c r="Z703" s="1779"/>
      <c r="AA703" s="1779"/>
      <c r="AB703" s="1779"/>
      <c r="AC703" s="1779"/>
    </row>
    <row r="704" spans="1:29">
      <c r="A704" s="1779"/>
      <c r="B704" s="1779"/>
      <c r="C704" s="1779"/>
      <c r="D704" s="1779"/>
      <c r="E704" s="1779"/>
      <c r="F704" s="1779"/>
      <c r="G704" s="1779"/>
      <c r="H704" s="1779"/>
      <c r="I704" s="1779"/>
      <c r="J704" s="1779"/>
      <c r="K704" s="1780"/>
      <c r="L704" s="1781"/>
      <c r="M704" s="1779"/>
      <c r="N704" s="1779"/>
      <c r="O704" s="1779"/>
      <c r="P704" s="1816"/>
      <c r="Q704" s="1779"/>
      <c r="R704" s="1779"/>
      <c r="S704" s="1779"/>
      <c r="T704" s="1779"/>
      <c r="U704" s="1779"/>
      <c r="V704" s="1779"/>
      <c r="W704" s="1779"/>
      <c r="X704" s="1779"/>
      <c r="Y704" s="1779"/>
      <c r="Z704" s="1779"/>
      <c r="AA704" s="1779"/>
      <c r="AB704" s="1779"/>
      <c r="AC704" s="1779"/>
    </row>
    <row r="705" spans="1:29">
      <c r="A705" s="1779"/>
      <c r="B705" s="1779"/>
      <c r="C705" s="1779"/>
      <c r="D705" s="1779"/>
      <c r="E705" s="1779"/>
      <c r="F705" s="1779"/>
      <c r="G705" s="1779"/>
      <c r="H705" s="1779"/>
      <c r="I705" s="1779"/>
      <c r="J705" s="1779"/>
      <c r="K705" s="1780"/>
      <c r="L705" s="1781"/>
      <c r="M705" s="1779"/>
      <c r="N705" s="1779"/>
      <c r="O705" s="1779"/>
      <c r="P705" s="1816"/>
      <c r="Q705" s="1779"/>
      <c r="R705" s="1779"/>
      <c r="S705" s="1779"/>
      <c r="T705" s="1779"/>
      <c r="U705" s="1779"/>
      <c r="V705" s="1779"/>
      <c r="W705" s="1779"/>
      <c r="X705" s="1779"/>
      <c r="Y705" s="1779"/>
      <c r="Z705" s="1779"/>
      <c r="AA705" s="1779"/>
      <c r="AB705" s="1779"/>
      <c r="AC705" s="1779"/>
    </row>
    <row r="706" spans="1:29">
      <c r="A706" s="1779"/>
      <c r="B706" s="1779"/>
      <c r="C706" s="1779"/>
      <c r="D706" s="1779"/>
      <c r="E706" s="1779"/>
      <c r="F706" s="1779"/>
      <c r="G706" s="1779"/>
      <c r="H706" s="1779"/>
      <c r="I706" s="1779"/>
      <c r="J706" s="1779"/>
      <c r="K706" s="1780"/>
      <c r="L706" s="1781"/>
      <c r="M706" s="1779"/>
      <c r="N706" s="1779"/>
      <c r="O706" s="1779"/>
      <c r="P706" s="1816"/>
      <c r="Q706" s="1779"/>
      <c r="R706" s="1779"/>
      <c r="S706" s="1779"/>
      <c r="T706" s="1779"/>
      <c r="U706" s="1779"/>
      <c r="V706" s="1779"/>
      <c r="W706" s="1779"/>
      <c r="X706" s="1779"/>
      <c r="Y706" s="1779"/>
      <c r="Z706" s="1779"/>
      <c r="AA706" s="1779"/>
      <c r="AB706" s="1779"/>
      <c r="AC706" s="1779"/>
    </row>
    <row r="707" spans="1:29">
      <c r="A707" s="1779"/>
      <c r="B707" s="1779"/>
      <c r="C707" s="1779"/>
      <c r="D707" s="1779"/>
      <c r="E707" s="1779"/>
      <c r="F707" s="1779"/>
      <c r="G707" s="1779"/>
      <c r="H707" s="1779"/>
      <c r="I707" s="1779"/>
      <c r="J707" s="1779"/>
      <c r="K707" s="1780"/>
      <c r="L707" s="1781"/>
      <c r="M707" s="1779"/>
      <c r="N707" s="1779"/>
      <c r="O707" s="1779"/>
      <c r="P707" s="1816"/>
      <c r="Q707" s="1779"/>
      <c r="R707" s="1779"/>
      <c r="S707" s="1779"/>
      <c r="T707" s="1779"/>
      <c r="U707" s="1779"/>
      <c r="V707" s="1779"/>
      <c r="W707" s="1779"/>
      <c r="X707" s="1779"/>
      <c r="Y707" s="1779"/>
      <c r="Z707" s="1779"/>
      <c r="AA707" s="1779"/>
      <c r="AB707" s="1779"/>
      <c r="AC707" s="1779"/>
    </row>
    <row r="708" spans="1:29">
      <c r="A708" s="1779"/>
      <c r="B708" s="1779"/>
      <c r="C708" s="1779"/>
      <c r="D708" s="1779"/>
      <c r="E708" s="1779"/>
      <c r="F708" s="1779"/>
      <c r="G708" s="1779"/>
      <c r="H708" s="1779"/>
      <c r="I708" s="1779"/>
      <c r="J708" s="1779"/>
      <c r="K708" s="1780"/>
      <c r="L708" s="1781"/>
      <c r="M708" s="1779"/>
      <c r="N708" s="1779"/>
      <c r="O708" s="1779"/>
      <c r="P708" s="1816"/>
      <c r="Q708" s="1779"/>
      <c r="R708" s="1779"/>
      <c r="S708" s="1779"/>
      <c r="T708" s="1779"/>
      <c r="U708" s="1779"/>
      <c r="V708" s="1779"/>
      <c r="W708" s="1779"/>
      <c r="X708" s="1779"/>
      <c r="Y708" s="1779"/>
      <c r="Z708" s="1779"/>
      <c r="AA708" s="1779"/>
      <c r="AB708" s="1779"/>
      <c r="AC708" s="1779"/>
    </row>
    <row r="709" spans="1:29">
      <c r="A709" s="1779"/>
      <c r="B709" s="1779"/>
      <c r="C709" s="1779"/>
      <c r="D709" s="1779"/>
      <c r="E709" s="1779"/>
      <c r="F709" s="1779"/>
      <c r="G709" s="1779"/>
      <c r="H709" s="1779"/>
      <c r="I709" s="1779"/>
      <c r="J709" s="1779"/>
      <c r="K709" s="1780"/>
      <c r="L709" s="1781"/>
      <c r="M709" s="1779"/>
      <c r="N709" s="1779"/>
      <c r="O709" s="1779"/>
      <c r="P709" s="1816"/>
      <c r="Q709" s="1779"/>
      <c r="R709" s="1779"/>
      <c r="S709" s="1779"/>
      <c r="T709" s="1779"/>
      <c r="U709" s="1779"/>
      <c r="V709" s="1779"/>
      <c r="W709" s="1779"/>
      <c r="X709" s="1779"/>
      <c r="Y709" s="1779"/>
      <c r="Z709" s="1779"/>
      <c r="AA709" s="1779"/>
      <c r="AB709" s="1779"/>
      <c r="AC709" s="1779"/>
    </row>
    <row r="710" spans="1:29">
      <c r="A710" s="1779"/>
      <c r="B710" s="1779"/>
      <c r="C710" s="1779"/>
      <c r="D710" s="1779"/>
      <c r="E710" s="1779"/>
      <c r="F710" s="1779"/>
      <c r="G710" s="1779"/>
      <c r="H710" s="1779"/>
      <c r="I710" s="1779"/>
      <c r="J710" s="1779"/>
      <c r="K710" s="1780"/>
      <c r="L710" s="1781"/>
      <c r="M710" s="1779"/>
      <c r="N710" s="1779"/>
      <c r="O710" s="1779"/>
      <c r="P710" s="1816"/>
      <c r="Q710" s="1779"/>
      <c r="R710" s="1779"/>
      <c r="S710" s="1779"/>
      <c r="T710" s="1779"/>
      <c r="U710" s="1779"/>
      <c r="V710" s="1779"/>
      <c r="W710" s="1779"/>
      <c r="X710" s="1779"/>
      <c r="Y710" s="1779"/>
      <c r="Z710" s="1779"/>
      <c r="AA710" s="1779"/>
      <c r="AB710" s="1779"/>
      <c r="AC710" s="1779"/>
    </row>
    <row r="711" spans="1:29">
      <c r="A711" s="1779"/>
      <c r="B711" s="1779"/>
      <c r="C711" s="1779"/>
      <c r="D711" s="1779"/>
      <c r="E711" s="1779"/>
      <c r="F711" s="1779"/>
      <c r="G711" s="1779"/>
      <c r="H711" s="1779"/>
      <c r="I711" s="1779"/>
      <c r="J711" s="1779"/>
      <c r="K711" s="1780"/>
      <c r="L711" s="1781"/>
      <c r="M711" s="1779"/>
      <c r="N711" s="1779"/>
      <c r="O711" s="1779"/>
      <c r="P711" s="1816"/>
      <c r="Q711" s="1779"/>
      <c r="R711" s="1779"/>
      <c r="S711" s="1779"/>
      <c r="T711" s="1779"/>
      <c r="U711" s="1779"/>
      <c r="V711" s="1779"/>
      <c r="W711" s="1779"/>
      <c r="X711" s="1779"/>
      <c r="Y711" s="1779"/>
      <c r="Z711" s="1779"/>
      <c r="AA711" s="1779"/>
      <c r="AB711" s="1779"/>
      <c r="AC711" s="1779"/>
    </row>
    <row r="712" spans="1:29">
      <c r="A712" s="1779"/>
      <c r="B712" s="1779"/>
      <c r="C712" s="1779"/>
      <c r="D712" s="1779"/>
      <c r="E712" s="1779"/>
      <c r="F712" s="1779"/>
      <c r="G712" s="1779"/>
      <c r="H712" s="1779"/>
      <c r="I712" s="1779"/>
      <c r="J712" s="1779"/>
      <c r="K712" s="1780"/>
      <c r="L712" s="1781"/>
      <c r="M712" s="1779"/>
      <c r="N712" s="1779"/>
      <c r="O712" s="1779"/>
      <c r="P712" s="1816"/>
      <c r="Q712" s="1779"/>
      <c r="R712" s="1779"/>
      <c r="S712" s="1779"/>
      <c r="T712" s="1779"/>
      <c r="U712" s="1779"/>
      <c r="V712" s="1779"/>
      <c r="W712" s="1779"/>
      <c r="X712" s="1779"/>
      <c r="Y712" s="1779"/>
      <c r="Z712" s="1779"/>
      <c r="AA712" s="1779"/>
      <c r="AB712" s="1779"/>
      <c r="AC712" s="1779"/>
    </row>
    <row r="713" spans="1:29">
      <c r="A713" s="1779"/>
      <c r="B713" s="1779"/>
      <c r="C713" s="1779"/>
      <c r="D713" s="1779"/>
      <c r="E713" s="1779"/>
      <c r="F713" s="1779"/>
      <c r="G713" s="1779"/>
      <c r="H713" s="1779"/>
      <c r="I713" s="1779"/>
      <c r="J713" s="1779"/>
      <c r="K713" s="1780"/>
      <c r="L713" s="1781"/>
      <c r="M713" s="1779"/>
      <c r="N713" s="1779"/>
      <c r="O713" s="1779"/>
      <c r="P713" s="1816"/>
      <c r="Q713" s="1779"/>
      <c r="R713" s="1779"/>
      <c r="S713" s="1779"/>
      <c r="T713" s="1779"/>
      <c r="U713" s="1779"/>
      <c r="V713" s="1779"/>
      <c r="W713" s="1779"/>
      <c r="X713" s="1779"/>
      <c r="Y713" s="1779"/>
      <c r="Z713" s="1779"/>
      <c r="AA713" s="1779"/>
      <c r="AB713" s="1779"/>
      <c r="AC713" s="1779"/>
    </row>
    <row r="714" spans="1:29">
      <c r="A714" s="1779"/>
      <c r="B714" s="1779"/>
      <c r="C714" s="1779"/>
      <c r="D714" s="1779"/>
      <c r="E714" s="1779"/>
      <c r="F714" s="1779"/>
      <c r="G714" s="1779"/>
      <c r="H714" s="1779"/>
      <c r="I714" s="1779"/>
      <c r="J714" s="1779"/>
      <c r="K714" s="1780"/>
      <c r="L714" s="1781"/>
      <c r="M714" s="1779"/>
      <c r="N714" s="1779"/>
      <c r="O714" s="1779"/>
      <c r="P714" s="1816"/>
      <c r="Q714" s="1779"/>
      <c r="R714" s="1779"/>
      <c r="S714" s="1779"/>
      <c r="T714" s="1779"/>
      <c r="U714" s="1779"/>
      <c r="V714" s="1779"/>
      <c r="W714" s="1779"/>
      <c r="X714" s="1779"/>
      <c r="Y714" s="1779"/>
      <c r="Z714" s="1779"/>
      <c r="AA714" s="1779"/>
      <c r="AB714" s="1779"/>
      <c r="AC714" s="1779"/>
    </row>
    <row r="715" spans="1:29">
      <c r="A715" s="1779"/>
      <c r="B715" s="1779"/>
      <c r="C715" s="1779"/>
      <c r="D715" s="1779"/>
      <c r="E715" s="1779"/>
      <c r="F715" s="1779"/>
      <c r="G715" s="1779"/>
      <c r="H715" s="1779"/>
      <c r="I715" s="1779"/>
      <c r="J715" s="1779"/>
      <c r="K715" s="1780"/>
      <c r="L715" s="1781"/>
      <c r="M715" s="1779"/>
      <c r="N715" s="1779"/>
      <c r="O715" s="1779"/>
      <c r="P715" s="1816"/>
      <c r="Q715" s="1779"/>
      <c r="R715" s="1779"/>
      <c r="S715" s="1779"/>
      <c r="T715" s="1779"/>
      <c r="U715" s="1779"/>
      <c r="V715" s="1779"/>
      <c r="W715" s="1779"/>
      <c r="X715" s="1779"/>
      <c r="Y715" s="1779"/>
      <c r="Z715" s="1779"/>
      <c r="AA715" s="1779"/>
      <c r="AB715" s="1779"/>
      <c r="AC715" s="1779"/>
    </row>
    <row r="716" spans="1:29">
      <c r="A716" s="1779"/>
      <c r="B716" s="1779"/>
      <c r="C716" s="1779"/>
      <c r="D716" s="1779"/>
      <c r="E716" s="1779"/>
      <c r="F716" s="1779"/>
      <c r="G716" s="1779"/>
      <c r="H716" s="1779"/>
      <c r="I716" s="1779"/>
      <c r="J716" s="1779"/>
      <c r="K716" s="1780"/>
      <c r="L716" s="1781"/>
      <c r="M716" s="1779"/>
      <c r="N716" s="1779"/>
      <c r="O716" s="1779"/>
      <c r="P716" s="1816"/>
      <c r="Q716" s="1779"/>
      <c r="R716" s="1779"/>
      <c r="S716" s="1779"/>
      <c r="T716" s="1779"/>
      <c r="U716" s="1779"/>
      <c r="V716" s="1779"/>
      <c r="W716" s="1779"/>
      <c r="X716" s="1779"/>
      <c r="Y716" s="1779"/>
      <c r="Z716" s="1779"/>
      <c r="AA716" s="1779"/>
      <c r="AB716" s="1779"/>
      <c r="AC716" s="1779"/>
    </row>
    <row r="717" spans="1:29">
      <c r="A717" s="1779"/>
      <c r="B717" s="1779"/>
      <c r="C717" s="1779"/>
      <c r="D717" s="1779"/>
      <c r="E717" s="1779"/>
      <c r="F717" s="1779"/>
      <c r="G717" s="1779"/>
      <c r="H717" s="1779"/>
      <c r="I717" s="1779"/>
      <c r="J717" s="1779"/>
      <c r="K717" s="1780"/>
      <c r="L717" s="1781"/>
      <c r="M717" s="1779"/>
      <c r="N717" s="1779"/>
      <c r="O717" s="1779"/>
      <c r="P717" s="1816"/>
      <c r="Q717" s="1779"/>
      <c r="R717" s="1779"/>
      <c r="S717" s="1779"/>
      <c r="T717" s="1779"/>
      <c r="U717" s="1779"/>
      <c r="V717" s="1779"/>
      <c r="W717" s="1779"/>
      <c r="X717" s="1779"/>
      <c r="Y717" s="1779"/>
      <c r="Z717" s="1779"/>
      <c r="AA717" s="1779"/>
      <c r="AB717" s="1779"/>
      <c r="AC717" s="1779"/>
    </row>
    <row r="718" spans="1:29">
      <c r="A718" s="1779"/>
      <c r="B718" s="1779"/>
      <c r="C718" s="1779"/>
      <c r="D718" s="1779"/>
      <c r="E718" s="1779"/>
      <c r="F718" s="1779"/>
      <c r="G718" s="1779"/>
      <c r="H718" s="1779"/>
      <c r="I718" s="1779"/>
      <c r="J718" s="1779"/>
      <c r="K718" s="1780"/>
      <c r="L718" s="1781"/>
      <c r="M718" s="1779"/>
      <c r="N718" s="1779"/>
      <c r="O718" s="1779"/>
      <c r="P718" s="1816"/>
      <c r="Q718" s="1779"/>
      <c r="R718" s="1779"/>
      <c r="S718" s="1779"/>
      <c r="T718" s="1779"/>
      <c r="U718" s="1779"/>
      <c r="V718" s="1779"/>
      <c r="W718" s="1779"/>
      <c r="X718" s="1779"/>
      <c r="Y718" s="1779"/>
      <c r="Z718" s="1779"/>
      <c r="AA718" s="1779"/>
      <c r="AB718" s="1779"/>
      <c r="AC718" s="1779"/>
    </row>
    <row r="719" spans="1:29">
      <c r="A719" s="1779"/>
      <c r="B719" s="1779"/>
      <c r="C719" s="1779"/>
      <c r="D719" s="1779"/>
      <c r="E719" s="1779"/>
      <c r="F719" s="1779"/>
      <c r="G719" s="1779"/>
      <c r="H719" s="1779"/>
      <c r="I719" s="1779"/>
      <c r="J719" s="1779"/>
      <c r="K719" s="1780"/>
      <c r="L719" s="1781"/>
      <c r="M719" s="1779"/>
      <c r="N719" s="1779"/>
      <c r="O719" s="1779"/>
      <c r="P719" s="1816"/>
      <c r="Q719" s="1779"/>
      <c r="R719" s="1779"/>
      <c r="S719" s="1779"/>
      <c r="T719" s="1779"/>
      <c r="U719" s="1779"/>
      <c r="V719" s="1779"/>
      <c r="W719" s="1779"/>
      <c r="X719" s="1779"/>
      <c r="Y719" s="1779"/>
      <c r="Z719" s="1779"/>
      <c r="AA719" s="1779"/>
      <c r="AB719" s="1779"/>
      <c r="AC719" s="1779"/>
    </row>
    <row r="720" spans="1:29">
      <c r="A720" s="1779"/>
      <c r="B720" s="1779"/>
      <c r="C720" s="1779"/>
      <c r="D720" s="1779"/>
      <c r="E720" s="1779"/>
      <c r="F720" s="1779"/>
      <c r="G720" s="1779"/>
      <c r="H720" s="1779"/>
      <c r="I720" s="1779"/>
      <c r="J720" s="1779"/>
      <c r="K720" s="1780"/>
      <c r="L720" s="1781"/>
      <c r="M720" s="1779"/>
      <c r="N720" s="1779"/>
      <c r="O720" s="1779"/>
      <c r="P720" s="1816"/>
      <c r="Q720" s="1779"/>
      <c r="R720" s="1779"/>
      <c r="S720" s="1779"/>
      <c r="T720" s="1779"/>
      <c r="U720" s="1779"/>
      <c r="V720" s="1779"/>
      <c r="W720" s="1779"/>
      <c r="X720" s="1779"/>
      <c r="Y720" s="1779"/>
      <c r="Z720" s="1779"/>
      <c r="AA720" s="1779"/>
      <c r="AB720" s="1779"/>
      <c r="AC720" s="1779"/>
    </row>
    <row r="721" spans="1:29">
      <c r="A721" s="1779"/>
      <c r="B721" s="1779"/>
      <c r="C721" s="1779"/>
      <c r="D721" s="1779"/>
      <c r="E721" s="1779"/>
      <c r="F721" s="1779"/>
      <c r="G721" s="1779"/>
      <c r="H721" s="1779"/>
      <c r="I721" s="1779"/>
      <c r="J721" s="1779"/>
      <c r="K721" s="1780"/>
      <c r="L721" s="1781"/>
      <c r="M721" s="1779"/>
      <c r="N721" s="1779"/>
      <c r="O721" s="1779"/>
      <c r="P721" s="1816"/>
      <c r="Q721" s="1779"/>
      <c r="R721" s="1779"/>
      <c r="S721" s="1779"/>
      <c r="T721" s="1779"/>
      <c r="U721" s="1779"/>
      <c r="V721" s="1779"/>
      <c r="W721" s="1779"/>
      <c r="X721" s="1779"/>
      <c r="Y721" s="1779"/>
      <c r="Z721" s="1779"/>
      <c r="AA721" s="1779"/>
      <c r="AB721" s="1779"/>
      <c r="AC721" s="1779"/>
    </row>
    <row r="722" spans="1:29">
      <c r="A722" s="1779"/>
      <c r="B722" s="1779"/>
      <c r="C722" s="1779"/>
      <c r="D722" s="1779"/>
      <c r="E722" s="1779"/>
      <c r="F722" s="1779"/>
      <c r="G722" s="1779"/>
      <c r="H722" s="1779"/>
      <c r="I722" s="1779"/>
      <c r="J722" s="1779"/>
      <c r="K722" s="1780"/>
      <c r="L722" s="1781"/>
      <c r="M722" s="1779"/>
      <c r="N722" s="1779"/>
      <c r="O722" s="1779"/>
      <c r="P722" s="1816"/>
      <c r="Q722" s="1779"/>
      <c r="R722" s="1779"/>
      <c r="S722" s="1779"/>
      <c r="T722" s="1779"/>
      <c r="U722" s="1779"/>
      <c r="V722" s="1779"/>
      <c r="W722" s="1779"/>
      <c r="X722" s="1779"/>
      <c r="Y722" s="1779"/>
      <c r="Z722" s="1779"/>
      <c r="AA722" s="1779"/>
      <c r="AB722" s="1779"/>
      <c r="AC722" s="1779"/>
    </row>
    <row r="723" spans="1:29">
      <c r="A723" s="1779"/>
      <c r="B723" s="1779"/>
      <c r="C723" s="1779"/>
      <c r="D723" s="1779"/>
      <c r="E723" s="1779"/>
      <c r="F723" s="1779"/>
      <c r="G723" s="1779"/>
      <c r="H723" s="1779"/>
      <c r="I723" s="1779"/>
      <c r="J723" s="1779"/>
      <c r="K723" s="1780"/>
      <c r="L723" s="1781"/>
      <c r="M723" s="1779"/>
      <c r="N723" s="1779"/>
      <c r="O723" s="1779"/>
      <c r="P723" s="1816"/>
      <c r="Q723" s="1779"/>
      <c r="R723" s="1779"/>
      <c r="S723" s="1779"/>
      <c r="T723" s="1779"/>
      <c r="U723" s="1779"/>
      <c r="V723" s="1779"/>
      <c r="W723" s="1779"/>
      <c r="X723" s="1779"/>
      <c r="Y723" s="1779"/>
      <c r="Z723" s="1779"/>
      <c r="AA723" s="1779"/>
      <c r="AB723" s="1779"/>
      <c r="AC723" s="1779"/>
    </row>
    <row r="724" spans="1:29">
      <c r="A724" s="1779"/>
      <c r="B724" s="1779"/>
      <c r="C724" s="1779"/>
      <c r="D724" s="1779"/>
      <c r="E724" s="1779"/>
      <c r="F724" s="1779"/>
      <c r="G724" s="1779"/>
      <c r="H724" s="1779"/>
      <c r="I724" s="1779"/>
      <c r="J724" s="1779"/>
      <c r="K724" s="1780"/>
      <c r="L724" s="1781"/>
      <c r="M724" s="1779"/>
      <c r="N724" s="1779"/>
      <c r="O724" s="1779"/>
      <c r="P724" s="1816"/>
      <c r="Q724" s="1779"/>
      <c r="R724" s="1779"/>
      <c r="S724" s="1779"/>
      <c r="T724" s="1779"/>
      <c r="U724" s="1779"/>
      <c r="V724" s="1779"/>
      <c r="W724" s="1779"/>
      <c r="X724" s="1779"/>
      <c r="Y724" s="1779"/>
      <c r="Z724" s="1779"/>
      <c r="AA724" s="1779"/>
      <c r="AB724" s="1779"/>
      <c r="AC724" s="1779"/>
    </row>
    <row r="725" spans="1:29">
      <c r="A725" s="1779"/>
      <c r="B725" s="1779"/>
      <c r="C725" s="1779"/>
      <c r="D725" s="1779"/>
      <c r="E725" s="1779"/>
      <c r="F725" s="1779"/>
      <c r="G725" s="1779"/>
      <c r="H725" s="1779"/>
      <c r="I725" s="1779"/>
      <c r="J725" s="1779"/>
      <c r="K725" s="1780"/>
      <c r="L725" s="1781"/>
      <c r="M725" s="1779"/>
      <c r="N725" s="1779"/>
      <c r="O725" s="1779"/>
      <c r="P725" s="1816"/>
      <c r="Q725" s="1779"/>
      <c r="R725" s="1779"/>
      <c r="S725" s="1779"/>
      <c r="T725" s="1779"/>
      <c r="U725" s="1779"/>
      <c r="V725" s="1779"/>
      <c r="W725" s="1779"/>
      <c r="X725" s="1779"/>
      <c r="Y725" s="1779"/>
      <c r="Z725" s="1779"/>
      <c r="AA725" s="1779"/>
      <c r="AB725" s="1779"/>
      <c r="AC725" s="1779"/>
    </row>
    <row r="726" spans="1:29">
      <c r="A726" s="1779"/>
      <c r="B726" s="1779"/>
      <c r="C726" s="1779"/>
      <c r="D726" s="1779"/>
      <c r="E726" s="1779"/>
      <c r="F726" s="1779"/>
      <c r="G726" s="1779"/>
      <c r="H726" s="1779"/>
      <c r="I726" s="1779"/>
      <c r="J726" s="1779"/>
      <c r="K726" s="1780"/>
      <c r="L726" s="1781"/>
      <c r="M726" s="1779"/>
      <c r="N726" s="1779"/>
      <c r="O726" s="1779"/>
      <c r="P726" s="1816"/>
      <c r="Q726" s="1779"/>
      <c r="R726" s="1779"/>
      <c r="S726" s="1779"/>
      <c r="T726" s="1779"/>
      <c r="U726" s="1779"/>
      <c r="V726" s="1779"/>
      <c r="W726" s="1779"/>
      <c r="X726" s="1779"/>
      <c r="Y726" s="1779"/>
      <c r="Z726" s="1779"/>
      <c r="AA726" s="1779"/>
      <c r="AB726" s="1779"/>
      <c r="AC726" s="1779"/>
    </row>
    <row r="727" spans="1:29">
      <c r="A727" s="1779"/>
      <c r="B727" s="1779"/>
      <c r="C727" s="1779"/>
      <c r="D727" s="1779"/>
      <c r="E727" s="1779"/>
      <c r="F727" s="1779"/>
      <c r="G727" s="1779"/>
      <c r="H727" s="1779"/>
      <c r="I727" s="1779"/>
      <c r="J727" s="1779"/>
      <c r="K727" s="1780"/>
      <c r="L727" s="1781"/>
      <c r="M727" s="1779"/>
      <c r="N727" s="1779"/>
      <c r="O727" s="1779"/>
      <c r="P727" s="1816"/>
      <c r="Q727" s="1779"/>
      <c r="R727" s="1779"/>
      <c r="S727" s="1779"/>
      <c r="T727" s="1779"/>
      <c r="U727" s="1779"/>
      <c r="V727" s="1779"/>
      <c r="W727" s="1779"/>
      <c r="X727" s="1779"/>
      <c r="Y727" s="1779"/>
      <c r="Z727" s="1779"/>
      <c r="AA727" s="1779"/>
      <c r="AB727" s="1779"/>
      <c r="AC727" s="1779"/>
    </row>
    <row r="728" spans="1:29">
      <c r="A728" s="1779"/>
      <c r="B728" s="1779"/>
      <c r="C728" s="1779"/>
      <c r="D728" s="1779"/>
      <c r="E728" s="1779"/>
      <c r="F728" s="1779"/>
      <c r="G728" s="1779"/>
      <c r="H728" s="1779"/>
      <c r="I728" s="1779"/>
      <c r="J728" s="1779"/>
      <c r="K728" s="1780"/>
      <c r="L728" s="1781"/>
      <c r="M728" s="1779"/>
      <c r="N728" s="1779"/>
      <c r="O728" s="1779"/>
      <c r="P728" s="1816"/>
      <c r="Q728" s="1779"/>
      <c r="R728" s="1779"/>
      <c r="S728" s="1779"/>
      <c r="T728" s="1779"/>
      <c r="U728" s="1779"/>
      <c r="V728" s="1779"/>
      <c r="W728" s="1779"/>
      <c r="X728" s="1779"/>
      <c r="Y728" s="1779"/>
      <c r="Z728" s="1779"/>
      <c r="AA728" s="1779"/>
      <c r="AB728" s="1779"/>
      <c r="AC728" s="1779"/>
    </row>
    <row r="729" spans="1:29">
      <c r="A729" s="1779"/>
      <c r="B729" s="1779"/>
      <c r="C729" s="1779"/>
      <c r="D729" s="1779"/>
      <c r="E729" s="1779"/>
      <c r="F729" s="1779"/>
      <c r="G729" s="1779"/>
      <c r="H729" s="1779"/>
      <c r="I729" s="1779"/>
      <c r="J729" s="1779"/>
      <c r="K729" s="1780"/>
      <c r="L729" s="1781"/>
      <c r="M729" s="1779"/>
      <c r="N729" s="1779"/>
      <c r="O729" s="1779"/>
      <c r="P729" s="1816"/>
      <c r="Q729" s="1779"/>
      <c r="R729" s="1779"/>
      <c r="S729" s="1779"/>
      <c r="T729" s="1779"/>
      <c r="U729" s="1779"/>
      <c r="V729" s="1779"/>
      <c r="W729" s="1779"/>
      <c r="X729" s="1779"/>
      <c r="Y729" s="1779"/>
      <c r="Z729" s="1779"/>
      <c r="AA729" s="1779"/>
      <c r="AB729" s="1779"/>
      <c r="AC729" s="1779"/>
    </row>
    <row r="730" spans="1:29">
      <c r="A730" s="1779"/>
      <c r="B730" s="1779"/>
      <c r="C730" s="1779"/>
      <c r="D730" s="1779"/>
      <c r="E730" s="1779"/>
      <c r="F730" s="1779"/>
      <c r="G730" s="1779"/>
      <c r="H730" s="1779"/>
      <c r="I730" s="1779"/>
      <c r="J730" s="1779"/>
      <c r="K730" s="1780"/>
      <c r="L730" s="1781"/>
      <c r="M730" s="1779"/>
      <c r="N730" s="1779"/>
      <c r="O730" s="1779"/>
      <c r="P730" s="1816"/>
      <c r="Q730" s="1779"/>
      <c r="R730" s="1779"/>
      <c r="S730" s="1779"/>
      <c r="T730" s="1779"/>
      <c r="U730" s="1779"/>
      <c r="V730" s="1779"/>
      <c r="W730" s="1779"/>
      <c r="X730" s="1779"/>
      <c r="Y730" s="1779"/>
      <c r="Z730" s="1779"/>
      <c r="AA730" s="1779"/>
      <c r="AB730" s="1779"/>
      <c r="AC730" s="1779"/>
    </row>
    <row r="731" spans="1:29">
      <c r="A731" s="1779"/>
      <c r="B731" s="1779"/>
      <c r="C731" s="1779"/>
      <c r="D731" s="1779"/>
      <c r="E731" s="1779"/>
      <c r="F731" s="1779"/>
      <c r="G731" s="1779"/>
      <c r="H731" s="1779"/>
      <c r="I731" s="1779"/>
      <c r="J731" s="1779"/>
      <c r="K731" s="1780"/>
      <c r="L731" s="1781"/>
      <c r="M731" s="1779"/>
      <c r="N731" s="1779"/>
      <c r="O731" s="1779"/>
      <c r="P731" s="1816"/>
      <c r="Q731" s="1779"/>
      <c r="R731" s="1779"/>
      <c r="S731" s="1779"/>
      <c r="T731" s="1779"/>
      <c r="U731" s="1779"/>
      <c r="V731" s="1779"/>
      <c r="W731" s="1779"/>
      <c r="X731" s="1779"/>
      <c r="Y731" s="1779"/>
      <c r="Z731" s="1779"/>
      <c r="AA731" s="1779"/>
      <c r="AB731" s="1779"/>
      <c r="AC731" s="1779"/>
    </row>
    <row r="732" spans="1:29">
      <c r="A732" s="1779"/>
      <c r="B732" s="1779"/>
      <c r="C732" s="1779"/>
      <c r="D732" s="1779"/>
      <c r="E732" s="1779"/>
      <c r="F732" s="1779"/>
      <c r="G732" s="1779"/>
      <c r="H732" s="1779"/>
      <c r="I732" s="1779"/>
      <c r="J732" s="1779"/>
      <c r="K732" s="1780"/>
      <c r="L732" s="1781"/>
      <c r="M732" s="1779"/>
      <c r="N732" s="1779"/>
      <c r="O732" s="1779"/>
      <c r="P732" s="1816"/>
      <c r="Q732" s="1779"/>
      <c r="R732" s="1779"/>
      <c r="S732" s="1779"/>
      <c r="T732" s="1779"/>
      <c r="U732" s="1779"/>
      <c r="V732" s="1779"/>
      <c r="W732" s="1779"/>
      <c r="X732" s="1779"/>
      <c r="Y732" s="1779"/>
      <c r="Z732" s="1779"/>
      <c r="AA732" s="1779"/>
      <c r="AB732" s="1779"/>
      <c r="AC732" s="1779"/>
    </row>
    <row r="733" spans="1:29">
      <c r="A733" s="1779"/>
      <c r="B733" s="1779"/>
      <c r="C733" s="1779"/>
      <c r="D733" s="1779"/>
      <c r="E733" s="1779"/>
      <c r="F733" s="1779"/>
      <c r="G733" s="1779"/>
      <c r="H733" s="1779"/>
      <c r="I733" s="1779"/>
      <c r="J733" s="1779"/>
      <c r="K733" s="1780"/>
      <c r="L733" s="1781"/>
      <c r="M733" s="1779"/>
      <c r="N733" s="1779"/>
      <c r="O733" s="1779"/>
      <c r="P733" s="1816"/>
      <c r="Q733" s="1779"/>
      <c r="R733" s="1779"/>
      <c r="S733" s="1779"/>
      <c r="T733" s="1779"/>
      <c r="U733" s="1779"/>
      <c r="V733" s="1779"/>
      <c r="W733" s="1779"/>
      <c r="X733" s="1779"/>
      <c r="Y733" s="1779"/>
      <c r="Z733" s="1779"/>
      <c r="AA733" s="1779"/>
      <c r="AB733" s="1779"/>
      <c r="AC733" s="1779"/>
    </row>
    <row r="734" spans="1:29">
      <c r="A734" s="1779"/>
      <c r="B734" s="1779"/>
      <c r="C734" s="1779"/>
      <c r="D734" s="1779"/>
      <c r="E734" s="1779"/>
      <c r="F734" s="1779"/>
      <c r="G734" s="1779"/>
      <c r="H734" s="1779"/>
      <c r="I734" s="1779"/>
      <c r="J734" s="1779"/>
      <c r="K734" s="1780"/>
      <c r="L734" s="1781"/>
      <c r="M734" s="1779"/>
      <c r="N734" s="1779"/>
      <c r="O734" s="1779"/>
      <c r="P734" s="1816"/>
      <c r="Q734" s="1779"/>
      <c r="R734" s="1779"/>
      <c r="S734" s="1779"/>
      <c r="T734" s="1779"/>
      <c r="U734" s="1779"/>
      <c r="V734" s="1779"/>
      <c r="W734" s="1779"/>
      <c r="X734" s="1779"/>
      <c r="Y734" s="1779"/>
      <c r="Z734" s="1779"/>
      <c r="AA734" s="1779"/>
      <c r="AB734" s="1779"/>
      <c r="AC734" s="1779"/>
    </row>
    <row r="735" spans="1:29">
      <c r="A735" s="1779"/>
      <c r="B735" s="1779"/>
      <c r="C735" s="1779"/>
      <c r="D735" s="1779"/>
      <c r="E735" s="1779"/>
      <c r="F735" s="1779"/>
      <c r="G735" s="1779"/>
      <c r="H735" s="1779"/>
      <c r="I735" s="1779"/>
      <c r="J735" s="1779"/>
      <c r="K735" s="1780"/>
      <c r="L735" s="1781"/>
      <c r="M735" s="1779"/>
      <c r="N735" s="1779"/>
      <c r="O735" s="1779"/>
      <c r="P735" s="1816"/>
      <c r="Q735" s="1779"/>
      <c r="R735" s="1779"/>
      <c r="S735" s="1779"/>
      <c r="T735" s="1779"/>
      <c r="U735" s="1779"/>
      <c r="V735" s="1779"/>
      <c r="W735" s="1779"/>
      <c r="X735" s="1779"/>
      <c r="Y735" s="1779"/>
      <c r="Z735" s="1779"/>
      <c r="AA735" s="1779"/>
      <c r="AB735" s="1779"/>
      <c r="AC735" s="1779"/>
    </row>
    <row r="736" spans="1:29">
      <c r="A736" s="1779"/>
      <c r="B736" s="1779"/>
      <c r="C736" s="1779"/>
      <c r="D736" s="1779"/>
      <c r="E736" s="1779"/>
      <c r="F736" s="1779"/>
      <c r="G736" s="1779"/>
      <c r="H736" s="1779"/>
      <c r="I736" s="1779"/>
      <c r="J736" s="1779"/>
      <c r="K736" s="1780"/>
      <c r="L736" s="1781"/>
      <c r="M736" s="1779"/>
      <c r="N736" s="1779"/>
      <c r="O736" s="1779"/>
      <c r="P736" s="1816"/>
      <c r="Q736" s="1779"/>
      <c r="R736" s="1779"/>
      <c r="S736" s="1779"/>
      <c r="T736" s="1779"/>
      <c r="U736" s="1779"/>
      <c r="V736" s="1779"/>
      <c r="W736" s="1779"/>
      <c r="X736" s="1779"/>
      <c r="Y736" s="1779"/>
      <c r="Z736" s="1779"/>
      <c r="AA736" s="1779"/>
      <c r="AB736" s="1779"/>
      <c r="AC736" s="1779"/>
    </row>
    <row r="737" spans="1:29">
      <c r="A737" s="1779"/>
      <c r="B737" s="1779"/>
      <c r="C737" s="1779"/>
      <c r="D737" s="1779"/>
      <c r="E737" s="1779"/>
      <c r="F737" s="1779"/>
      <c r="G737" s="1779"/>
      <c r="H737" s="1779"/>
      <c r="I737" s="1779"/>
      <c r="J737" s="1779"/>
      <c r="K737" s="1780"/>
      <c r="L737" s="1781"/>
      <c r="M737" s="1779"/>
      <c r="N737" s="1779"/>
      <c r="O737" s="1779"/>
      <c r="P737" s="1816"/>
      <c r="Q737" s="1779"/>
      <c r="R737" s="1779"/>
      <c r="S737" s="1779"/>
      <c r="T737" s="1779"/>
      <c r="U737" s="1779"/>
      <c r="V737" s="1779"/>
      <c r="W737" s="1779"/>
      <c r="X737" s="1779"/>
      <c r="Y737" s="1779"/>
      <c r="Z737" s="1779"/>
      <c r="AA737" s="1779"/>
      <c r="AB737" s="1779"/>
      <c r="AC737" s="1779"/>
    </row>
    <row r="738" spans="1:29">
      <c r="A738" s="1779"/>
      <c r="B738" s="1779"/>
      <c r="C738" s="1779"/>
      <c r="D738" s="1779"/>
      <c r="E738" s="1779"/>
      <c r="F738" s="1779"/>
      <c r="G738" s="1779"/>
      <c r="H738" s="1779"/>
      <c r="I738" s="1779"/>
      <c r="J738" s="1779"/>
      <c r="K738" s="1780"/>
      <c r="L738" s="1781"/>
      <c r="M738" s="1779"/>
      <c r="N738" s="1779"/>
      <c r="O738" s="1779"/>
      <c r="P738" s="1816"/>
      <c r="Q738" s="1779"/>
      <c r="R738" s="1779"/>
      <c r="S738" s="1779"/>
      <c r="T738" s="1779"/>
      <c r="U738" s="1779"/>
      <c r="V738" s="1779"/>
      <c r="W738" s="1779"/>
      <c r="X738" s="1779"/>
      <c r="Y738" s="1779"/>
      <c r="Z738" s="1779"/>
      <c r="AA738" s="1779"/>
      <c r="AB738" s="1779"/>
      <c r="AC738" s="1779"/>
    </row>
    <row r="739" spans="1:29">
      <c r="A739" s="1779"/>
      <c r="B739" s="1779"/>
      <c r="C739" s="1779"/>
      <c r="D739" s="1779"/>
      <c r="E739" s="1779"/>
      <c r="F739" s="1779"/>
      <c r="G739" s="1779"/>
      <c r="H739" s="1779"/>
      <c r="I739" s="1779"/>
      <c r="J739" s="1779"/>
      <c r="K739" s="1780"/>
      <c r="L739" s="1781"/>
      <c r="M739" s="1779"/>
      <c r="N739" s="1779"/>
      <c r="O739" s="1779"/>
      <c r="P739" s="1816"/>
      <c r="Q739" s="1779"/>
      <c r="R739" s="1779"/>
      <c r="S739" s="1779"/>
      <c r="T739" s="1779"/>
      <c r="U739" s="1779"/>
      <c r="V739" s="1779"/>
      <c r="W739" s="1779"/>
      <c r="X739" s="1779"/>
      <c r="Y739" s="1779"/>
      <c r="Z739" s="1779"/>
      <c r="AA739" s="1779"/>
      <c r="AB739" s="1779"/>
      <c r="AC739" s="1779"/>
    </row>
    <row r="740" spans="1:29">
      <c r="A740" s="1779"/>
      <c r="B740" s="1779"/>
      <c r="C740" s="1779"/>
      <c r="D740" s="1779"/>
      <c r="E740" s="1779"/>
      <c r="F740" s="1779"/>
      <c r="G740" s="1779"/>
      <c r="H740" s="1779"/>
      <c r="I740" s="1779"/>
      <c r="J740" s="1779"/>
      <c r="K740" s="1780"/>
      <c r="L740" s="1781"/>
      <c r="M740" s="1779"/>
      <c r="N740" s="1779"/>
      <c r="O740" s="1779"/>
      <c r="P740" s="1816"/>
      <c r="Q740" s="1779"/>
      <c r="R740" s="1779"/>
      <c r="S740" s="1779"/>
      <c r="T740" s="1779"/>
      <c r="U740" s="1779"/>
      <c r="V740" s="1779"/>
      <c r="W740" s="1779"/>
      <c r="X740" s="1779"/>
      <c r="Y740" s="1779"/>
      <c r="Z740" s="1779"/>
      <c r="AA740" s="1779"/>
      <c r="AB740" s="1779"/>
      <c r="AC740" s="1779"/>
    </row>
    <row r="741" spans="1:29">
      <c r="A741" s="1779"/>
      <c r="B741" s="1779"/>
      <c r="C741" s="1779"/>
      <c r="D741" s="1779"/>
      <c r="E741" s="1779"/>
      <c r="F741" s="1779"/>
      <c r="G741" s="1779"/>
      <c r="H741" s="1779"/>
      <c r="I741" s="1779"/>
      <c r="J741" s="1779"/>
      <c r="K741" s="1780"/>
      <c r="L741" s="1781"/>
      <c r="M741" s="1779"/>
      <c r="N741" s="1779"/>
      <c r="O741" s="1779"/>
      <c r="P741" s="1816"/>
      <c r="Q741" s="1779"/>
      <c r="R741" s="1779"/>
      <c r="S741" s="1779"/>
      <c r="T741" s="1779"/>
      <c r="U741" s="1779"/>
      <c r="V741" s="1779"/>
      <c r="W741" s="1779"/>
      <c r="X741" s="1779"/>
      <c r="Y741" s="1779"/>
      <c r="Z741" s="1779"/>
      <c r="AA741" s="1779"/>
      <c r="AB741" s="1779"/>
      <c r="AC741" s="1779"/>
    </row>
    <row r="742" spans="1:29">
      <c r="A742" s="1779"/>
      <c r="B742" s="1779"/>
      <c r="C742" s="1779"/>
      <c r="D742" s="1779"/>
      <c r="E742" s="1779"/>
      <c r="F742" s="1779"/>
      <c r="G742" s="1779"/>
      <c r="H742" s="1779"/>
      <c r="I742" s="1779"/>
      <c r="J742" s="1779"/>
      <c r="K742" s="1780"/>
      <c r="L742" s="1781"/>
      <c r="M742" s="1779"/>
      <c r="N742" s="1779"/>
      <c r="O742" s="1779"/>
      <c r="P742" s="1816"/>
      <c r="Q742" s="1779"/>
      <c r="R742" s="1779"/>
      <c r="S742" s="1779"/>
      <c r="T742" s="1779"/>
      <c r="U742" s="1779"/>
      <c r="V742" s="1779"/>
      <c r="W742" s="1779"/>
      <c r="X742" s="1779"/>
      <c r="Y742" s="1779"/>
      <c r="Z742" s="1779"/>
      <c r="AA742" s="1779"/>
      <c r="AB742" s="1779"/>
      <c r="AC742" s="1779"/>
    </row>
    <row r="743" spans="1:29">
      <c r="A743" s="1779"/>
      <c r="B743" s="1779"/>
      <c r="C743" s="1779"/>
      <c r="D743" s="1779"/>
      <c r="E743" s="1779"/>
      <c r="F743" s="1779"/>
      <c r="G743" s="1779"/>
      <c r="H743" s="1779"/>
      <c r="I743" s="1779"/>
      <c r="J743" s="1779"/>
      <c r="K743" s="1780"/>
      <c r="L743" s="1781"/>
      <c r="M743" s="1779"/>
      <c r="N743" s="1779"/>
      <c r="O743" s="1779"/>
      <c r="P743" s="1816"/>
      <c r="Q743" s="1779"/>
      <c r="R743" s="1779"/>
      <c r="S743" s="1779"/>
      <c r="T743" s="1779"/>
      <c r="U743" s="1779"/>
      <c r="V743" s="1779"/>
      <c r="W743" s="1779"/>
      <c r="X743" s="1779"/>
      <c r="Y743" s="1779"/>
      <c r="Z743" s="1779"/>
      <c r="AA743" s="1779"/>
      <c r="AB743" s="1779"/>
      <c r="AC743" s="1779"/>
    </row>
    <row r="744" spans="1:29">
      <c r="A744" s="1779"/>
      <c r="B744" s="1779"/>
      <c r="C744" s="1779"/>
      <c r="D744" s="1779"/>
      <c r="E744" s="1779"/>
      <c r="F744" s="1779"/>
      <c r="G744" s="1779"/>
      <c r="H744" s="1779"/>
      <c r="I744" s="1779"/>
      <c r="J744" s="1779"/>
      <c r="K744" s="1780"/>
      <c r="L744" s="1781"/>
      <c r="M744" s="1779"/>
      <c r="N744" s="1779"/>
      <c r="O744" s="1779"/>
      <c r="P744" s="1816"/>
      <c r="Q744" s="1779"/>
      <c r="R744" s="1779"/>
      <c r="S744" s="1779"/>
      <c r="T744" s="1779"/>
      <c r="U744" s="1779"/>
      <c r="V744" s="1779"/>
      <c r="W744" s="1779"/>
      <c r="X744" s="1779"/>
      <c r="Y744" s="1779"/>
      <c r="Z744" s="1779"/>
      <c r="AA744" s="1779"/>
      <c r="AB744" s="1779"/>
      <c r="AC744" s="1779"/>
    </row>
    <row r="745" spans="1:29">
      <c r="A745" s="1779"/>
      <c r="B745" s="1779"/>
      <c r="C745" s="1779"/>
      <c r="D745" s="1779"/>
      <c r="E745" s="1779"/>
      <c r="F745" s="1779"/>
      <c r="G745" s="1779"/>
      <c r="H745" s="1779"/>
      <c r="I745" s="1779"/>
      <c r="J745" s="1779"/>
      <c r="K745" s="1780"/>
      <c r="L745" s="1781"/>
      <c r="M745" s="1779"/>
      <c r="N745" s="1779"/>
      <c r="O745" s="1779"/>
      <c r="P745" s="1816"/>
      <c r="Q745" s="1779"/>
      <c r="R745" s="1779"/>
      <c r="S745" s="1779"/>
      <c r="T745" s="1779"/>
      <c r="U745" s="1779"/>
      <c r="V745" s="1779"/>
      <c r="W745" s="1779"/>
      <c r="X745" s="1779"/>
      <c r="Y745" s="1779"/>
      <c r="Z745" s="1779"/>
      <c r="AA745" s="1779"/>
      <c r="AB745" s="1779"/>
      <c r="AC745" s="1779"/>
    </row>
    <row r="746" spans="1:29">
      <c r="A746" s="1779"/>
      <c r="B746" s="1779"/>
      <c r="C746" s="1779"/>
      <c r="D746" s="1779"/>
      <c r="E746" s="1779"/>
      <c r="F746" s="1779"/>
      <c r="G746" s="1779"/>
      <c r="H746" s="1779"/>
      <c r="I746" s="1779"/>
      <c r="J746" s="1779"/>
      <c r="K746" s="1780"/>
      <c r="L746" s="1781"/>
      <c r="M746" s="1779"/>
      <c r="N746" s="1779"/>
      <c r="O746" s="1779"/>
      <c r="P746" s="1816"/>
      <c r="Q746" s="1779"/>
      <c r="R746" s="1779"/>
      <c r="S746" s="1779"/>
      <c r="T746" s="1779"/>
      <c r="U746" s="1779"/>
      <c r="V746" s="1779"/>
      <c r="W746" s="1779"/>
      <c r="X746" s="1779"/>
      <c r="Y746" s="1779"/>
      <c r="Z746" s="1779"/>
      <c r="AA746" s="1779"/>
      <c r="AB746" s="1779"/>
      <c r="AC746" s="1779"/>
    </row>
    <row r="747" spans="1:29">
      <c r="A747" s="1779"/>
      <c r="B747" s="1779"/>
      <c r="C747" s="1779"/>
      <c r="D747" s="1779"/>
      <c r="E747" s="1779"/>
      <c r="F747" s="1779"/>
      <c r="G747" s="1779"/>
      <c r="H747" s="1779"/>
      <c r="I747" s="1779"/>
      <c r="J747" s="1779"/>
      <c r="K747" s="1780"/>
      <c r="L747" s="1781"/>
      <c r="M747" s="1779"/>
      <c r="N747" s="1779"/>
      <c r="O747" s="1779"/>
      <c r="P747" s="1816"/>
      <c r="Q747" s="1779"/>
      <c r="R747" s="1779"/>
      <c r="S747" s="1779"/>
      <c r="T747" s="1779"/>
      <c r="U747" s="1779"/>
      <c r="V747" s="1779"/>
      <c r="W747" s="1779"/>
      <c r="X747" s="1779"/>
      <c r="Y747" s="1779"/>
      <c r="Z747" s="1779"/>
      <c r="AA747" s="1779"/>
      <c r="AB747" s="1779"/>
      <c r="AC747" s="1779"/>
    </row>
    <row r="748" spans="1:29">
      <c r="A748" s="1779"/>
      <c r="B748" s="1779"/>
      <c r="C748" s="1779"/>
      <c r="D748" s="1779"/>
      <c r="E748" s="1779"/>
      <c r="F748" s="1779"/>
      <c r="G748" s="1779"/>
      <c r="H748" s="1779"/>
      <c r="I748" s="1779"/>
      <c r="J748" s="1779"/>
      <c r="K748" s="1780"/>
      <c r="L748" s="1781"/>
      <c r="M748" s="1779"/>
      <c r="N748" s="1779"/>
      <c r="O748" s="1779"/>
      <c r="P748" s="1816"/>
      <c r="Q748" s="1779"/>
      <c r="R748" s="1779"/>
      <c r="S748" s="1779"/>
      <c r="T748" s="1779"/>
      <c r="U748" s="1779"/>
      <c r="V748" s="1779"/>
      <c r="W748" s="1779"/>
      <c r="X748" s="1779"/>
      <c r="Y748" s="1779"/>
      <c r="Z748" s="1779"/>
      <c r="AA748" s="1779"/>
      <c r="AB748" s="1779"/>
      <c r="AC748" s="1779"/>
    </row>
    <row r="749" spans="1:29">
      <c r="A749" s="1779"/>
      <c r="B749" s="1779"/>
      <c r="C749" s="1779"/>
      <c r="D749" s="1779"/>
      <c r="E749" s="1779"/>
      <c r="F749" s="1779"/>
      <c r="G749" s="1779"/>
      <c r="H749" s="1779"/>
      <c r="I749" s="1779"/>
      <c r="J749" s="1779"/>
      <c r="K749" s="1780"/>
      <c r="L749" s="1781"/>
      <c r="M749" s="1779"/>
      <c r="N749" s="1779"/>
      <c r="O749" s="1779"/>
      <c r="P749" s="1816"/>
      <c r="Q749" s="1779"/>
      <c r="R749" s="1779"/>
      <c r="S749" s="1779"/>
      <c r="T749" s="1779"/>
      <c r="U749" s="1779"/>
      <c r="V749" s="1779"/>
      <c r="W749" s="1779"/>
      <c r="X749" s="1779"/>
      <c r="Y749" s="1779"/>
      <c r="Z749" s="1779"/>
      <c r="AA749" s="1779"/>
      <c r="AB749" s="1779"/>
      <c r="AC749" s="1779"/>
    </row>
    <row r="750" spans="1:29">
      <c r="A750" s="1779"/>
      <c r="B750" s="1779"/>
      <c r="C750" s="1779"/>
      <c r="D750" s="1779"/>
      <c r="E750" s="1779"/>
      <c r="F750" s="1779"/>
      <c r="G750" s="1779"/>
      <c r="H750" s="1779"/>
      <c r="I750" s="1779"/>
      <c r="J750" s="1779"/>
      <c r="K750" s="1780"/>
      <c r="L750" s="1781"/>
      <c r="M750" s="1779"/>
      <c r="N750" s="1779"/>
      <c r="O750" s="1779"/>
      <c r="P750" s="1816"/>
      <c r="Q750" s="1779"/>
      <c r="R750" s="1779"/>
      <c r="S750" s="1779"/>
      <c r="T750" s="1779"/>
      <c r="U750" s="1779"/>
      <c r="V750" s="1779"/>
      <c r="W750" s="1779"/>
      <c r="X750" s="1779"/>
      <c r="Y750" s="1779"/>
      <c r="Z750" s="1779"/>
      <c r="AA750" s="1779"/>
      <c r="AB750" s="1779"/>
      <c r="AC750" s="1779"/>
    </row>
    <row r="751" spans="1:29">
      <c r="A751" s="1779"/>
      <c r="B751" s="1779"/>
      <c r="C751" s="1779"/>
      <c r="D751" s="1779"/>
      <c r="E751" s="1779"/>
      <c r="F751" s="1779"/>
      <c r="G751" s="1779"/>
      <c r="H751" s="1779"/>
      <c r="I751" s="1779"/>
      <c r="J751" s="1779"/>
      <c r="K751" s="1780"/>
      <c r="L751" s="1781"/>
      <c r="M751" s="1779"/>
      <c r="N751" s="1779"/>
      <c r="O751" s="1779"/>
      <c r="P751" s="1816"/>
      <c r="Q751" s="1779"/>
      <c r="R751" s="1779"/>
      <c r="S751" s="1779"/>
      <c r="T751" s="1779"/>
      <c r="U751" s="1779"/>
      <c r="V751" s="1779"/>
      <c r="W751" s="1779"/>
      <c r="X751" s="1779"/>
      <c r="Y751" s="1779"/>
      <c r="Z751" s="1779"/>
      <c r="AA751" s="1779"/>
      <c r="AB751" s="1779"/>
      <c r="AC751" s="1779"/>
    </row>
    <row r="752" spans="1:29">
      <c r="A752" s="1779"/>
      <c r="B752" s="1779"/>
      <c r="C752" s="1779"/>
      <c r="D752" s="1779"/>
      <c r="E752" s="1779"/>
      <c r="F752" s="1779"/>
      <c r="G752" s="1779"/>
      <c r="H752" s="1779"/>
      <c r="I752" s="1779"/>
      <c r="J752" s="1779"/>
      <c r="K752" s="1780"/>
      <c r="L752" s="1781"/>
      <c r="M752" s="1779"/>
      <c r="N752" s="1779"/>
      <c r="O752" s="1779"/>
      <c r="P752" s="1816"/>
      <c r="Q752" s="1779"/>
      <c r="R752" s="1779"/>
      <c r="S752" s="1779"/>
      <c r="T752" s="1779"/>
      <c r="U752" s="1779"/>
      <c r="V752" s="1779"/>
      <c r="W752" s="1779"/>
      <c r="X752" s="1779"/>
      <c r="Y752" s="1779"/>
      <c r="Z752" s="1779"/>
      <c r="AA752" s="1779"/>
      <c r="AB752" s="1779"/>
      <c r="AC752" s="1779"/>
    </row>
    <row r="753" spans="1:29">
      <c r="A753" s="1779"/>
      <c r="B753" s="1779"/>
      <c r="C753" s="1779"/>
      <c r="D753" s="1779"/>
      <c r="E753" s="1779"/>
      <c r="F753" s="1779"/>
      <c r="G753" s="1779"/>
      <c r="H753" s="1779"/>
      <c r="I753" s="1779"/>
      <c r="J753" s="1779"/>
      <c r="K753" s="1780"/>
      <c r="L753" s="1781"/>
      <c r="M753" s="1779"/>
      <c r="N753" s="1779"/>
      <c r="O753" s="1779"/>
      <c r="P753" s="1816"/>
      <c r="Q753" s="1779"/>
      <c r="R753" s="1779"/>
      <c r="S753" s="1779"/>
      <c r="T753" s="1779"/>
      <c r="U753" s="1779"/>
      <c r="V753" s="1779"/>
      <c r="W753" s="1779"/>
      <c r="X753" s="1779"/>
      <c r="Y753" s="1779"/>
      <c r="Z753" s="1779"/>
      <c r="AA753" s="1779"/>
      <c r="AB753" s="1779"/>
      <c r="AC753" s="1779"/>
    </row>
    <row r="754" spans="1:29">
      <c r="A754" s="1779"/>
      <c r="B754" s="1779"/>
      <c r="C754" s="1779"/>
      <c r="D754" s="1779"/>
      <c r="E754" s="1779"/>
      <c r="F754" s="1779"/>
      <c r="G754" s="1779"/>
      <c r="H754" s="1779"/>
      <c r="I754" s="1779"/>
      <c r="J754" s="1779"/>
      <c r="K754" s="1780"/>
      <c r="L754" s="1781"/>
      <c r="M754" s="1779"/>
      <c r="N754" s="1779"/>
      <c r="O754" s="1779"/>
      <c r="P754" s="1816"/>
      <c r="Q754" s="1779"/>
      <c r="R754" s="1779"/>
      <c r="S754" s="1779"/>
      <c r="T754" s="1779"/>
      <c r="U754" s="1779"/>
      <c r="V754" s="1779"/>
      <c r="W754" s="1779"/>
      <c r="X754" s="1779"/>
      <c r="Y754" s="1779"/>
      <c r="Z754" s="1779"/>
      <c r="AA754" s="1779"/>
      <c r="AB754" s="1779"/>
      <c r="AC754" s="1779"/>
    </row>
    <row r="755" spans="1:29">
      <c r="A755" s="1779"/>
      <c r="B755" s="1779"/>
      <c r="C755" s="1779"/>
      <c r="D755" s="1779"/>
      <c r="E755" s="1779"/>
      <c r="F755" s="1779"/>
      <c r="G755" s="1779"/>
      <c r="H755" s="1779"/>
      <c r="I755" s="1779"/>
      <c r="J755" s="1779"/>
      <c r="K755" s="1780"/>
      <c r="L755" s="1781"/>
      <c r="M755" s="1779"/>
      <c r="N755" s="1779"/>
      <c r="O755" s="1779"/>
      <c r="P755" s="1816"/>
      <c r="Q755" s="1779"/>
      <c r="R755" s="1779"/>
      <c r="S755" s="1779"/>
      <c r="T755" s="1779"/>
      <c r="U755" s="1779"/>
      <c r="V755" s="1779"/>
      <c r="W755" s="1779"/>
      <c r="X755" s="1779"/>
      <c r="Y755" s="1779"/>
      <c r="Z755" s="1779"/>
      <c r="AA755" s="1779"/>
      <c r="AB755" s="1779"/>
      <c r="AC755" s="1779"/>
    </row>
    <row r="756" spans="1:29">
      <c r="A756" s="1779"/>
      <c r="B756" s="1779"/>
      <c r="C756" s="1779"/>
      <c r="D756" s="1779"/>
      <c r="E756" s="1779"/>
      <c r="F756" s="1779"/>
      <c r="G756" s="1779"/>
      <c r="H756" s="1779"/>
      <c r="I756" s="1779"/>
      <c r="J756" s="1779"/>
      <c r="K756" s="1780"/>
      <c r="L756" s="1781"/>
      <c r="M756" s="1779"/>
      <c r="N756" s="1779"/>
      <c r="O756" s="1779"/>
      <c r="P756" s="1816"/>
      <c r="Q756" s="1779"/>
      <c r="R756" s="1779"/>
      <c r="S756" s="1779"/>
      <c r="T756" s="1779"/>
      <c r="U756" s="1779"/>
      <c r="V756" s="1779"/>
      <c r="W756" s="1779"/>
      <c r="X756" s="1779"/>
      <c r="Y756" s="1779"/>
      <c r="Z756" s="1779"/>
      <c r="AA756" s="1779"/>
      <c r="AB756" s="1779"/>
      <c r="AC756" s="1779"/>
    </row>
    <row r="757" spans="1:29">
      <c r="A757" s="1779"/>
      <c r="B757" s="1779"/>
      <c r="C757" s="1779"/>
      <c r="D757" s="1779"/>
      <c r="E757" s="1779"/>
      <c r="F757" s="1779"/>
      <c r="G757" s="1779"/>
      <c r="H757" s="1779"/>
      <c r="I757" s="1779"/>
      <c r="J757" s="1779"/>
      <c r="K757" s="1780"/>
      <c r="L757" s="1781"/>
      <c r="M757" s="1779"/>
      <c r="N757" s="1779"/>
      <c r="O757" s="1779"/>
      <c r="P757" s="1816"/>
      <c r="Q757" s="1779"/>
      <c r="R757" s="1779"/>
      <c r="S757" s="1779"/>
      <c r="T757" s="1779"/>
      <c r="U757" s="1779"/>
      <c r="V757" s="1779"/>
      <c r="W757" s="1779"/>
      <c r="X757" s="1779"/>
      <c r="Y757" s="1779"/>
      <c r="Z757" s="1779"/>
      <c r="AA757" s="1779"/>
      <c r="AB757" s="1779"/>
      <c r="AC757" s="1779"/>
    </row>
    <row r="758" spans="1:29">
      <c r="A758" s="1779"/>
      <c r="B758" s="1779"/>
      <c r="C758" s="1779"/>
      <c r="D758" s="1779"/>
      <c r="E758" s="1779"/>
      <c r="F758" s="1779"/>
      <c r="G758" s="1779"/>
      <c r="H758" s="1779"/>
      <c r="I758" s="1779"/>
      <c r="J758" s="1779"/>
      <c r="K758" s="1780"/>
      <c r="L758" s="1781"/>
      <c r="M758" s="1779"/>
      <c r="N758" s="1779"/>
      <c r="O758" s="1779"/>
      <c r="P758" s="1816"/>
      <c r="Q758" s="1779"/>
      <c r="R758" s="1779"/>
      <c r="S758" s="1779"/>
      <c r="T758" s="1779"/>
      <c r="U758" s="1779"/>
      <c r="V758" s="1779"/>
      <c r="W758" s="1779"/>
      <c r="X758" s="1779"/>
      <c r="Y758" s="1779"/>
      <c r="Z758" s="1779"/>
      <c r="AA758" s="1779"/>
      <c r="AB758" s="1779"/>
      <c r="AC758" s="1779"/>
    </row>
    <row r="759" spans="1:29">
      <c r="A759" s="1779"/>
      <c r="B759" s="1779"/>
      <c r="C759" s="1779"/>
      <c r="D759" s="1779"/>
      <c r="E759" s="1779"/>
      <c r="F759" s="1779"/>
      <c r="G759" s="1779"/>
      <c r="H759" s="1779"/>
      <c r="I759" s="1779"/>
      <c r="J759" s="1779"/>
      <c r="K759" s="1780"/>
      <c r="L759" s="1781"/>
      <c r="M759" s="1779"/>
      <c r="N759" s="1779"/>
      <c r="O759" s="1779"/>
      <c r="P759" s="1816"/>
      <c r="Q759" s="1779"/>
      <c r="R759" s="1779"/>
      <c r="S759" s="1779"/>
      <c r="T759" s="1779"/>
      <c r="U759" s="1779"/>
      <c r="V759" s="1779"/>
      <c r="W759" s="1779"/>
      <c r="X759" s="1779"/>
      <c r="Y759" s="1779"/>
      <c r="Z759" s="1779"/>
      <c r="AA759" s="1779"/>
      <c r="AB759" s="1779"/>
      <c r="AC759" s="1779"/>
    </row>
    <row r="760" spans="1:29">
      <c r="A760" s="1779"/>
      <c r="B760" s="1779"/>
      <c r="C760" s="1779"/>
      <c r="D760" s="1779"/>
      <c r="E760" s="1779"/>
      <c r="F760" s="1779"/>
      <c r="G760" s="1779"/>
      <c r="H760" s="1779"/>
      <c r="I760" s="1779"/>
      <c r="J760" s="1779"/>
      <c r="K760" s="1780"/>
      <c r="L760" s="1781"/>
      <c r="M760" s="1779"/>
      <c r="N760" s="1779"/>
      <c r="O760" s="1779"/>
      <c r="P760" s="1816"/>
      <c r="Q760" s="1779"/>
      <c r="R760" s="1779"/>
      <c r="S760" s="1779"/>
      <c r="T760" s="1779"/>
      <c r="U760" s="1779"/>
      <c r="V760" s="1779"/>
      <c r="W760" s="1779"/>
      <c r="X760" s="1779"/>
      <c r="Y760" s="1779"/>
      <c r="Z760" s="1779"/>
      <c r="AA760" s="1779"/>
      <c r="AB760" s="1779"/>
      <c r="AC760" s="1779"/>
    </row>
    <row r="761" spans="1:29">
      <c r="A761" s="1779"/>
      <c r="B761" s="1779"/>
      <c r="C761" s="1779"/>
      <c r="D761" s="1779"/>
      <c r="E761" s="1779"/>
      <c r="F761" s="1779"/>
      <c r="G761" s="1779"/>
      <c r="H761" s="1779"/>
      <c r="I761" s="1779"/>
      <c r="J761" s="1779"/>
      <c r="K761" s="1780"/>
      <c r="L761" s="1781"/>
      <c r="M761" s="1779"/>
      <c r="N761" s="1779"/>
      <c r="O761" s="1779"/>
      <c r="P761" s="1816"/>
      <c r="Q761" s="1779"/>
      <c r="R761" s="1779"/>
      <c r="S761" s="1779"/>
      <c r="T761" s="1779"/>
      <c r="U761" s="1779"/>
      <c r="V761" s="1779"/>
      <c r="W761" s="1779"/>
      <c r="X761" s="1779"/>
      <c r="Y761" s="1779"/>
      <c r="Z761" s="1779"/>
      <c r="AA761" s="1779"/>
      <c r="AB761" s="1779"/>
      <c r="AC761" s="1779"/>
    </row>
    <row r="762" spans="1:29">
      <c r="A762" s="1779"/>
      <c r="B762" s="1779"/>
      <c r="C762" s="1779"/>
      <c r="D762" s="1779"/>
      <c r="E762" s="1779"/>
      <c r="F762" s="1779"/>
      <c r="G762" s="1779"/>
      <c r="H762" s="1779"/>
      <c r="I762" s="1779"/>
      <c r="J762" s="1779"/>
      <c r="K762" s="1780"/>
      <c r="L762" s="1781"/>
      <c r="M762" s="1779"/>
      <c r="N762" s="1779"/>
      <c r="O762" s="1779"/>
      <c r="P762" s="1816"/>
      <c r="Q762" s="1779"/>
      <c r="R762" s="1779"/>
      <c r="S762" s="1779"/>
      <c r="T762" s="1779"/>
      <c r="U762" s="1779"/>
      <c r="V762" s="1779"/>
      <c r="W762" s="1779"/>
      <c r="X762" s="1779"/>
      <c r="Y762" s="1779"/>
      <c r="Z762" s="1779"/>
      <c r="AA762" s="1779"/>
      <c r="AB762" s="1779"/>
      <c r="AC762" s="1779"/>
    </row>
    <row r="763" spans="1:29">
      <c r="A763" s="1779"/>
      <c r="B763" s="1779"/>
      <c r="C763" s="1779"/>
      <c r="D763" s="1779"/>
      <c r="E763" s="1779"/>
      <c r="F763" s="1779"/>
      <c r="G763" s="1779"/>
      <c r="H763" s="1779"/>
      <c r="I763" s="1779"/>
      <c r="J763" s="1779"/>
      <c r="K763" s="1780"/>
      <c r="L763" s="1781"/>
      <c r="M763" s="1779"/>
      <c r="N763" s="1779"/>
      <c r="O763" s="1779"/>
      <c r="P763" s="1816"/>
      <c r="Q763" s="1779"/>
      <c r="R763" s="1779"/>
      <c r="S763" s="1779"/>
      <c r="T763" s="1779"/>
      <c r="U763" s="1779"/>
      <c r="V763" s="1779"/>
      <c r="W763" s="1779"/>
      <c r="X763" s="1779"/>
      <c r="Y763" s="1779"/>
      <c r="Z763" s="1779"/>
      <c r="AA763" s="1779"/>
      <c r="AB763" s="1779"/>
      <c r="AC763" s="1779"/>
    </row>
    <row r="764" spans="1:29">
      <c r="A764" s="1779"/>
      <c r="B764" s="1779"/>
      <c r="C764" s="1779"/>
      <c r="D764" s="1779"/>
      <c r="E764" s="1779"/>
      <c r="F764" s="1779"/>
      <c r="G764" s="1779"/>
      <c r="H764" s="1779"/>
      <c r="I764" s="1779"/>
      <c r="J764" s="1779"/>
      <c r="K764" s="1780"/>
      <c r="L764" s="1781"/>
      <c r="M764" s="1779"/>
      <c r="N764" s="1779"/>
      <c r="O764" s="1779"/>
      <c r="P764" s="1816"/>
      <c r="Q764" s="1779"/>
      <c r="R764" s="1779"/>
      <c r="S764" s="1779"/>
      <c r="T764" s="1779"/>
      <c r="U764" s="1779"/>
      <c r="V764" s="1779"/>
      <c r="W764" s="1779"/>
      <c r="X764" s="1779"/>
      <c r="Y764" s="1779"/>
      <c r="Z764" s="1779"/>
      <c r="AA764" s="1779"/>
      <c r="AB764" s="1779"/>
      <c r="AC764" s="1779"/>
    </row>
    <row r="765" spans="1:29">
      <c r="A765" s="1779"/>
      <c r="B765" s="1779"/>
      <c r="C765" s="1779"/>
      <c r="D765" s="1779"/>
      <c r="E765" s="1779"/>
      <c r="F765" s="1779"/>
      <c r="G765" s="1779"/>
      <c r="H765" s="1779"/>
      <c r="I765" s="1779"/>
      <c r="J765" s="1779"/>
      <c r="K765" s="1780"/>
      <c r="L765" s="1781"/>
      <c r="M765" s="1779"/>
      <c r="N765" s="1779"/>
      <c r="O765" s="1779"/>
      <c r="P765" s="1816"/>
      <c r="Q765" s="1779"/>
      <c r="R765" s="1779"/>
      <c r="S765" s="1779"/>
      <c r="T765" s="1779"/>
      <c r="U765" s="1779"/>
      <c r="V765" s="1779"/>
      <c r="W765" s="1779"/>
      <c r="X765" s="1779"/>
      <c r="Y765" s="1779"/>
      <c r="Z765" s="1779"/>
      <c r="AA765" s="1779"/>
      <c r="AB765" s="1779"/>
      <c r="AC765" s="1779"/>
    </row>
    <row r="766" spans="1:29">
      <c r="A766" s="1779"/>
      <c r="B766" s="1779"/>
      <c r="C766" s="1779"/>
      <c r="D766" s="1779"/>
      <c r="E766" s="1779"/>
      <c r="F766" s="1779"/>
      <c r="G766" s="1779"/>
      <c r="H766" s="1779"/>
      <c r="I766" s="1779"/>
      <c r="J766" s="1779"/>
      <c r="K766" s="1780"/>
      <c r="L766" s="1781"/>
      <c r="M766" s="1779"/>
      <c r="N766" s="1779"/>
      <c r="O766" s="1779"/>
      <c r="P766" s="1816"/>
      <c r="Q766" s="1779"/>
      <c r="R766" s="1779"/>
      <c r="S766" s="1779"/>
      <c r="T766" s="1779"/>
      <c r="U766" s="1779"/>
      <c r="V766" s="1779"/>
      <c r="W766" s="1779"/>
      <c r="X766" s="1779"/>
      <c r="Y766" s="1779"/>
      <c r="Z766" s="1779"/>
      <c r="AA766" s="1779"/>
      <c r="AB766" s="1779"/>
      <c r="AC766" s="1779"/>
    </row>
    <row r="767" spans="1:29">
      <c r="A767" s="1779"/>
      <c r="B767" s="1779"/>
      <c r="C767" s="1779"/>
      <c r="D767" s="1779"/>
      <c r="E767" s="1779"/>
      <c r="F767" s="1779"/>
      <c r="G767" s="1779"/>
      <c r="H767" s="1779"/>
      <c r="I767" s="1779"/>
      <c r="J767" s="1779"/>
      <c r="K767" s="1780"/>
      <c r="L767" s="1781"/>
      <c r="M767" s="1779"/>
      <c r="N767" s="1779"/>
      <c r="O767" s="1779"/>
      <c r="P767" s="1816"/>
      <c r="Q767" s="1779"/>
      <c r="R767" s="1779"/>
      <c r="S767" s="1779"/>
      <c r="T767" s="1779"/>
      <c r="U767" s="1779"/>
      <c r="V767" s="1779"/>
      <c r="W767" s="1779"/>
      <c r="X767" s="1779"/>
      <c r="Y767" s="1779"/>
      <c r="Z767" s="1779"/>
      <c r="AA767" s="1779"/>
      <c r="AB767" s="1779"/>
      <c r="AC767" s="1779"/>
    </row>
    <row r="768" spans="1:29">
      <c r="A768" s="1779"/>
      <c r="B768" s="1779"/>
      <c r="C768" s="1779"/>
      <c r="D768" s="1779"/>
      <c r="E768" s="1779"/>
      <c r="F768" s="1779"/>
      <c r="G768" s="1779"/>
      <c r="H768" s="1779"/>
      <c r="I768" s="1779"/>
      <c r="J768" s="1779"/>
      <c r="K768" s="1780"/>
      <c r="L768" s="1781"/>
      <c r="M768" s="1779"/>
      <c r="N768" s="1779"/>
      <c r="O768" s="1779"/>
      <c r="P768" s="1816"/>
      <c r="Q768" s="1779"/>
      <c r="R768" s="1779"/>
      <c r="S768" s="1779"/>
      <c r="T768" s="1779"/>
      <c r="U768" s="1779"/>
      <c r="V768" s="1779"/>
      <c r="W768" s="1779"/>
      <c r="X768" s="1779"/>
      <c r="Y768" s="1779"/>
      <c r="Z768" s="1779"/>
      <c r="AA768" s="1779"/>
      <c r="AB768" s="1779"/>
      <c r="AC768" s="1779"/>
    </row>
    <row r="769" spans="1:29">
      <c r="A769" s="1779"/>
      <c r="B769" s="1779"/>
      <c r="C769" s="1779"/>
      <c r="D769" s="1779"/>
      <c r="E769" s="1779"/>
      <c r="F769" s="1779"/>
      <c r="G769" s="1779"/>
      <c r="H769" s="1779"/>
      <c r="I769" s="1779"/>
      <c r="J769" s="1779"/>
      <c r="K769" s="1780"/>
      <c r="L769" s="1781"/>
      <c r="M769" s="1779"/>
      <c r="N769" s="1779"/>
      <c r="O769" s="1779"/>
      <c r="P769" s="1816"/>
      <c r="Q769" s="1779"/>
      <c r="R769" s="1779"/>
      <c r="S769" s="1779"/>
      <c r="T769" s="1779"/>
      <c r="U769" s="1779"/>
      <c r="V769" s="1779"/>
      <c r="W769" s="1779"/>
      <c r="X769" s="1779"/>
      <c r="Y769" s="1779"/>
      <c r="Z769" s="1779"/>
      <c r="AA769" s="1779"/>
      <c r="AB769" s="1779"/>
      <c r="AC769" s="1779"/>
    </row>
    <row r="770" spans="1:29">
      <c r="A770" s="1779"/>
      <c r="B770" s="1779"/>
      <c r="C770" s="1779"/>
      <c r="D770" s="1779"/>
      <c r="E770" s="1779"/>
      <c r="F770" s="1779"/>
      <c r="G770" s="1779"/>
      <c r="H770" s="1779"/>
      <c r="I770" s="1779"/>
      <c r="J770" s="1779"/>
      <c r="K770" s="1780"/>
      <c r="L770" s="1781"/>
      <c r="M770" s="1779"/>
      <c r="N770" s="1779"/>
      <c r="O770" s="1779"/>
      <c r="P770" s="1816"/>
      <c r="Q770" s="1779"/>
      <c r="R770" s="1779"/>
      <c r="S770" s="1779"/>
      <c r="T770" s="1779"/>
      <c r="U770" s="1779"/>
      <c r="V770" s="1779"/>
      <c r="W770" s="1779"/>
      <c r="X770" s="1779"/>
      <c r="Y770" s="1779"/>
      <c r="Z770" s="1779"/>
      <c r="AA770" s="1779"/>
      <c r="AB770" s="1779"/>
      <c r="AC770" s="1779"/>
    </row>
    <row r="771" spans="1:29">
      <c r="A771" s="1779"/>
      <c r="B771" s="1779"/>
      <c r="C771" s="1779"/>
      <c r="D771" s="1779"/>
      <c r="E771" s="1779"/>
      <c r="F771" s="1779"/>
      <c r="G771" s="1779"/>
      <c r="H771" s="1779"/>
      <c r="I771" s="1779"/>
      <c r="J771" s="1779"/>
      <c r="K771" s="1780"/>
      <c r="L771" s="1781"/>
      <c r="M771" s="1779"/>
      <c r="N771" s="1779"/>
      <c r="O771" s="1779"/>
      <c r="P771" s="1816"/>
      <c r="Q771" s="1779"/>
      <c r="R771" s="1779"/>
      <c r="S771" s="1779"/>
      <c r="T771" s="1779"/>
      <c r="U771" s="1779"/>
      <c r="V771" s="1779"/>
      <c r="W771" s="1779"/>
      <c r="X771" s="1779"/>
      <c r="Y771" s="1779"/>
      <c r="Z771" s="1779"/>
      <c r="AA771" s="1779"/>
      <c r="AB771" s="1779"/>
      <c r="AC771" s="1779"/>
    </row>
    <row r="772" spans="1:29">
      <c r="A772" s="1779"/>
      <c r="B772" s="1779"/>
      <c r="C772" s="1779"/>
      <c r="D772" s="1779"/>
      <c r="E772" s="1779"/>
      <c r="F772" s="1779"/>
      <c r="G772" s="1779"/>
      <c r="H772" s="1779"/>
      <c r="I772" s="1779"/>
      <c r="J772" s="1779"/>
      <c r="K772" s="1780"/>
      <c r="L772" s="1781"/>
      <c r="M772" s="1779"/>
      <c r="N772" s="1779"/>
      <c r="O772" s="1779"/>
      <c r="P772" s="1816"/>
      <c r="Q772" s="1779"/>
      <c r="R772" s="1779"/>
      <c r="S772" s="1779"/>
      <c r="T772" s="1779"/>
      <c r="U772" s="1779"/>
      <c r="V772" s="1779"/>
      <c r="W772" s="1779"/>
      <c r="X772" s="1779"/>
      <c r="Y772" s="1779"/>
      <c r="Z772" s="1779"/>
      <c r="AA772" s="1779"/>
      <c r="AB772" s="1779"/>
      <c r="AC772" s="1779"/>
    </row>
    <row r="773" spans="1:29">
      <c r="A773" s="1779"/>
      <c r="B773" s="1779"/>
      <c r="C773" s="1779"/>
      <c r="D773" s="1779"/>
      <c r="E773" s="1779"/>
      <c r="F773" s="1779"/>
      <c r="G773" s="1779"/>
      <c r="H773" s="1779"/>
      <c r="I773" s="1779"/>
      <c r="J773" s="1779"/>
      <c r="K773" s="1780"/>
      <c r="L773" s="1781"/>
      <c r="M773" s="1779"/>
      <c r="N773" s="1779"/>
      <c r="O773" s="1779"/>
      <c r="P773" s="1816"/>
      <c r="Q773" s="1779"/>
      <c r="R773" s="1779"/>
      <c r="S773" s="1779"/>
      <c r="T773" s="1779"/>
      <c r="U773" s="1779"/>
      <c r="V773" s="1779"/>
      <c r="W773" s="1779"/>
      <c r="X773" s="1779"/>
      <c r="Y773" s="1779"/>
      <c r="Z773" s="1779"/>
      <c r="AA773" s="1779"/>
      <c r="AB773" s="1779"/>
      <c r="AC773" s="1779"/>
    </row>
    <row r="774" spans="1:29">
      <c r="A774" s="1779"/>
      <c r="B774" s="1779"/>
      <c r="C774" s="1779"/>
      <c r="D774" s="1779"/>
      <c r="E774" s="1779"/>
      <c r="F774" s="1779"/>
      <c r="G774" s="1779"/>
      <c r="H774" s="1779"/>
      <c r="I774" s="1779"/>
      <c r="J774" s="1779"/>
      <c r="K774" s="1780"/>
      <c r="L774" s="1781"/>
      <c r="M774" s="1779"/>
      <c r="N774" s="1779"/>
      <c r="O774" s="1779"/>
      <c r="P774" s="1816"/>
      <c r="Q774" s="1779"/>
      <c r="R774" s="1779"/>
      <c r="S774" s="1779"/>
      <c r="T774" s="1779"/>
      <c r="U774" s="1779"/>
      <c r="V774" s="1779"/>
      <c r="W774" s="1779"/>
      <c r="X774" s="1779"/>
      <c r="Y774" s="1779"/>
      <c r="Z774" s="1779"/>
      <c r="AA774" s="1779"/>
      <c r="AB774" s="1779"/>
      <c r="AC774" s="1779"/>
    </row>
    <row r="775" spans="1:29">
      <c r="A775" s="1779"/>
      <c r="B775" s="1779"/>
      <c r="C775" s="1779"/>
      <c r="D775" s="1779"/>
      <c r="E775" s="1779"/>
      <c r="F775" s="1779"/>
      <c r="G775" s="1779"/>
      <c r="H775" s="1779"/>
      <c r="I775" s="1779"/>
      <c r="J775" s="1779"/>
      <c r="K775" s="1780"/>
      <c r="L775" s="1781"/>
      <c r="M775" s="1779"/>
      <c r="N775" s="1779"/>
      <c r="O775" s="1779"/>
      <c r="P775" s="1816"/>
      <c r="Q775" s="1779"/>
      <c r="R775" s="1779"/>
      <c r="S775" s="1779"/>
      <c r="T775" s="1779"/>
      <c r="U775" s="1779"/>
      <c r="V775" s="1779"/>
      <c r="W775" s="1779"/>
      <c r="X775" s="1779"/>
      <c r="Y775" s="1779"/>
      <c r="Z775" s="1779"/>
      <c r="AA775" s="1779"/>
      <c r="AB775" s="1779"/>
      <c r="AC775" s="1779"/>
    </row>
    <row r="776" spans="1:29">
      <c r="A776" s="1779"/>
      <c r="B776" s="1779"/>
      <c r="C776" s="1779"/>
      <c r="D776" s="1779"/>
      <c r="E776" s="1779"/>
      <c r="F776" s="1779"/>
      <c r="G776" s="1779"/>
      <c r="H776" s="1779"/>
      <c r="I776" s="1779"/>
      <c r="J776" s="1779"/>
      <c r="K776" s="1780"/>
      <c r="L776" s="1781"/>
      <c r="M776" s="1779"/>
      <c r="N776" s="1779"/>
      <c r="O776" s="1779"/>
      <c r="P776" s="1816"/>
      <c r="Q776" s="1779"/>
      <c r="R776" s="1779"/>
      <c r="S776" s="1779"/>
      <c r="T776" s="1779"/>
      <c r="U776" s="1779"/>
      <c r="V776" s="1779"/>
      <c r="W776" s="1779"/>
      <c r="X776" s="1779"/>
      <c r="Y776" s="1779"/>
      <c r="Z776" s="1779"/>
      <c r="AA776" s="1779"/>
      <c r="AB776" s="1779"/>
      <c r="AC776" s="1779"/>
    </row>
    <row r="777" spans="1:29">
      <c r="A777" s="1779"/>
      <c r="B777" s="1779"/>
      <c r="C777" s="1779"/>
      <c r="D777" s="1779"/>
      <c r="E777" s="1779"/>
      <c r="F777" s="1779"/>
      <c r="G777" s="1779"/>
      <c r="H777" s="1779"/>
      <c r="I777" s="1779"/>
      <c r="J777" s="1779"/>
      <c r="K777" s="1780"/>
      <c r="L777" s="1781"/>
      <c r="M777" s="1779"/>
      <c r="N777" s="1779"/>
      <c r="O777" s="1779"/>
      <c r="P777" s="1816"/>
      <c r="Q777" s="1779"/>
      <c r="R777" s="1779"/>
      <c r="S777" s="1779"/>
      <c r="T777" s="1779"/>
      <c r="U777" s="1779"/>
      <c r="V777" s="1779"/>
      <c r="W777" s="1779"/>
      <c r="X777" s="1779"/>
      <c r="Y777" s="1779"/>
      <c r="Z777" s="1779"/>
      <c r="AA777" s="1779"/>
      <c r="AB777" s="1779"/>
      <c r="AC777" s="1779"/>
    </row>
    <row r="778" spans="1:29">
      <c r="A778" s="1779"/>
      <c r="B778" s="1779"/>
      <c r="C778" s="1779"/>
      <c r="D778" s="1779"/>
      <c r="E778" s="1779"/>
      <c r="F778" s="1779"/>
      <c r="G778" s="1779"/>
      <c r="H778" s="1779"/>
      <c r="I778" s="1779"/>
      <c r="J778" s="1779"/>
      <c r="K778" s="1780"/>
      <c r="L778" s="1781"/>
      <c r="M778" s="1779"/>
      <c r="N778" s="1779"/>
      <c r="O778" s="1779"/>
      <c r="P778" s="1816"/>
      <c r="Q778" s="1779"/>
      <c r="R778" s="1779"/>
      <c r="S778" s="1779"/>
      <c r="T778" s="1779"/>
      <c r="U778" s="1779"/>
      <c r="V778" s="1779"/>
      <c r="W778" s="1779"/>
      <c r="X778" s="1779"/>
      <c r="Y778" s="1779"/>
      <c r="Z778" s="1779"/>
      <c r="AA778" s="1779"/>
      <c r="AB778" s="1779"/>
      <c r="AC778" s="1779"/>
    </row>
    <row r="779" spans="1:29">
      <c r="A779" s="1779"/>
      <c r="B779" s="1779"/>
      <c r="C779" s="1779"/>
      <c r="D779" s="1779"/>
      <c r="E779" s="1779"/>
      <c r="F779" s="1779"/>
      <c r="G779" s="1779"/>
      <c r="H779" s="1779"/>
      <c r="I779" s="1779"/>
      <c r="J779" s="1779"/>
      <c r="K779" s="1780"/>
      <c r="L779" s="1781"/>
      <c r="M779" s="1779"/>
      <c r="N779" s="1779"/>
      <c r="O779" s="1779"/>
      <c r="P779" s="1816"/>
      <c r="Q779" s="1779"/>
      <c r="R779" s="1779"/>
      <c r="S779" s="1779"/>
      <c r="T779" s="1779"/>
      <c r="U779" s="1779"/>
      <c r="V779" s="1779"/>
      <c r="W779" s="1779"/>
      <c r="X779" s="1779"/>
      <c r="Y779" s="1779"/>
      <c r="Z779" s="1779"/>
      <c r="AA779" s="1779"/>
      <c r="AB779" s="1779"/>
      <c r="AC779" s="1779"/>
    </row>
    <row r="780" spans="1:29">
      <c r="A780" s="1779"/>
      <c r="B780" s="1779"/>
      <c r="C780" s="1779"/>
      <c r="D780" s="1779"/>
      <c r="E780" s="1779"/>
      <c r="F780" s="1779"/>
      <c r="G780" s="1779"/>
      <c r="H780" s="1779"/>
      <c r="I780" s="1779"/>
      <c r="J780" s="1779"/>
      <c r="K780" s="1780"/>
      <c r="L780" s="1781"/>
      <c r="M780" s="1779"/>
      <c r="N780" s="1779"/>
      <c r="O780" s="1779"/>
      <c r="P780" s="1816"/>
      <c r="Q780" s="1779"/>
      <c r="R780" s="1779"/>
      <c r="S780" s="1779"/>
      <c r="T780" s="1779"/>
      <c r="U780" s="1779"/>
      <c r="V780" s="1779"/>
      <c r="W780" s="1779"/>
      <c r="X780" s="1779"/>
      <c r="Y780" s="1779"/>
      <c r="Z780" s="1779"/>
      <c r="AA780" s="1779"/>
      <c r="AB780" s="1779"/>
      <c r="AC780" s="1779"/>
    </row>
    <row r="781" spans="1:29">
      <c r="A781" s="1779"/>
      <c r="B781" s="1779"/>
      <c r="C781" s="1779"/>
      <c r="D781" s="1779"/>
      <c r="E781" s="1779"/>
      <c r="F781" s="1779"/>
      <c r="G781" s="1779"/>
      <c r="H781" s="1779"/>
      <c r="I781" s="1779"/>
      <c r="J781" s="1779"/>
      <c r="K781" s="1780"/>
      <c r="L781" s="1781"/>
      <c r="M781" s="1779"/>
      <c r="N781" s="1779"/>
      <c r="O781" s="1779"/>
      <c r="P781" s="1816"/>
      <c r="Q781" s="1779"/>
      <c r="R781" s="1779"/>
      <c r="S781" s="1779"/>
      <c r="T781" s="1779"/>
      <c r="U781" s="1779"/>
      <c r="V781" s="1779"/>
      <c r="W781" s="1779"/>
      <c r="X781" s="1779"/>
      <c r="Y781" s="1779"/>
      <c r="Z781" s="1779"/>
      <c r="AA781" s="1779"/>
      <c r="AB781" s="1779"/>
      <c r="AC781" s="1779"/>
    </row>
    <row r="782" spans="1:29">
      <c r="A782" s="1779"/>
      <c r="B782" s="1779"/>
      <c r="C782" s="1779"/>
      <c r="D782" s="1779"/>
      <c r="E782" s="1779"/>
      <c r="F782" s="1779"/>
      <c r="G782" s="1779"/>
      <c r="H782" s="1779"/>
      <c r="I782" s="1779"/>
      <c r="J782" s="1779"/>
      <c r="K782" s="1780"/>
      <c r="L782" s="1781"/>
      <c r="M782" s="1779"/>
      <c r="N782" s="1779"/>
      <c r="O782" s="1779"/>
      <c r="P782" s="1816"/>
      <c r="Q782" s="1779"/>
      <c r="R782" s="1779"/>
      <c r="S782" s="1779"/>
      <c r="T782" s="1779"/>
      <c r="U782" s="1779"/>
      <c r="V782" s="1779"/>
      <c r="W782" s="1779"/>
      <c r="X782" s="1779"/>
      <c r="Y782" s="1779"/>
      <c r="Z782" s="1779"/>
      <c r="AA782" s="1779"/>
      <c r="AB782" s="1779"/>
      <c r="AC782" s="1779"/>
    </row>
    <row r="783" spans="1:29">
      <c r="A783" s="1779"/>
      <c r="B783" s="1779"/>
      <c r="C783" s="1779"/>
      <c r="D783" s="1779"/>
      <c r="E783" s="1779"/>
      <c r="F783" s="1779"/>
      <c r="G783" s="1779"/>
      <c r="H783" s="1779"/>
      <c r="I783" s="1779"/>
      <c r="J783" s="1779"/>
      <c r="K783" s="1780"/>
      <c r="L783" s="1781"/>
      <c r="M783" s="1779"/>
      <c r="N783" s="1779"/>
      <c r="O783" s="1779"/>
      <c r="P783" s="1816"/>
      <c r="Q783" s="1779"/>
      <c r="R783" s="1779"/>
      <c r="S783" s="1779"/>
      <c r="T783" s="1779"/>
      <c r="U783" s="1779"/>
      <c r="V783" s="1779"/>
      <c r="W783" s="1779"/>
      <c r="X783" s="1779"/>
      <c r="Y783" s="1779"/>
      <c r="Z783" s="1779"/>
      <c r="AA783" s="1779"/>
      <c r="AB783" s="1779"/>
      <c r="AC783" s="1779"/>
    </row>
    <row r="784" spans="1:29">
      <c r="A784" s="1779"/>
      <c r="B784" s="1779"/>
      <c r="C784" s="1779"/>
      <c r="D784" s="1779"/>
      <c r="E784" s="1779"/>
      <c r="F784" s="1779"/>
      <c r="G784" s="1779"/>
      <c r="H784" s="1779"/>
      <c r="I784" s="1779"/>
      <c r="J784" s="1779"/>
      <c r="K784" s="1780"/>
      <c r="L784" s="1781"/>
      <c r="M784" s="1779"/>
      <c r="N784" s="1779"/>
      <c r="O784" s="1779"/>
      <c r="P784" s="1816"/>
      <c r="Q784" s="1779"/>
      <c r="R784" s="1779"/>
      <c r="S784" s="1779"/>
      <c r="T784" s="1779"/>
      <c r="U784" s="1779"/>
      <c r="V784" s="1779"/>
      <c r="W784" s="1779"/>
      <c r="X784" s="1779"/>
      <c r="Y784" s="1779"/>
      <c r="Z784" s="1779"/>
      <c r="AA784" s="1779"/>
      <c r="AB784" s="1779"/>
      <c r="AC784" s="1779"/>
    </row>
    <row r="785" spans="1:29">
      <c r="A785" s="1779"/>
      <c r="B785" s="1779"/>
      <c r="C785" s="1779"/>
      <c r="D785" s="1779"/>
      <c r="E785" s="1779"/>
      <c r="F785" s="1779"/>
      <c r="G785" s="1779"/>
      <c r="H785" s="1779"/>
      <c r="I785" s="1779"/>
      <c r="J785" s="1779"/>
      <c r="K785" s="1780"/>
      <c r="L785" s="1781"/>
      <c r="M785" s="1779"/>
      <c r="N785" s="1779"/>
      <c r="O785" s="1779"/>
      <c r="P785" s="1816"/>
      <c r="Q785" s="1779"/>
      <c r="R785" s="1779"/>
      <c r="S785" s="1779"/>
      <c r="T785" s="1779"/>
      <c r="U785" s="1779"/>
      <c r="V785" s="1779"/>
      <c r="W785" s="1779"/>
      <c r="X785" s="1779"/>
      <c r="Y785" s="1779"/>
      <c r="Z785" s="1779"/>
      <c r="AA785" s="1779"/>
      <c r="AB785" s="1779"/>
      <c r="AC785" s="1779"/>
    </row>
    <row r="786" spans="1:29">
      <c r="A786" s="1779"/>
      <c r="B786" s="1779"/>
      <c r="C786" s="1779"/>
      <c r="D786" s="1779"/>
      <c r="E786" s="1779"/>
      <c r="F786" s="1779"/>
      <c r="G786" s="1779"/>
      <c r="H786" s="1779"/>
      <c r="I786" s="1779"/>
      <c r="J786" s="1779"/>
      <c r="K786" s="1780"/>
      <c r="L786" s="1781"/>
      <c r="M786" s="1779"/>
      <c r="N786" s="1779"/>
      <c r="O786" s="1779"/>
      <c r="P786" s="1816"/>
      <c r="Q786" s="1779"/>
      <c r="R786" s="1779"/>
      <c r="S786" s="1779"/>
      <c r="T786" s="1779"/>
      <c r="U786" s="1779"/>
      <c r="V786" s="1779"/>
      <c r="W786" s="1779"/>
      <c r="X786" s="1779"/>
      <c r="Y786" s="1779"/>
      <c r="Z786" s="1779"/>
      <c r="AA786" s="1779"/>
      <c r="AB786" s="1779"/>
      <c r="AC786" s="1779"/>
    </row>
    <row r="787" spans="1:29">
      <c r="A787" s="1779"/>
      <c r="B787" s="1779"/>
      <c r="C787" s="1779"/>
      <c r="D787" s="1779"/>
      <c r="E787" s="1779"/>
      <c r="F787" s="1779"/>
      <c r="G787" s="1779"/>
      <c r="H787" s="1779"/>
      <c r="I787" s="1779"/>
      <c r="J787" s="1779"/>
      <c r="K787" s="1780"/>
      <c r="L787" s="1781"/>
      <c r="M787" s="1779"/>
      <c r="N787" s="1779"/>
      <c r="O787" s="1779"/>
      <c r="P787" s="1816"/>
      <c r="Q787" s="1779"/>
      <c r="R787" s="1779"/>
      <c r="S787" s="1779"/>
      <c r="T787" s="1779"/>
      <c r="U787" s="1779"/>
      <c r="V787" s="1779"/>
      <c r="W787" s="1779"/>
      <c r="X787" s="1779"/>
      <c r="Y787" s="1779"/>
      <c r="Z787" s="1779"/>
      <c r="AA787" s="1779"/>
      <c r="AB787" s="1779"/>
      <c r="AC787" s="1779"/>
    </row>
    <row r="788" spans="1:29">
      <c r="A788" s="1779"/>
      <c r="B788" s="1779"/>
      <c r="C788" s="1779"/>
      <c r="D788" s="1779"/>
      <c r="E788" s="1779"/>
      <c r="F788" s="1779"/>
      <c r="G788" s="1779"/>
      <c r="H788" s="1779"/>
      <c r="I788" s="1779"/>
      <c r="J788" s="1779"/>
      <c r="K788" s="1780"/>
      <c r="L788" s="1781"/>
      <c r="M788" s="1779"/>
      <c r="N788" s="1779"/>
      <c r="O788" s="1779"/>
      <c r="P788" s="1816"/>
      <c r="Q788" s="1779"/>
      <c r="R788" s="1779"/>
      <c r="S788" s="1779"/>
      <c r="T788" s="1779"/>
      <c r="U788" s="1779"/>
      <c r="V788" s="1779"/>
      <c r="W788" s="1779"/>
      <c r="X788" s="1779"/>
      <c r="Y788" s="1779"/>
      <c r="Z788" s="1779"/>
      <c r="AA788" s="1779"/>
      <c r="AB788" s="1779"/>
      <c r="AC788" s="1779"/>
    </row>
    <row r="789" spans="1:29">
      <c r="A789" s="1779"/>
      <c r="B789" s="1779"/>
      <c r="C789" s="1779"/>
      <c r="D789" s="1779"/>
      <c r="E789" s="1779"/>
      <c r="F789" s="1779"/>
      <c r="G789" s="1779"/>
      <c r="H789" s="1779"/>
      <c r="I789" s="1779"/>
      <c r="J789" s="1779"/>
      <c r="K789" s="1780"/>
      <c r="L789" s="1781"/>
      <c r="M789" s="1779"/>
      <c r="N789" s="1779"/>
      <c r="O789" s="1779"/>
      <c r="P789" s="1816"/>
      <c r="Q789" s="1779"/>
      <c r="R789" s="1779"/>
      <c r="S789" s="1779"/>
      <c r="T789" s="1779"/>
      <c r="U789" s="1779"/>
      <c r="V789" s="1779"/>
      <c r="W789" s="1779"/>
      <c r="X789" s="1779"/>
      <c r="Y789" s="1779"/>
      <c r="Z789" s="1779"/>
      <c r="AA789" s="1779"/>
      <c r="AB789" s="1779"/>
      <c r="AC789" s="1779"/>
    </row>
    <row r="790" spans="1:29">
      <c r="A790" s="1779"/>
      <c r="B790" s="1779"/>
      <c r="C790" s="1779"/>
      <c r="D790" s="1779"/>
      <c r="E790" s="1779"/>
      <c r="F790" s="1779"/>
      <c r="G790" s="1779"/>
      <c r="H790" s="1779"/>
      <c r="I790" s="1779"/>
      <c r="J790" s="1779"/>
      <c r="K790" s="1780"/>
      <c r="L790" s="1781"/>
      <c r="M790" s="1779"/>
      <c r="N790" s="1779"/>
      <c r="O790" s="1779"/>
      <c r="P790" s="1816"/>
      <c r="Q790" s="1779"/>
      <c r="R790" s="1779"/>
      <c r="S790" s="1779"/>
      <c r="T790" s="1779"/>
      <c r="U790" s="1779"/>
      <c r="V790" s="1779"/>
      <c r="W790" s="1779"/>
      <c r="X790" s="1779"/>
      <c r="Y790" s="1779"/>
      <c r="Z790" s="1779"/>
      <c r="AA790" s="1779"/>
      <c r="AB790" s="1779"/>
      <c r="AC790" s="1779"/>
    </row>
    <row r="791" spans="1:29">
      <c r="A791" s="1779"/>
      <c r="B791" s="1779"/>
      <c r="C791" s="1779"/>
      <c r="D791" s="1779"/>
      <c r="E791" s="1779"/>
      <c r="F791" s="1779"/>
      <c r="G791" s="1779"/>
      <c r="H791" s="1779"/>
      <c r="I791" s="1779"/>
      <c r="J791" s="1779"/>
      <c r="K791" s="1780"/>
      <c r="L791" s="1781"/>
      <c r="M791" s="1779"/>
      <c r="N791" s="1779"/>
      <c r="O791" s="1779"/>
      <c r="P791" s="1816"/>
      <c r="Q791" s="1779"/>
      <c r="R791" s="1779"/>
      <c r="S791" s="1779"/>
      <c r="T791" s="1779"/>
      <c r="U791" s="1779"/>
      <c r="V791" s="1779"/>
      <c r="W791" s="1779"/>
      <c r="X791" s="1779"/>
      <c r="Y791" s="1779"/>
      <c r="Z791" s="1779"/>
      <c r="AA791" s="1779"/>
      <c r="AB791" s="1779"/>
      <c r="AC791" s="1779"/>
    </row>
    <row r="792" spans="1:29">
      <c r="A792" s="1779"/>
      <c r="B792" s="1779"/>
      <c r="C792" s="1779"/>
      <c r="D792" s="1779"/>
      <c r="E792" s="1779"/>
      <c r="F792" s="1779"/>
      <c r="G792" s="1779"/>
      <c r="H792" s="1779"/>
      <c r="I792" s="1779"/>
      <c r="J792" s="1779"/>
      <c r="K792" s="1780"/>
      <c r="L792" s="1781"/>
      <c r="M792" s="1779"/>
      <c r="N792" s="1779"/>
      <c r="O792" s="1779"/>
      <c r="P792" s="1816"/>
      <c r="Q792" s="1779"/>
      <c r="R792" s="1779"/>
      <c r="S792" s="1779"/>
      <c r="T792" s="1779"/>
      <c r="U792" s="1779"/>
      <c r="V792" s="1779"/>
      <c r="W792" s="1779"/>
      <c r="X792" s="1779"/>
      <c r="Y792" s="1779"/>
      <c r="Z792" s="1779"/>
      <c r="AA792" s="1779"/>
      <c r="AB792" s="1779"/>
      <c r="AC792" s="1779"/>
    </row>
    <row r="793" spans="1:29">
      <c r="A793" s="1779"/>
      <c r="B793" s="1779"/>
      <c r="C793" s="1779"/>
      <c r="D793" s="1779"/>
      <c r="E793" s="1779"/>
      <c r="F793" s="1779"/>
      <c r="G793" s="1779"/>
      <c r="H793" s="1779"/>
      <c r="I793" s="1779"/>
      <c r="J793" s="1779"/>
      <c r="K793" s="1780"/>
      <c r="L793" s="1781"/>
      <c r="M793" s="1779"/>
      <c r="N793" s="1779"/>
      <c r="O793" s="1779"/>
      <c r="P793" s="1816"/>
      <c r="Q793" s="1779"/>
      <c r="R793" s="1779"/>
      <c r="S793" s="1779"/>
      <c r="T793" s="1779"/>
      <c r="U793" s="1779"/>
      <c r="V793" s="1779"/>
      <c r="W793" s="1779"/>
      <c r="X793" s="1779"/>
      <c r="Y793" s="1779"/>
      <c r="Z793" s="1779"/>
      <c r="AA793" s="1779"/>
      <c r="AB793" s="1779"/>
      <c r="AC793" s="1779"/>
    </row>
    <row r="794" spans="1:29">
      <c r="A794" s="1779"/>
      <c r="B794" s="1779"/>
      <c r="C794" s="1779"/>
      <c r="D794" s="1779"/>
      <c r="E794" s="1779"/>
      <c r="F794" s="1779"/>
      <c r="G794" s="1779"/>
      <c r="H794" s="1779"/>
      <c r="I794" s="1779"/>
      <c r="J794" s="1779"/>
      <c r="K794" s="1780"/>
      <c r="L794" s="1781"/>
      <c r="M794" s="1779"/>
      <c r="N794" s="1779"/>
      <c r="O794" s="1779"/>
      <c r="P794" s="1816"/>
      <c r="Q794" s="1779"/>
      <c r="R794" s="1779"/>
      <c r="S794" s="1779"/>
      <c r="T794" s="1779"/>
      <c r="U794" s="1779"/>
      <c r="V794" s="1779"/>
      <c r="W794" s="1779"/>
      <c r="X794" s="1779"/>
      <c r="Y794" s="1779"/>
      <c r="Z794" s="1779"/>
      <c r="AA794" s="1779"/>
      <c r="AB794" s="1779"/>
      <c r="AC794" s="1779"/>
    </row>
    <row r="795" spans="1:29">
      <c r="A795" s="1779"/>
      <c r="B795" s="1779"/>
      <c r="C795" s="1779"/>
      <c r="D795" s="1779"/>
      <c r="E795" s="1779"/>
      <c r="F795" s="1779"/>
      <c r="G795" s="1779"/>
      <c r="H795" s="1779"/>
      <c r="I795" s="1779"/>
      <c r="J795" s="1779"/>
      <c r="K795" s="1780"/>
      <c r="L795" s="1781"/>
      <c r="M795" s="1779"/>
      <c r="N795" s="1779"/>
      <c r="O795" s="1779"/>
      <c r="P795" s="1816"/>
      <c r="Q795" s="1779"/>
      <c r="R795" s="1779"/>
      <c r="S795" s="1779"/>
      <c r="T795" s="1779"/>
      <c r="U795" s="1779"/>
      <c r="V795" s="1779"/>
      <c r="W795" s="1779"/>
      <c r="X795" s="1779"/>
      <c r="Y795" s="1779"/>
      <c r="Z795" s="1779"/>
      <c r="AA795" s="1779"/>
      <c r="AB795" s="1779"/>
      <c r="AC795" s="1779"/>
    </row>
    <row r="796" spans="1:29">
      <c r="A796" s="1779"/>
      <c r="B796" s="1779"/>
      <c r="C796" s="1779"/>
      <c r="D796" s="1779"/>
      <c r="E796" s="1779"/>
      <c r="F796" s="1779"/>
      <c r="G796" s="1779"/>
      <c r="H796" s="1779"/>
      <c r="I796" s="1779"/>
      <c r="J796" s="1779"/>
      <c r="K796" s="1780"/>
      <c r="L796" s="1781"/>
      <c r="M796" s="1779"/>
      <c r="N796" s="1779"/>
      <c r="O796" s="1779"/>
      <c r="P796" s="1816"/>
      <c r="Q796" s="1779"/>
      <c r="R796" s="1779"/>
      <c r="S796" s="1779"/>
      <c r="T796" s="1779"/>
      <c r="U796" s="1779"/>
      <c r="V796" s="1779"/>
      <c r="W796" s="1779"/>
      <c r="X796" s="1779"/>
      <c r="Y796" s="1779"/>
      <c r="Z796" s="1779"/>
      <c r="AA796" s="1779"/>
      <c r="AB796" s="1779"/>
      <c r="AC796" s="1779"/>
    </row>
    <row r="797" spans="1:29">
      <c r="A797" s="1779"/>
      <c r="B797" s="1779"/>
      <c r="C797" s="1779"/>
      <c r="D797" s="1779"/>
      <c r="E797" s="1779"/>
      <c r="F797" s="1779"/>
      <c r="G797" s="1779"/>
      <c r="H797" s="1779"/>
      <c r="I797" s="1779"/>
      <c r="J797" s="1779"/>
      <c r="K797" s="1780"/>
      <c r="L797" s="1781"/>
      <c r="M797" s="1779"/>
      <c r="N797" s="1779"/>
      <c r="O797" s="1779"/>
      <c r="P797" s="1816"/>
      <c r="Q797" s="1779"/>
      <c r="R797" s="1779"/>
      <c r="S797" s="1779"/>
      <c r="T797" s="1779"/>
      <c r="U797" s="1779"/>
      <c r="V797" s="1779"/>
      <c r="W797" s="1779"/>
      <c r="X797" s="1779"/>
      <c r="Y797" s="1779"/>
      <c r="Z797" s="1779"/>
      <c r="AA797" s="1779"/>
      <c r="AB797" s="1779"/>
      <c r="AC797" s="1779"/>
    </row>
    <row r="798" spans="1:29">
      <c r="A798" s="1779"/>
      <c r="B798" s="1779"/>
      <c r="C798" s="1779"/>
      <c r="D798" s="1779"/>
      <c r="E798" s="1779"/>
      <c r="F798" s="1779"/>
      <c r="G798" s="1779"/>
      <c r="H798" s="1779"/>
      <c r="I798" s="1779"/>
      <c r="J798" s="1779"/>
      <c r="K798" s="1780"/>
      <c r="L798" s="1781"/>
      <c r="M798" s="1779"/>
      <c r="N798" s="1779"/>
      <c r="O798" s="1779"/>
      <c r="P798" s="1816"/>
      <c r="Q798" s="1779"/>
      <c r="R798" s="1779"/>
      <c r="S798" s="1779"/>
      <c r="T798" s="1779"/>
      <c r="U798" s="1779"/>
      <c r="V798" s="1779"/>
      <c r="W798" s="1779"/>
      <c r="X798" s="1779"/>
      <c r="Y798" s="1779"/>
      <c r="Z798" s="1779"/>
      <c r="AA798" s="1779"/>
      <c r="AB798" s="1779"/>
      <c r="AC798" s="1779"/>
    </row>
    <row r="799" spans="1:29">
      <c r="A799" s="1779"/>
      <c r="B799" s="1779"/>
      <c r="C799" s="1779"/>
      <c r="D799" s="1779"/>
      <c r="E799" s="1779"/>
      <c r="F799" s="1779"/>
      <c r="G799" s="1779"/>
      <c r="H799" s="1779"/>
      <c r="I799" s="1779"/>
      <c r="J799" s="1779"/>
      <c r="K799" s="1780"/>
      <c r="L799" s="1781"/>
      <c r="M799" s="1779"/>
      <c r="N799" s="1779"/>
      <c r="O799" s="1779"/>
      <c r="P799" s="1816"/>
      <c r="Q799" s="1779"/>
      <c r="R799" s="1779"/>
      <c r="S799" s="1779"/>
      <c r="T799" s="1779"/>
      <c r="U799" s="1779"/>
      <c r="V799" s="1779"/>
      <c r="W799" s="1779"/>
      <c r="X799" s="1779"/>
      <c r="Y799" s="1779"/>
      <c r="Z799" s="1779"/>
      <c r="AA799" s="1779"/>
      <c r="AB799" s="1779"/>
      <c r="AC799" s="1779"/>
    </row>
    <row r="800" spans="1:29">
      <c r="A800" s="1779"/>
      <c r="B800" s="1779"/>
      <c r="C800" s="1779"/>
      <c r="D800" s="1779"/>
      <c r="E800" s="1779"/>
      <c r="F800" s="1779"/>
      <c r="G800" s="1779"/>
      <c r="H800" s="1779"/>
      <c r="I800" s="1779"/>
      <c r="J800" s="1779"/>
      <c r="K800" s="1780"/>
      <c r="L800" s="1781"/>
      <c r="M800" s="1779"/>
      <c r="N800" s="1779"/>
      <c r="O800" s="1779"/>
      <c r="P800" s="1816"/>
      <c r="Q800" s="1779"/>
      <c r="R800" s="1779"/>
      <c r="S800" s="1779"/>
      <c r="T800" s="1779"/>
      <c r="U800" s="1779"/>
      <c r="V800" s="1779"/>
      <c r="W800" s="1779"/>
      <c r="X800" s="1779"/>
      <c r="Y800" s="1779"/>
      <c r="Z800" s="1779"/>
      <c r="AA800" s="1779"/>
      <c r="AB800" s="1779"/>
      <c r="AC800" s="1779"/>
    </row>
    <row r="801" spans="1:29">
      <c r="A801" s="1779"/>
      <c r="B801" s="1779"/>
      <c r="C801" s="1779"/>
      <c r="D801" s="1779"/>
      <c r="E801" s="1779"/>
      <c r="F801" s="1779"/>
      <c r="G801" s="1779"/>
      <c r="H801" s="1779"/>
      <c r="I801" s="1779"/>
      <c r="J801" s="1779"/>
      <c r="K801" s="1780"/>
      <c r="L801" s="1781"/>
      <c r="M801" s="1779"/>
      <c r="N801" s="1779"/>
      <c r="O801" s="1779"/>
      <c r="P801" s="1816"/>
      <c r="Q801" s="1779"/>
      <c r="R801" s="1779"/>
      <c r="S801" s="1779"/>
      <c r="T801" s="1779"/>
      <c r="U801" s="1779"/>
      <c r="V801" s="1779"/>
      <c r="W801" s="1779"/>
      <c r="X801" s="1779"/>
      <c r="Y801" s="1779"/>
      <c r="Z801" s="1779"/>
      <c r="AA801" s="1779"/>
      <c r="AB801" s="1779"/>
      <c r="AC801" s="1779"/>
    </row>
    <row r="802" spans="1:29">
      <c r="A802" s="1779"/>
      <c r="B802" s="1779"/>
      <c r="C802" s="1779"/>
      <c r="D802" s="1779"/>
      <c r="E802" s="1779"/>
      <c r="F802" s="1779"/>
      <c r="G802" s="1779"/>
      <c r="H802" s="1779"/>
      <c r="I802" s="1779"/>
      <c r="J802" s="1779"/>
      <c r="K802" s="1780"/>
      <c r="L802" s="1781"/>
      <c r="M802" s="1779"/>
      <c r="N802" s="1779"/>
      <c r="O802" s="1779"/>
      <c r="P802" s="1816"/>
      <c r="Q802" s="1779"/>
      <c r="R802" s="1779"/>
      <c r="S802" s="1779"/>
      <c r="T802" s="1779"/>
      <c r="U802" s="1779"/>
      <c r="V802" s="1779"/>
      <c r="W802" s="1779"/>
      <c r="X802" s="1779"/>
      <c r="Y802" s="1779"/>
      <c r="Z802" s="1779"/>
      <c r="AA802" s="1779"/>
      <c r="AB802" s="1779"/>
      <c r="AC802" s="1779"/>
    </row>
    <row r="803" spans="1:29">
      <c r="A803" s="1779"/>
      <c r="B803" s="1779"/>
      <c r="C803" s="1779"/>
      <c r="D803" s="1779"/>
      <c r="E803" s="1779"/>
      <c r="F803" s="1779"/>
      <c r="G803" s="1779"/>
      <c r="H803" s="1779"/>
      <c r="I803" s="1779"/>
      <c r="J803" s="1779"/>
      <c r="K803" s="1780"/>
      <c r="L803" s="1781"/>
      <c r="M803" s="1779"/>
      <c r="N803" s="1779"/>
      <c r="O803" s="1779"/>
      <c r="P803" s="1816"/>
      <c r="Q803" s="1779"/>
      <c r="R803" s="1779"/>
      <c r="S803" s="1779"/>
      <c r="T803" s="1779"/>
      <c r="U803" s="1779"/>
      <c r="V803" s="1779"/>
      <c r="W803" s="1779"/>
      <c r="X803" s="1779"/>
      <c r="Y803" s="1779"/>
      <c r="Z803" s="1779"/>
      <c r="AA803" s="1779"/>
      <c r="AB803" s="1779"/>
      <c r="AC803" s="1779"/>
    </row>
    <row r="804" spans="1:29">
      <c r="A804" s="1779"/>
      <c r="B804" s="1779"/>
      <c r="C804" s="1779"/>
      <c r="D804" s="1779"/>
      <c r="E804" s="1779"/>
      <c r="F804" s="1779"/>
      <c r="G804" s="1779"/>
      <c r="H804" s="1779"/>
      <c r="I804" s="1779"/>
      <c r="J804" s="1779"/>
      <c r="K804" s="1780"/>
      <c r="L804" s="1781"/>
      <c r="M804" s="1779"/>
      <c r="N804" s="1779"/>
      <c r="O804" s="1779"/>
      <c r="P804" s="1816"/>
      <c r="Q804" s="1779"/>
      <c r="R804" s="1779"/>
      <c r="S804" s="1779"/>
      <c r="T804" s="1779"/>
      <c r="U804" s="1779"/>
      <c r="V804" s="1779"/>
      <c r="W804" s="1779"/>
      <c r="X804" s="1779"/>
      <c r="Y804" s="1779"/>
      <c r="Z804" s="1779"/>
      <c r="AA804" s="1779"/>
      <c r="AB804" s="1779"/>
      <c r="AC804" s="1779"/>
    </row>
    <row r="805" spans="1:29">
      <c r="A805" s="1779"/>
      <c r="B805" s="1779"/>
      <c r="C805" s="1779"/>
      <c r="D805" s="1779"/>
      <c r="E805" s="1779"/>
      <c r="F805" s="1779"/>
      <c r="G805" s="1779"/>
      <c r="H805" s="1779"/>
      <c r="I805" s="1779"/>
      <c r="J805" s="1779"/>
      <c r="K805" s="1780"/>
      <c r="L805" s="1781"/>
      <c r="M805" s="1779"/>
      <c r="N805" s="1779"/>
      <c r="O805" s="1779"/>
      <c r="P805" s="1816"/>
      <c r="Q805" s="1779"/>
      <c r="R805" s="1779"/>
      <c r="S805" s="1779"/>
      <c r="T805" s="1779"/>
      <c r="U805" s="1779"/>
      <c r="V805" s="1779"/>
      <c r="W805" s="1779"/>
      <c r="X805" s="1779"/>
      <c r="Y805" s="1779"/>
      <c r="Z805" s="1779"/>
      <c r="AA805" s="1779"/>
      <c r="AB805" s="1779"/>
      <c r="AC805" s="1779"/>
    </row>
    <row r="806" spans="1:29">
      <c r="A806" s="1779"/>
      <c r="B806" s="1779"/>
      <c r="C806" s="1779"/>
      <c r="D806" s="1779"/>
      <c r="E806" s="1779"/>
      <c r="F806" s="1779"/>
      <c r="G806" s="1779"/>
      <c r="H806" s="1779"/>
      <c r="I806" s="1779"/>
      <c r="J806" s="1779"/>
      <c r="K806" s="1780"/>
      <c r="L806" s="1781"/>
      <c r="M806" s="1779"/>
      <c r="N806" s="1779"/>
      <c r="O806" s="1779"/>
      <c r="P806" s="1816"/>
      <c r="Q806" s="1779"/>
      <c r="R806" s="1779"/>
      <c r="S806" s="1779"/>
      <c r="T806" s="1779"/>
      <c r="U806" s="1779"/>
      <c r="V806" s="1779"/>
      <c r="W806" s="1779"/>
      <c r="X806" s="1779"/>
      <c r="Y806" s="1779"/>
      <c r="Z806" s="1779"/>
      <c r="AA806" s="1779"/>
      <c r="AB806" s="1779"/>
      <c r="AC806" s="1779"/>
    </row>
    <row r="807" spans="1:29">
      <c r="A807" s="1779"/>
      <c r="B807" s="1779"/>
      <c r="C807" s="1779"/>
      <c r="D807" s="1779"/>
      <c r="E807" s="1779"/>
      <c r="F807" s="1779"/>
      <c r="G807" s="1779"/>
      <c r="H807" s="1779"/>
      <c r="I807" s="1779"/>
      <c r="J807" s="1779"/>
      <c r="K807" s="1780"/>
      <c r="L807" s="1781"/>
      <c r="M807" s="1779"/>
      <c r="N807" s="1779"/>
      <c r="O807" s="1779"/>
      <c r="P807" s="1816"/>
      <c r="Q807" s="1779"/>
      <c r="R807" s="1779"/>
      <c r="S807" s="1779"/>
      <c r="T807" s="1779"/>
      <c r="U807" s="1779"/>
      <c r="V807" s="1779"/>
      <c r="W807" s="1779"/>
      <c r="X807" s="1779"/>
      <c r="Y807" s="1779"/>
      <c r="Z807" s="1779"/>
      <c r="AA807" s="1779"/>
      <c r="AB807" s="1779"/>
      <c r="AC807" s="1779"/>
    </row>
    <row r="808" spans="1:29">
      <c r="A808" s="1779"/>
      <c r="B808" s="1779"/>
      <c r="C808" s="1779"/>
      <c r="D808" s="1779"/>
      <c r="E808" s="1779"/>
      <c r="F808" s="1779"/>
      <c r="G808" s="1779"/>
      <c r="H808" s="1779"/>
      <c r="I808" s="1779"/>
      <c r="J808" s="1779"/>
      <c r="K808" s="1780"/>
      <c r="L808" s="1781"/>
      <c r="M808" s="1779"/>
      <c r="N808" s="1779"/>
      <c r="O808" s="1779"/>
      <c r="P808" s="1816"/>
      <c r="Q808" s="1779"/>
      <c r="R808" s="1779"/>
      <c r="S808" s="1779"/>
      <c r="T808" s="1779"/>
      <c r="U808" s="1779"/>
      <c r="V808" s="1779"/>
      <c r="W808" s="1779"/>
      <c r="X808" s="1779"/>
      <c r="Y808" s="1779"/>
      <c r="Z808" s="1779"/>
      <c r="AA808" s="1779"/>
      <c r="AB808" s="1779"/>
      <c r="AC808" s="1779"/>
    </row>
    <row r="809" spans="1:29">
      <c r="A809" s="1779"/>
      <c r="B809" s="1779"/>
      <c r="C809" s="1779"/>
      <c r="D809" s="1779"/>
      <c r="E809" s="1779"/>
      <c r="F809" s="1779"/>
      <c r="G809" s="1779"/>
      <c r="H809" s="1779"/>
      <c r="I809" s="1779"/>
      <c r="J809" s="1779"/>
      <c r="K809" s="1780"/>
      <c r="L809" s="1781"/>
      <c r="M809" s="1779"/>
      <c r="N809" s="1779"/>
      <c r="O809" s="1779"/>
      <c r="P809" s="1816"/>
      <c r="Q809" s="1779"/>
      <c r="R809" s="1779"/>
      <c r="S809" s="1779"/>
      <c r="T809" s="1779"/>
      <c r="U809" s="1779"/>
      <c r="V809" s="1779"/>
      <c r="W809" s="1779"/>
      <c r="X809" s="1779"/>
      <c r="Y809" s="1779"/>
      <c r="Z809" s="1779"/>
      <c r="AA809" s="1779"/>
      <c r="AB809" s="1779"/>
      <c r="AC809" s="1779"/>
    </row>
    <row r="810" spans="1:29">
      <c r="A810" s="1779"/>
      <c r="B810" s="1779"/>
      <c r="C810" s="1779"/>
      <c r="D810" s="1779"/>
      <c r="E810" s="1779"/>
      <c r="F810" s="1779"/>
      <c r="G810" s="1779"/>
      <c r="H810" s="1779"/>
      <c r="I810" s="1779"/>
      <c r="J810" s="1779"/>
      <c r="K810" s="1780"/>
      <c r="L810" s="1781"/>
      <c r="M810" s="1779"/>
      <c r="N810" s="1779"/>
      <c r="O810" s="1779"/>
      <c r="P810" s="1816"/>
      <c r="Q810" s="1779"/>
      <c r="R810" s="1779"/>
      <c r="S810" s="1779"/>
      <c r="T810" s="1779"/>
      <c r="U810" s="1779"/>
      <c r="V810" s="1779"/>
      <c r="W810" s="1779"/>
      <c r="X810" s="1779"/>
      <c r="Y810" s="1779"/>
      <c r="Z810" s="1779"/>
      <c r="AA810" s="1779"/>
      <c r="AB810" s="1779"/>
      <c r="AC810" s="1779"/>
    </row>
    <row r="811" spans="1:29">
      <c r="A811" s="1779"/>
      <c r="B811" s="1779"/>
      <c r="C811" s="1779"/>
      <c r="D811" s="1779"/>
      <c r="E811" s="1779"/>
      <c r="F811" s="1779"/>
      <c r="G811" s="1779"/>
      <c r="H811" s="1779"/>
      <c r="I811" s="1779"/>
      <c r="J811" s="1779"/>
      <c r="K811" s="1780"/>
      <c r="L811" s="1781"/>
      <c r="M811" s="1779"/>
      <c r="N811" s="1779"/>
      <c r="O811" s="1779"/>
      <c r="P811" s="1816"/>
      <c r="Q811" s="1779"/>
      <c r="R811" s="1779"/>
      <c r="S811" s="1779"/>
      <c r="T811" s="1779"/>
      <c r="U811" s="1779"/>
      <c r="V811" s="1779"/>
      <c r="W811" s="1779"/>
      <c r="X811" s="1779"/>
      <c r="Y811" s="1779"/>
      <c r="Z811" s="1779"/>
      <c r="AA811" s="1779"/>
      <c r="AB811" s="1779"/>
      <c r="AC811" s="1779"/>
    </row>
    <row r="812" spans="1:29">
      <c r="A812" s="1779"/>
      <c r="B812" s="1779"/>
      <c r="C812" s="1779"/>
      <c r="D812" s="1779"/>
      <c r="E812" s="1779"/>
      <c r="F812" s="1779"/>
      <c r="G812" s="1779"/>
      <c r="H812" s="1779"/>
      <c r="I812" s="1779"/>
      <c r="J812" s="1779"/>
      <c r="K812" s="1780"/>
      <c r="L812" s="1781"/>
      <c r="M812" s="1779"/>
      <c r="N812" s="1779"/>
      <c r="O812" s="1779"/>
      <c r="P812" s="1816"/>
      <c r="Q812" s="1779"/>
      <c r="R812" s="1779"/>
      <c r="S812" s="1779"/>
      <c r="T812" s="1779"/>
      <c r="U812" s="1779"/>
      <c r="V812" s="1779"/>
      <c r="W812" s="1779"/>
      <c r="X812" s="1779"/>
      <c r="Y812" s="1779"/>
      <c r="Z812" s="1779"/>
      <c r="AA812" s="1779"/>
      <c r="AB812" s="1779"/>
      <c r="AC812" s="1779"/>
    </row>
    <row r="813" spans="1:29">
      <c r="A813" s="1779"/>
      <c r="B813" s="1779"/>
      <c r="C813" s="1779"/>
      <c r="D813" s="1779"/>
      <c r="E813" s="1779"/>
      <c r="F813" s="1779"/>
      <c r="G813" s="1779"/>
      <c r="H813" s="1779"/>
      <c r="I813" s="1779"/>
      <c r="J813" s="1779"/>
      <c r="K813" s="1780"/>
      <c r="L813" s="1781"/>
      <c r="M813" s="1779"/>
      <c r="N813" s="1779"/>
      <c r="O813" s="1779"/>
      <c r="P813" s="1816"/>
      <c r="Q813" s="1779"/>
      <c r="R813" s="1779"/>
      <c r="S813" s="1779"/>
      <c r="T813" s="1779"/>
      <c r="U813" s="1779"/>
      <c r="V813" s="1779"/>
      <c r="W813" s="1779"/>
      <c r="X813" s="1779"/>
      <c r="Y813" s="1779"/>
      <c r="Z813" s="1779"/>
      <c r="AA813" s="1779"/>
      <c r="AB813" s="1779"/>
      <c r="AC813" s="1779"/>
    </row>
    <row r="814" spans="1:29">
      <c r="A814" s="1779"/>
      <c r="B814" s="1779"/>
      <c r="C814" s="1779"/>
      <c r="D814" s="1779"/>
      <c r="E814" s="1779"/>
      <c r="F814" s="1779"/>
      <c r="G814" s="1779"/>
      <c r="H814" s="1779"/>
      <c r="I814" s="1779"/>
      <c r="J814" s="1779"/>
      <c r="K814" s="1780"/>
      <c r="L814" s="1781"/>
      <c r="M814" s="1779"/>
      <c r="N814" s="1779"/>
      <c r="O814" s="1779"/>
      <c r="P814" s="1816"/>
      <c r="Q814" s="1779"/>
      <c r="R814" s="1779"/>
      <c r="S814" s="1779"/>
      <c r="T814" s="1779"/>
      <c r="U814" s="1779"/>
      <c r="V814" s="1779"/>
      <c r="W814" s="1779"/>
      <c r="X814" s="1779"/>
      <c r="Y814" s="1779"/>
      <c r="Z814" s="1779"/>
      <c r="AA814" s="1779"/>
      <c r="AB814" s="1779"/>
      <c r="AC814" s="1779"/>
    </row>
    <row r="815" spans="1:29">
      <c r="A815" s="1779"/>
      <c r="B815" s="1779"/>
      <c r="C815" s="1779"/>
      <c r="D815" s="1779"/>
      <c r="E815" s="1779"/>
      <c r="F815" s="1779"/>
      <c r="G815" s="1779"/>
      <c r="H815" s="1779"/>
      <c r="I815" s="1779"/>
      <c r="J815" s="1779"/>
      <c r="K815" s="1780"/>
      <c r="L815" s="1781"/>
      <c r="M815" s="1779"/>
      <c r="N815" s="1779"/>
      <c r="O815" s="1779"/>
      <c r="P815" s="1816"/>
      <c r="Q815" s="1779"/>
      <c r="R815" s="1779"/>
      <c r="S815" s="1779"/>
      <c r="T815" s="1779"/>
      <c r="U815" s="1779"/>
      <c r="V815" s="1779"/>
      <c r="W815" s="1779"/>
      <c r="X815" s="1779"/>
      <c r="Y815" s="1779"/>
      <c r="Z815" s="1779"/>
      <c r="AA815" s="1779"/>
      <c r="AB815" s="1779"/>
      <c r="AC815" s="1779"/>
    </row>
    <row r="816" spans="1:29">
      <c r="A816" s="1779"/>
      <c r="B816" s="1779"/>
      <c r="C816" s="1779"/>
      <c r="D816" s="1779"/>
      <c r="E816" s="1779"/>
      <c r="F816" s="1779"/>
      <c r="G816" s="1779"/>
      <c r="H816" s="1779"/>
      <c r="I816" s="1779"/>
      <c r="J816" s="1779"/>
      <c r="K816" s="1780"/>
      <c r="L816" s="1781"/>
      <c r="M816" s="1779"/>
      <c r="N816" s="1779"/>
      <c r="O816" s="1779"/>
      <c r="P816" s="1816"/>
      <c r="Q816" s="1779"/>
      <c r="R816" s="1779"/>
      <c r="S816" s="1779"/>
      <c r="T816" s="1779"/>
      <c r="U816" s="1779"/>
      <c r="V816" s="1779"/>
      <c r="W816" s="1779"/>
      <c r="X816" s="1779"/>
      <c r="Y816" s="1779"/>
      <c r="Z816" s="1779"/>
      <c r="AA816" s="1779"/>
      <c r="AB816" s="1779"/>
      <c r="AC816" s="1779"/>
    </row>
    <row r="817" spans="1:29">
      <c r="A817" s="1779"/>
      <c r="B817" s="1779"/>
      <c r="C817" s="1779"/>
      <c r="D817" s="1779"/>
      <c r="E817" s="1779"/>
      <c r="F817" s="1779"/>
      <c r="G817" s="1779"/>
      <c r="H817" s="1779"/>
      <c r="I817" s="1779"/>
      <c r="J817" s="1779"/>
      <c r="K817" s="1780"/>
      <c r="L817" s="1781"/>
      <c r="M817" s="1779"/>
      <c r="N817" s="1779"/>
      <c r="O817" s="1779"/>
      <c r="P817" s="1816"/>
      <c r="Q817" s="1779"/>
      <c r="R817" s="1779"/>
      <c r="S817" s="1779"/>
      <c r="T817" s="1779"/>
      <c r="U817" s="1779"/>
      <c r="V817" s="1779"/>
      <c r="W817" s="1779"/>
      <c r="X817" s="1779"/>
      <c r="Y817" s="1779"/>
      <c r="Z817" s="1779"/>
      <c r="AA817" s="1779"/>
      <c r="AB817" s="1779"/>
      <c r="AC817" s="1779"/>
    </row>
    <row r="818" spans="1:29">
      <c r="A818" s="1779"/>
      <c r="B818" s="1779"/>
      <c r="C818" s="1779"/>
      <c r="D818" s="1779"/>
      <c r="E818" s="1779"/>
      <c r="F818" s="1779"/>
      <c r="G818" s="1779"/>
      <c r="H818" s="1779"/>
      <c r="I818" s="1779"/>
      <c r="J818" s="1779"/>
      <c r="K818" s="1780"/>
      <c r="L818" s="1781"/>
      <c r="M818" s="1779"/>
      <c r="N818" s="1779"/>
      <c r="O818" s="1779"/>
      <c r="P818" s="1816"/>
      <c r="Q818" s="1779"/>
      <c r="R818" s="1779"/>
      <c r="S818" s="1779"/>
      <c r="T818" s="1779"/>
      <c r="U818" s="1779"/>
      <c r="V818" s="1779"/>
      <c r="W818" s="1779"/>
      <c r="X818" s="1779"/>
      <c r="Y818" s="1779"/>
      <c r="Z818" s="1779"/>
      <c r="AA818" s="1779"/>
      <c r="AB818" s="1779"/>
      <c r="AC818" s="1779"/>
    </row>
    <row r="819" spans="1:29">
      <c r="A819" s="1779"/>
      <c r="B819" s="1779"/>
      <c r="C819" s="1779"/>
      <c r="D819" s="1779"/>
      <c r="E819" s="1779"/>
      <c r="F819" s="1779"/>
      <c r="G819" s="1779"/>
      <c r="H819" s="1779"/>
      <c r="I819" s="1779"/>
      <c r="J819" s="1779"/>
      <c r="K819" s="1780"/>
      <c r="L819" s="1781"/>
      <c r="M819" s="1779"/>
      <c r="N819" s="1779"/>
      <c r="O819" s="1779"/>
      <c r="P819" s="1816"/>
      <c r="Q819" s="1779"/>
      <c r="R819" s="1779"/>
      <c r="S819" s="1779"/>
      <c r="T819" s="1779"/>
      <c r="U819" s="1779"/>
      <c r="V819" s="1779"/>
      <c r="W819" s="1779"/>
      <c r="X819" s="1779"/>
      <c r="Y819" s="1779"/>
      <c r="Z819" s="1779"/>
      <c r="AA819" s="1779"/>
      <c r="AB819" s="1779"/>
      <c r="AC819" s="1779"/>
    </row>
    <row r="820" spans="1:29">
      <c r="A820" s="1779"/>
      <c r="B820" s="1779"/>
      <c r="C820" s="1779"/>
      <c r="D820" s="1779"/>
      <c r="E820" s="1779"/>
      <c r="F820" s="1779"/>
      <c r="G820" s="1779"/>
      <c r="H820" s="1779"/>
      <c r="I820" s="1779"/>
      <c r="J820" s="1779"/>
      <c r="K820" s="1780"/>
      <c r="L820" s="1781"/>
      <c r="M820" s="1779"/>
      <c r="N820" s="1779"/>
      <c r="O820" s="1779"/>
      <c r="P820" s="1816"/>
      <c r="Q820" s="1779"/>
      <c r="R820" s="1779"/>
      <c r="S820" s="1779"/>
      <c r="T820" s="1779"/>
      <c r="U820" s="1779"/>
      <c r="V820" s="1779"/>
      <c r="W820" s="1779"/>
      <c r="X820" s="1779"/>
      <c r="Y820" s="1779"/>
      <c r="Z820" s="1779"/>
      <c r="AA820" s="1779"/>
      <c r="AB820" s="1779"/>
      <c r="AC820" s="1779"/>
    </row>
    <row r="821" spans="1:29">
      <c r="A821" s="1779"/>
      <c r="B821" s="1779"/>
      <c r="C821" s="1779"/>
      <c r="D821" s="1779"/>
      <c r="E821" s="1779"/>
      <c r="F821" s="1779"/>
      <c r="G821" s="1779"/>
      <c r="H821" s="1779"/>
      <c r="I821" s="1779"/>
      <c r="J821" s="1779"/>
      <c r="K821" s="1780"/>
      <c r="L821" s="1781"/>
      <c r="M821" s="1779"/>
      <c r="N821" s="1779"/>
      <c r="O821" s="1779"/>
      <c r="P821" s="1816"/>
      <c r="Q821" s="1779"/>
      <c r="R821" s="1779"/>
      <c r="S821" s="1779"/>
      <c r="T821" s="1779"/>
      <c r="U821" s="1779"/>
      <c r="V821" s="1779"/>
      <c r="W821" s="1779"/>
      <c r="X821" s="1779"/>
      <c r="Y821" s="1779"/>
      <c r="Z821" s="1779"/>
      <c r="AA821" s="1779"/>
      <c r="AB821" s="1779"/>
      <c r="AC821" s="1779"/>
    </row>
    <row r="822" spans="1:29">
      <c r="A822" s="1779"/>
      <c r="B822" s="1779"/>
      <c r="C822" s="1779"/>
      <c r="D822" s="1779"/>
      <c r="E822" s="1779"/>
      <c r="F822" s="1779"/>
      <c r="G822" s="1779"/>
      <c r="H822" s="1779"/>
      <c r="I822" s="1779"/>
      <c r="J822" s="1779"/>
      <c r="K822" s="1780"/>
      <c r="L822" s="1781"/>
      <c r="M822" s="1779"/>
      <c r="N822" s="1779"/>
      <c r="O822" s="1779"/>
      <c r="P822" s="1816"/>
      <c r="Q822" s="1779"/>
      <c r="R822" s="1779"/>
      <c r="S822" s="1779"/>
      <c r="T822" s="1779"/>
      <c r="U822" s="1779"/>
      <c r="V822" s="1779"/>
      <c r="W822" s="1779"/>
      <c r="X822" s="1779"/>
      <c r="Y822" s="1779"/>
      <c r="Z822" s="1779"/>
      <c r="AA822" s="1779"/>
      <c r="AB822" s="1779"/>
      <c r="AC822" s="1779"/>
    </row>
    <row r="823" spans="1:29">
      <c r="A823" s="1779"/>
      <c r="B823" s="1779"/>
      <c r="C823" s="1779"/>
      <c r="D823" s="1779"/>
      <c r="E823" s="1779"/>
      <c r="F823" s="1779"/>
      <c r="G823" s="1779"/>
      <c r="H823" s="1779"/>
      <c r="I823" s="1779"/>
      <c r="J823" s="1779"/>
      <c r="K823" s="1780"/>
      <c r="L823" s="1781"/>
      <c r="M823" s="1779"/>
      <c r="N823" s="1779"/>
      <c r="O823" s="1779"/>
      <c r="P823" s="1816"/>
      <c r="Q823" s="1779"/>
      <c r="R823" s="1779"/>
      <c r="S823" s="1779"/>
      <c r="T823" s="1779"/>
      <c r="U823" s="1779"/>
      <c r="V823" s="1779"/>
      <c r="W823" s="1779"/>
      <c r="X823" s="1779"/>
      <c r="Y823" s="1779"/>
      <c r="Z823" s="1779"/>
      <c r="AA823" s="1779"/>
      <c r="AB823" s="1779"/>
      <c r="AC823" s="1779"/>
    </row>
    <row r="824" spans="1:29">
      <c r="A824" s="1779"/>
      <c r="B824" s="1779"/>
      <c r="C824" s="1779"/>
      <c r="D824" s="1779"/>
      <c r="E824" s="1779"/>
      <c r="F824" s="1779"/>
      <c r="G824" s="1779"/>
      <c r="H824" s="1779"/>
      <c r="I824" s="1779"/>
      <c r="J824" s="1779"/>
      <c r="K824" s="1780"/>
      <c r="L824" s="1781"/>
      <c r="M824" s="1779"/>
      <c r="N824" s="1779"/>
      <c r="O824" s="1779"/>
      <c r="P824" s="1816"/>
      <c r="Q824" s="1779"/>
      <c r="R824" s="1779"/>
      <c r="S824" s="1779"/>
      <c r="T824" s="1779"/>
      <c r="U824" s="1779"/>
      <c r="V824" s="1779"/>
      <c r="W824" s="1779"/>
      <c r="X824" s="1779"/>
      <c r="Y824" s="1779"/>
      <c r="Z824" s="1779"/>
      <c r="AA824" s="1779"/>
      <c r="AB824" s="1779"/>
      <c r="AC824" s="1779"/>
    </row>
    <row r="825" spans="1:29">
      <c r="A825" s="1779"/>
      <c r="B825" s="1779"/>
      <c r="C825" s="1779"/>
      <c r="D825" s="1779"/>
      <c r="E825" s="1779"/>
      <c r="F825" s="1779"/>
      <c r="G825" s="1779"/>
      <c r="H825" s="1779"/>
      <c r="I825" s="1779"/>
      <c r="J825" s="1779"/>
      <c r="K825" s="1780"/>
      <c r="L825" s="1781"/>
      <c r="M825" s="1779"/>
      <c r="N825" s="1779"/>
      <c r="O825" s="1779"/>
      <c r="P825" s="1816"/>
      <c r="Q825" s="1779"/>
      <c r="R825" s="1779"/>
      <c r="S825" s="1779"/>
      <c r="T825" s="1779"/>
      <c r="U825" s="1779"/>
      <c r="V825" s="1779"/>
      <c r="W825" s="1779"/>
      <c r="X825" s="1779"/>
      <c r="Y825" s="1779"/>
      <c r="Z825" s="1779"/>
      <c r="AA825" s="1779"/>
      <c r="AB825" s="1779"/>
      <c r="AC825" s="1779"/>
    </row>
    <row r="826" spans="1:29">
      <c r="A826" s="1779"/>
      <c r="B826" s="1779"/>
      <c r="C826" s="1779"/>
      <c r="D826" s="1779"/>
      <c r="E826" s="1779"/>
      <c r="F826" s="1779"/>
      <c r="G826" s="1779"/>
      <c r="H826" s="1779"/>
      <c r="I826" s="1779"/>
      <c r="J826" s="1779"/>
      <c r="K826" s="1780"/>
      <c r="L826" s="1781"/>
      <c r="M826" s="1779"/>
      <c r="N826" s="1779"/>
      <c r="O826" s="1779"/>
      <c r="P826" s="1816"/>
      <c r="Q826" s="1779"/>
      <c r="R826" s="1779"/>
      <c r="S826" s="1779"/>
      <c r="T826" s="1779"/>
      <c r="U826" s="1779"/>
      <c r="V826" s="1779"/>
      <c r="W826" s="1779"/>
      <c r="X826" s="1779"/>
      <c r="Y826" s="1779"/>
      <c r="Z826" s="1779"/>
      <c r="AA826" s="1779"/>
      <c r="AB826" s="1779"/>
      <c r="AC826" s="1779"/>
    </row>
    <row r="827" spans="1:29">
      <c r="A827" s="1779"/>
      <c r="B827" s="1779"/>
      <c r="C827" s="1779"/>
      <c r="D827" s="1779"/>
      <c r="E827" s="1779"/>
      <c r="F827" s="1779"/>
      <c r="G827" s="1779"/>
      <c r="H827" s="1779"/>
      <c r="I827" s="1779"/>
      <c r="J827" s="1779"/>
      <c r="K827" s="1780"/>
      <c r="L827" s="1781"/>
      <c r="M827" s="1779"/>
      <c r="N827" s="1779"/>
      <c r="O827" s="1779"/>
      <c r="P827" s="1816"/>
      <c r="Q827" s="1779"/>
      <c r="R827" s="1779"/>
      <c r="S827" s="1779"/>
      <c r="T827" s="1779"/>
      <c r="U827" s="1779"/>
      <c r="V827" s="1779"/>
      <c r="W827" s="1779"/>
      <c r="X827" s="1779"/>
      <c r="Y827" s="1779"/>
      <c r="Z827" s="1779"/>
      <c r="AA827" s="1779"/>
      <c r="AB827" s="1779"/>
      <c r="AC827" s="1779"/>
    </row>
    <row r="828" spans="1:29">
      <c r="A828" s="1779"/>
      <c r="B828" s="1779"/>
      <c r="C828" s="1779"/>
      <c r="D828" s="1779"/>
      <c r="E828" s="1779"/>
      <c r="F828" s="1779"/>
      <c r="G828" s="1779"/>
      <c r="H828" s="1779"/>
      <c r="I828" s="1779"/>
      <c r="J828" s="1779"/>
      <c r="K828" s="1780"/>
      <c r="L828" s="1781"/>
      <c r="M828" s="1779"/>
      <c r="N828" s="1779"/>
      <c r="O828" s="1779"/>
      <c r="P828" s="1816"/>
      <c r="Q828" s="1779"/>
      <c r="R828" s="1779"/>
      <c r="S828" s="1779"/>
      <c r="T828" s="1779"/>
      <c r="U828" s="1779"/>
      <c r="V828" s="1779"/>
      <c r="W828" s="1779"/>
      <c r="X828" s="1779"/>
      <c r="Y828" s="1779"/>
      <c r="Z828" s="1779"/>
      <c r="AA828" s="1779"/>
      <c r="AB828" s="1779"/>
      <c r="AC828" s="1779"/>
    </row>
    <row r="829" spans="1:29">
      <c r="A829" s="1779"/>
      <c r="B829" s="1779"/>
      <c r="C829" s="1779"/>
      <c r="D829" s="1779"/>
      <c r="E829" s="1779"/>
      <c r="F829" s="1779"/>
      <c r="G829" s="1779"/>
      <c r="H829" s="1779"/>
      <c r="I829" s="1779"/>
      <c r="J829" s="1779"/>
      <c r="K829" s="1780"/>
      <c r="L829" s="1781"/>
      <c r="M829" s="1779"/>
      <c r="N829" s="1779"/>
      <c r="O829" s="1779"/>
      <c r="P829" s="1816"/>
      <c r="Q829" s="1779"/>
      <c r="R829" s="1779"/>
      <c r="S829" s="1779"/>
      <c r="T829" s="1779"/>
      <c r="U829" s="1779"/>
      <c r="V829" s="1779"/>
      <c r="W829" s="1779"/>
      <c r="X829" s="1779"/>
      <c r="Y829" s="1779"/>
      <c r="Z829" s="1779"/>
      <c r="AA829" s="1779"/>
      <c r="AB829" s="1779"/>
      <c r="AC829" s="1779"/>
    </row>
    <row r="830" spans="1:29">
      <c r="A830" s="1779"/>
      <c r="B830" s="1779"/>
      <c r="C830" s="1779"/>
      <c r="D830" s="1779"/>
      <c r="E830" s="1779"/>
      <c r="F830" s="1779"/>
      <c r="G830" s="1779"/>
      <c r="H830" s="1779"/>
      <c r="I830" s="1779"/>
      <c r="J830" s="1779"/>
      <c r="K830" s="1780"/>
      <c r="L830" s="1781"/>
      <c r="M830" s="1779"/>
      <c r="N830" s="1779"/>
      <c r="O830" s="1779"/>
      <c r="P830" s="1816"/>
      <c r="Q830" s="1779"/>
      <c r="R830" s="1779"/>
      <c r="S830" s="1779"/>
      <c r="T830" s="1779"/>
      <c r="U830" s="1779"/>
      <c r="V830" s="1779"/>
      <c r="W830" s="1779"/>
      <c r="X830" s="1779"/>
      <c r="Y830" s="1779"/>
      <c r="Z830" s="1779"/>
      <c r="AA830" s="1779"/>
      <c r="AB830" s="1779"/>
      <c r="AC830" s="1779"/>
    </row>
    <row r="831" spans="1:29">
      <c r="A831" s="1779"/>
      <c r="B831" s="1779"/>
      <c r="C831" s="1779"/>
      <c r="D831" s="1779"/>
      <c r="E831" s="1779"/>
      <c r="F831" s="1779"/>
      <c r="G831" s="1779"/>
      <c r="H831" s="1779"/>
      <c r="I831" s="1779"/>
      <c r="J831" s="1779"/>
      <c r="K831" s="1780"/>
      <c r="L831" s="1781"/>
      <c r="M831" s="1779"/>
      <c r="N831" s="1779"/>
      <c r="O831" s="1779"/>
      <c r="P831" s="1816"/>
      <c r="Q831" s="1779"/>
      <c r="R831" s="1779"/>
      <c r="S831" s="1779"/>
      <c r="T831" s="1779"/>
      <c r="U831" s="1779"/>
      <c r="V831" s="1779"/>
      <c r="W831" s="1779"/>
      <c r="X831" s="1779"/>
      <c r="Y831" s="1779"/>
      <c r="Z831" s="1779"/>
      <c r="AA831" s="1779"/>
      <c r="AB831" s="1779"/>
      <c r="AC831" s="1779"/>
    </row>
    <row r="832" spans="1:29">
      <c r="A832" s="1779"/>
      <c r="B832" s="1779"/>
      <c r="C832" s="1779"/>
      <c r="D832" s="1779"/>
      <c r="E832" s="1779"/>
      <c r="F832" s="1779"/>
      <c r="G832" s="1779"/>
      <c r="H832" s="1779"/>
      <c r="I832" s="1779"/>
      <c r="J832" s="1779"/>
      <c r="K832" s="1780"/>
      <c r="L832" s="1781"/>
      <c r="M832" s="1779"/>
      <c r="N832" s="1779"/>
      <c r="O832" s="1779"/>
      <c r="P832" s="1816"/>
      <c r="Q832" s="1779"/>
      <c r="R832" s="1779"/>
      <c r="S832" s="1779"/>
      <c r="T832" s="1779"/>
      <c r="U832" s="1779"/>
      <c r="V832" s="1779"/>
      <c r="W832" s="1779"/>
      <c r="X832" s="1779"/>
      <c r="Y832" s="1779"/>
      <c r="Z832" s="1779"/>
      <c r="AA832" s="1779"/>
      <c r="AB832" s="1779"/>
      <c r="AC832" s="1779"/>
    </row>
    <row r="833" spans="1:29">
      <c r="A833" s="1779"/>
      <c r="B833" s="1779"/>
      <c r="C833" s="1779"/>
      <c r="D833" s="1779"/>
      <c r="E833" s="1779"/>
      <c r="F833" s="1779"/>
      <c r="G833" s="1779"/>
      <c r="H833" s="1779"/>
      <c r="I833" s="1779"/>
      <c r="J833" s="1779"/>
      <c r="K833" s="1780"/>
      <c r="L833" s="1781"/>
      <c r="M833" s="1779"/>
      <c r="N833" s="1779"/>
      <c r="O833" s="1779"/>
      <c r="P833" s="1816"/>
      <c r="Q833" s="1779"/>
      <c r="R833" s="1779"/>
      <c r="S833" s="1779"/>
      <c r="T833" s="1779"/>
      <c r="U833" s="1779"/>
      <c r="V833" s="1779"/>
      <c r="W833" s="1779"/>
      <c r="X833" s="1779"/>
      <c r="Y833" s="1779"/>
      <c r="Z833" s="1779"/>
      <c r="AA833" s="1779"/>
      <c r="AB833" s="1779"/>
      <c r="AC833" s="1779"/>
    </row>
    <row r="834" spans="1:29">
      <c r="A834" s="1779"/>
      <c r="B834" s="1779"/>
      <c r="C834" s="1779"/>
      <c r="D834" s="1779"/>
      <c r="E834" s="1779"/>
      <c r="F834" s="1779"/>
      <c r="G834" s="1779"/>
      <c r="H834" s="1779"/>
      <c r="I834" s="1779"/>
      <c r="J834" s="1779"/>
      <c r="K834" s="1780"/>
      <c r="L834" s="1781"/>
      <c r="M834" s="1779"/>
      <c r="N834" s="1779"/>
      <c r="O834" s="1779"/>
      <c r="P834" s="1816"/>
      <c r="Q834" s="1779"/>
      <c r="R834" s="1779"/>
      <c r="S834" s="1779"/>
      <c r="T834" s="1779"/>
      <c r="U834" s="1779"/>
      <c r="V834" s="1779"/>
      <c r="W834" s="1779"/>
      <c r="X834" s="1779"/>
      <c r="Y834" s="1779"/>
      <c r="Z834" s="1779"/>
      <c r="AA834" s="1779"/>
      <c r="AB834" s="1779"/>
      <c r="AC834" s="1779"/>
    </row>
    <row r="835" spans="1:29">
      <c r="A835" s="1779"/>
      <c r="B835" s="1779"/>
      <c r="C835" s="1779"/>
      <c r="D835" s="1779"/>
      <c r="E835" s="1779"/>
      <c r="F835" s="1779"/>
      <c r="G835" s="1779"/>
      <c r="H835" s="1779"/>
      <c r="I835" s="1779"/>
      <c r="J835" s="1779"/>
      <c r="K835" s="1780"/>
      <c r="L835" s="1781"/>
      <c r="M835" s="1779"/>
      <c r="N835" s="1779"/>
      <c r="O835" s="1779"/>
      <c r="P835" s="1816"/>
      <c r="Q835" s="1779"/>
      <c r="R835" s="1779"/>
      <c r="S835" s="1779"/>
      <c r="T835" s="1779"/>
      <c r="U835" s="1779"/>
      <c r="V835" s="1779"/>
      <c r="W835" s="1779"/>
      <c r="X835" s="1779"/>
      <c r="Y835" s="1779"/>
      <c r="Z835" s="1779"/>
      <c r="AA835" s="1779"/>
      <c r="AB835" s="1779"/>
      <c r="AC835" s="1779"/>
    </row>
    <row r="836" spans="1:29">
      <c r="A836" s="1779"/>
      <c r="B836" s="1779"/>
      <c r="C836" s="1779"/>
      <c r="D836" s="1779"/>
      <c r="E836" s="1779"/>
      <c r="F836" s="1779"/>
      <c r="G836" s="1779"/>
      <c r="H836" s="1779"/>
      <c r="I836" s="1779"/>
      <c r="J836" s="1779"/>
      <c r="K836" s="1780"/>
      <c r="L836" s="1781"/>
      <c r="M836" s="1779"/>
      <c r="N836" s="1779"/>
      <c r="O836" s="1779"/>
      <c r="P836" s="1816"/>
      <c r="Q836" s="1779"/>
      <c r="R836" s="1779"/>
      <c r="S836" s="1779"/>
      <c r="T836" s="1779"/>
      <c r="U836" s="1779"/>
      <c r="V836" s="1779"/>
      <c r="W836" s="1779"/>
      <c r="X836" s="1779"/>
      <c r="Y836" s="1779"/>
      <c r="Z836" s="1779"/>
      <c r="AA836" s="1779"/>
      <c r="AB836" s="1779"/>
      <c r="AC836" s="1779"/>
    </row>
    <row r="837" spans="1:29">
      <c r="A837" s="1779"/>
      <c r="B837" s="1779"/>
      <c r="C837" s="1779"/>
      <c r="D837" s="1779"/>
      <c r="E837" s="1779"/>
      <c r="F837" s="1779"/>
      <c r="G837" s="1779"/>
      <c r="H837" s="1779"/>
      <c r="I837" s="1779"/>
      <c r="J837" s="1779"/>
      <c r="K837" s="1780"/>
      <c r="L837" s="1781"/>
      <c r="M837" s="1779"/>
      <c r="N837" s="1779"/>
      <c r="O837" s="1779"/>
      <c r="P837" s="1816"/>
      <c r="Q837" s="1779"/>
      <c r="R837" s="1779"/>
      <c r="S837" s="1779"/>
      <c r="T837" s="1779"/>
      <c r="U837" s="1779"/>
      <c r="V837" s="1779"/>
      <c r="W837" s="1779"/>
      <c r="X837" s="1779"/>
      <c r="Y837" s="1779"/>
      <c r="Z837" s="1779"/>
      <c r="AA837" s="1779"/>
      <c r="AB837" s="1779"/>
      <c r="AC837" s="1779"/>
    </row>
    <row r="838" spans="1:29">
      <c r="A838" s="1779"/>
      <c r="B838" s="1779"/>
      <c r="C838" s="1779"/>
      <c r="D838" s="1779"/>
      <c r="E838" s="1779"/>
      <c r="F838" s="1779"/>
      <c r="G838" s="1779"/>
      <c r="H838" s="1779"/>
      <c r="I838" s="1779"/>
      <c r="J838" s="1779"/>
      <c r="K838" s="1780"/>
      <c r="L838" s="1781"/>
      <c r="M838" s="1779"/>
      <c r="N838" s="1779"/>
      <c r="O838" s="1779"/>
      <c r="P838" s="1816"/>
      <c r="Q838" s="1779"/>
      <c r="R838" s="1779"/>
      <c r="S838" s="1779"/>
      <c r="T838" s="1779"/>
      <c r="U838" s="1779"/>
      <c r="V838" s="1779"/>
      <c r="W838" s="1779"/>
      <c r="X838" s="1779"/>
      <c r="Y838" s="1779"/>
      <c r="Z838" s="1779"/>
      <c r="AA838" s="1779"/>
      <c r="AB838" s="1779"/>
      <c r="AC838" s="1779"/>
    </row>
    <row r="839" spans="1:29">
      <c r="A839" s="1779"/>
      <c r="B839" s="1779"/>
      <c r="C839" s="1779"/>
      <c r="D839" s="1779"/>
      <c r="E839" s="1779"/>
      <c r="F839" s="1779"/>
      <c r="G839" s="1779"/>
      <c r="H839" s="1779"/>
      <c r="I839" s="1779"/>
      <c r="J839" s="1779"/>
      <c r="K839" s="1780"/>
      <c r="L839" s="1781"/>
      <c r="M839" s="1779"/>
      <c r="N839" s="1779"/>
      <c r="O839" s="1779"/>
      <c r="P839" s="1816"/>
      <c r="Q839" s="1779"/>
      <c r="R839" s="1779"/>
      <c r="S839" s="1779"/>
      <c r="T839" s="1779"/>
      <c r="U839" s="1779"/>
      <c r="V839" s="1779"/>
      <c r="W839" s="1779"/>
      <c r="X839" s="1779"/>
      <c r="Y839" s="1779"/>
      <c r="Z839" s="1779"/>
      <c r="AA839" s="1779"/>
      <c r="AB839" s="1779"/>
      <c r="AC839" s="1779"/>
    </row>
    <row r="840" spans="1:29">
      <c r="A840" s="1779"/>
      <c r="B840" s="1779"/>
      <c r="C840" s="1779"/>
      <c r="D840" s="1779"/>
      <c r="E840" s="1779"/>
      <c r="F840" s="1779"/>
      <c r="G840" s="1779"/>
      <c r="H840" s="1779"/>
      <c r="I840" s="1779"/>
      <c r="J840" s="1779"/>
      <c r="K840" s="1780"/>
      <c r="L840" s="1781"/>
      <c r="M840" s="1779"/>
      <c r="N840" s="1779"/>
      <c r="O840" s="1779"/>
      <c r="P840" s="1816"/>
      <c r="Q840" s="1779"/>
      <c r="R840" s="1779"/>
      <c r="S840" s="1779"/>
      <c r="T840" s="1779"/>
      <c r="U840" s="1779"/>
      <c r="V840" s="1779"/>
      <c r="W840" s="1779"/>
      <c r="X840" s="1779"/>
      <c r="Y840" s="1779"/>
      <c r="Z840" s="1779"/>
      <c r="AA840" s="1779"/>
      <c r="AB840" s="1779"/>
      <c r="AC840" s="1779"/>
    </row>
    <row r="841" spans="1:29">
      <c r="A841" s="1779"/>
      <c r="B841" s="1779"/>
      <c r="C841" s="1779"/>
      <c r="D841" s="1779"/>
      <c r="E841" s="1779"/>
      <c r="F841" s="1779"/>
      <c r="G841" s="1779"/>
      <c r="H841" s="1779"/>
      <c r="I841" s="1779"/>
      <c r="J841" s="1779"/>
      <c r="K841" s="1780"/>
      <c r="L841" s="1781"/>
      <c r="M841" s="1779"/>
      <c r="N841" s="1779"/>
      <c r="O841" s="1779"/>
      <c r="P841" s="1816"/>
      <c r="Q841" s="1779"/>
      <c r="R841" s="1779"/>
      <c r="S841" s="1779"/>
      <c r="T841" s="1779"/>
      <c r="U841" s="1779"/>
      <c r="V841" s="1779"/>
      <c r="W841" s="1779"/>
      <c r="X841" s="1779"/>
      <c r="Y841" s="1779"/>
      <c r="Z841" s="1779"/>
      <c r="AA841" s="1779"/>
      <c r="AB841" s="1779"/>
      <c r="AC841" s="1779"/>
    </row>
    <row r="842" spans="1:29">
      <c r="A842" s="1779"/>
      <c r="B842" s="1779"/>
      <c r="C842" s="1779"/>
      <c r="D842" s="1779"/>
      <c r="E842" s="1779"/>
      <c r="F842" s="1779"/>
      <c r="G842" s="1779"/>
      <c r="H842" s="1779"/>
      <c r="I842" s="1779"/>
      <c r="J842" s="1779"/>
      <c r="K842" s="1780"/>
      <c r="L842" s="1781"/>
      <c r="M842" s="1779"/>
      <c r="N842" s="1779"/>
      <c r="O842" s="1779"/>
      <c r="P842" s="1816"/>
      <c r="Q842" s="1779"/>
      <c r="R842" s="1779"/>
      <c r="S842" s="1779"/>
      <c r="T842" s="1779"/>
      <c r="U842" s="1779"/>
      <c r="V842" s="1779"/>
      <c r="W842" s="1779"/>
      <c r="X842" s="1779"/>
      <c r="Y842" s="1779"/>
      <c r="Z842" s="1779"/>
      <c r="AA842" s="1779"/>
      <c r="AB842" s="1779"/>
      <c r="AC842" s="1779"/>
    </row>
    <row r="843" spans="1:29">
      <c r="A843" s="1779"/>
      <c r="B843" s="1779"/>
      <c r="C843" s="1779"/>
      <c r="D843" s="1779"/>
      <c r="E843" s="1779"/>
      <c r="F843" s="1779"/>
      <c r="G843" s="1779"/>
      <c r="H843" s="1779"/>
      <c r="I843" s="1779"/>
      <c r="J843" s="1779"/>
      <c r="K843" s="1780"/>
      <c r="L843" s="1781"/>
      <c r="M843" s="1779"/>
      <c r="N843" s="1779"/>
      <c r="O843" s="1779"/>
      <c r="P843" s="1816"/>
      <c r="Q843" s="1779"/>
      <c r="R843" s="1779"/>
      <c r="S843" s="1779"/>
      <c r="T843" s="1779"/>
      <c r="U843" s="1779"/>
      <c r="V843" s="1779"/>
      <c r="W843" s="1779"/>
      <c r="X843" s="1779"/>
      <c r="Y843" s="1779"/>
      <c r="Z843" s="1779"/>
      <c r="AA843" s="1779"/>
      <c r="AB843" s="1779"/>
      <c r="AC843" s="1779"/>
    </row>
    <row r="844" spans="1:29">
      <c r="A844" s="1779"/>
      <c r="B844" s="1779"/>
      <c r="C844" s="1779"/>
      <c r="D844" s="1779"/>
      <c r="E844" s="1779"/>
      <c r="F844" s="1779"/>
      <c r="G844" s="1779"/>
      <c r="H844" s="1779"/>
      <c r="I844" s="1779"/>
      <c r="J844" s="1779"/>
      <c r="K844" s="1780"/>
      <c r="L844" s="1781"/>
      <c r="M844" s="1779"/>
      <c r="N844" s="1779"/>
      <c r="O844" s="1779"/>
      <c r="P844" s="1816"/>
      <c r="Q844" s="1779"/>
      <c r="R844" s="1779"/>
      <c r="S844" s="1779"/>
      <c r="T844" s="1779"/>
      <c r="U844" s="1779"/>
      <c r="V844" s="1779"/>
      <c r="W844" s="1779"/>
      <c r="X844" s="1779"/>
      <c r="Y844" s="1779"/>
      <c r="Z844" s="1779"/>
      <c r="AA844" s="1779"/>
      <c r="AB844" s="1779"/>
      <c r="AC844" s="1779"/>
    </row>
    <row r="845" spans="1:29">
      <c r="A845" s="1779"/>
      <c r="B845" s="1779"/>
      <c r="C845" s="1779"/>
      <c r="D845" s="1779"/>
      <c r="E845" s="1779"/>
      <c r="F845" s="1779"/>
      <c r="G845" s="1779"/>
      <c r="H845" s="1779"/>
      <c r="I845" s="1779"/>
      <c r="J845" s="1779"/>
      <c r="K845" s="1780"/>
      <c r="L845" s="1781"/>
      <c r="M845" s="1779"/>
      <c r="N845" s="1779"/>
      <c r="O845" s="1779"/>
      <c r="P845" s="1816"/>
      <c r="Q845" s="1779"/>
      <c r="R845" s="1779"/>
      <c r="S845" s="1779"/>
      <c r="T845" s="1779"/>
      <c r="U845" s="1779"/>
      <c r="V845" s="1779"/>
      <c r="W845" s="1779"/>
      <c r="X845" s="1779"/>
      <c r="Y845" s="1779"/>
      <c r="Z845" s="1779"/>
      <c r="AA845" s="1779"/>
      <c r="AB845" s="1779"/>
      <c r="AC845" s="1779"/>
    </row>
    <row r="846" spans="1:29">
      <c r="A846" s="1779"/>
      <c r="B846" s="1779"/>
      <c r="C846" s="1779"/>
      <c r="D846" s="1779"/>
      <c r="E846" s="1779"/>
      <c r="F846" s="1779"/>
      <c r="G846" s="1779"/>
      <c r="H846" s="1779"/>
      <c r="I846" s="1779"/>
      <c r="J846" s="1779"/>
      <c r="K846" s="1780"/>
      <c r="L846" s="1781"/>
      <c r="M846" s="1779"/>
      <c r="N846" s="1779"/>
      <c r="O846" s="1779"/>
      <c r="P846" s="1816"/>
      <c r="Q846" s="1779"/>
      <c r="R846" s="1779"/>
      <c r="S846" s="1779"/>
      <c r="T846" s="1779"/>
      <c r="U846" s="1779"/>
      <c r="V846" s="1779"/>
      <c r="W846" s="1779"/>
      <c r="X846" s="1779"/>
      <c r="Y846" s="1779"/>
      <c r="Z846" s="1779"/>
      <c r="AA846" s="1779"/>
      <c r="AB846" s="1779"/>
      <c r="AC846" s="1779"/>
    </row>
    <row r="847" spans="1:29">
      <c r="A847" s="1779"/>
      <c r="B847" s="1779"/>
      <c r="C847" s="1779"/>
      <c r="D847" s="1779"/>
      <c r="E847" s="1779"/>
      <c r="F847" s="1779"/>
      <c r="G847" s="1779"/>
      <c r="H847" s="1779"/>
      <c r="I847" s="1779"/>
      <c r="J847" s="1779"/>
      <c r="K847" s="1780"/>
      <c r="L847" s="1781"/>
      <c r="M847" s="1779"/>
      <c r="N847" s="1779"/>
      <c r="O847" s="1779"/>
      <c r="P847" s="1816"/>
      <c r="Q847" s="1779"/>
      <c r="R847" s="1779"/>
      <c r="S847" s="1779"/>
      <c r="T847" s="1779"/>
      <c r="U847" s="1779"/>
      <c r="V847" s="1779"/>
      <c r="W847" s="1779"/>
      <c r="X847" s="1779"/>
      <c r="Y847" s="1779"/>
      <c r="Z847" s="1779"/>
      <c r="AA847" s="1779"/>
      <c r="AB847" s="1779"/>
      <c r="AC847" s="1779"/>
    </row>
    <row r="848" spans="1:29">
      <c r="A848" s="1779"/>
      <c r="B848" s="1779"/>
      <c r="C848" s="1779"/>
      <c r="D848" s="1779"/>
      <c r="E848" s="1779"/>
      <c r="F848" s="1779"/>
      <c r="G848" s="1779"/>
      <c r="H848" s="1779"/>
      <c r="I848" s="1779"/>
      <c r="J848" s="1779"/>
      <c r="K848" s="1780"/>
      <c r="L848" s="1781"/>
      <c r="M848" s="1779"/>
      <c r="N848" s="1779"/>
      <c r="O848" s="1779"/>
      <c r="P848" s="1816"/>
      <c r="Q848" s="1779"/>
      <c r="R848" s="1779"/>
      <c r="S848" s="1779"/>
      <c r="T848" s="1779"/>
      <c r="U848" s="1779"/>
      <c r="V848" s="1779"/>
      <c r="W848" s="1779"/>
      <c r="X848" s="1779"/>
      <c r="Y848" s="1779"/>
      <c r="Z848" s="1779"/>
      <c r="AA848" s="1779"/>
      <c r="AB848" s="1779"/>
      <c r="AC848" s="1779"/>
    </row>
    <row r="849" spans="1:29">
      <c r="A849" s="1779"/>
      <c r="B849" s="1779"/>
      <c r="C849" s="1779"/>
      <c r="D849" s="1779"/>
      <c r="E849" s="1779"/>
      <c r="F849" s="1779"/>
      <c r="G849" s="1779"/>
      <c r="H849" s="1779"/>
      <c r="I849" s="1779"/>
      <c r="J849" s="1779"/>
      <c r="K849" s="1780"/>
      <c r="L849" s="1781"/>
      <c r="M849" s="1779"/>
      <c r="N849" s="1779"/>
      <c r="O849" s="1779"/>
      <c r="P849" s="1816"/>
      <c r="Q849" s="1779"/>
      <c r="R849" s="1779"/>
      <c r="S849" s="1779"/>
      <c r="T849" s="1779"/>
      <c r="U849" s="1779"/>
      <c r="V849" s="1779"/>
      <c r="W849" s="1779"/>
      <c r="X849" s="1779"/>
      <c r="Y849" s="1779"/>
      <c r="Z849" s="1779"/>
      <c r="AA849" s="1779"/>
      <c r="AB849" s="1779"/>
      <c r="AC849" s="1779"/>
    </row>
    <row r="850" spans="1:29">
      <c r="A850" s="1779"/>
      <c r="B850" s="1779"/>
      <c r="C850" s="1779"/>
      <c r="D850" s="1779"/>
      <c r="E850" s="1779"/>
      <c r="F850" s="1779"/>
      <c r="G850" s="1779"/>
      <c r="H850" s="1779"/>
      <c r="I850" s="1779"/>
      <c r="J850" s="1779"/>
      <c r="K850" s="1780"/>
      <c r="L850" s="1781"/>
      <c r="M850" s="1779"/>
      <c r="N850" s="1779"/>
      <c r="O850" s="1779"/>
      <c r="P850" s="1816"/>
      <c r="Q850" s="1779"/>
      <c r="R850" s="1779"/>
      <c r="S850" s="1779"/>
      <c r="T850" s="1779"/>
      <c r="U850" s="1779"/>
      <c r="V850" s="1779"/>
      <c r="W850" s="1779"/>
      <c r="X850" s="1779"/>
      <c r="Y850" s="1779"/>
      <c r="Z850" s="1779"/>
      <c r="AA850" s="1779"/>
      <c r="AB850" s="1779"/>
      <c r="AC850" s="1779"/>
    </row>
    <row r="851" spans="1:29">
      <c r="A851" s="1779"/>
      <c r="B851" s="1779"/>
      <c r="C851" s="1779"/>
      <c r="D851" s="1779"/>
      <c r="E851" s="1779"/>
      <c r="F851" s="1779"/>
      <c r="G851" s="1779"/>
      <c r="H851" s="1779"/>
      <c r="I851" s="1779"/>
      <c r="J851" s="1779"/>
      <c r="K851" s="1780"/>
      <c r="L851" s="1781"/>
      <c r="M851" s="1779"/>
      <c r="N851" s="1779"/>
      <c r="O851" s="1779"/>
      <c r="P851" s="1816"/>
      <c r="Q851" s="1779"/>
      <c r="R851" s="1779"/>
      <c r="S851" s="1779"/>
      <c r="T851" s="1779"/>
      <c r="U851" s="1779"/>
      <c r="V851" s="1779"/>
      <c r="W851" s="1779"/>
      <c r="X851" s="1779"/>
      <c r="Y851" s="1779"/>
      <c r="Z851" s="1779"/>
      <c r="AA851" s="1779"/>
      <c r="AB851" s="1779"/>
      <c r="AC851" s="1779"/>
    </row>
    <row r="852" spans="1:29">
      <c r="A852" s="1779"/>
      <c r="B852" s="1779"/>
      <c r="C852" s="1779"/>
      <c r="D852" s="1779"/>
      <c r="E852" s="1779"/>
      <c r="F852" s="1779"/>
      <c r="G852" s="1779"/>
      <c r="H852" s="1779"/>
      <c r="I852" s="1779"/>
      <c r="J852" s="1779"/>
      <c r="K852" s="1780"/>
      <c r="L852" s="1781"/>
      <c r="M852" s="1779"/>
      <c r="N852" s="1779"/>
      <c r="O852" s="1779"/>
      <c r="P852" s="1816"/>
      <c r="Q852" s="1779"/>
      <c r="R852" s="1779"/>
      <c r="S852" s="1779"/>
      <c r="T852" s="1779"/>
      <c r="U852" s="1779"/>
      <c r="V852" s="1779"/>
      <c r="W852" s="1779"/>
      <c r="X852" s="1779"/>
      <c r="Y852" s="1779"/>
      <c r="Z852" s="1779"/>
      <c r="AA852" s="1779"/>
      <c r="AB852" s="1779"/>
      <c r="AC852" s="1779"/>
    </row>
    <row r="853" spans="1:29">
      <c r="A853" s="1779"/>
      <c r="B853" s="1779"/>
      <c r="C853" s="1779"/>
      <c r="D853" s="1779"/>
      <c r="E853" s="1779"/>
      <c r="F853" s="1779"/>
      <c r="G853" s="1779"/>
      <c r="H853" s="1779"/>
      <c r="I853" s="1779"/>
      <c r="J853" s="1779"/>
      <c r="K853" s="1780"/>
      <c r="L853" s="1781"/>
      <c r="M853" s="1779"/>
      <c r="N853" s="1779"/>
      <c r="O853" s="1779"/>
      <c r="P853" s="1816"/>
      <c r="Q853" s="1779"/>
      <c r="R853" s="1779"/>
      <c r="S853" s="1779"/>
      <c r="T853" s="1779"/>
      <c r="U853" s="1779"/>
      <c r="V853" s="1779"/>
      <c r="W853" s="1779"/>
      <c r="X853" s="1779"/>
      <c r="Y853" s="1779"/>
      <c r="Z853" s="1779"/>
      <c r="AA853" s="1779"/>
      <c r="AB853" s="1779"/>
      <c r="AC853" s="177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E9 G9 I9" xr:uid="{00000000-0002-0000-2500-000006000000}">
      <formula1>办公用途</formula1>
    </dataValidation>
    <dataValidation type="list" allowBlank="1" showInputMessage="1" showErrorMessage="1" sqref="C16 E16 G16 I16" xr:uid="{00000000-0002-0000-2500-000007000000}">
      <formula1>办公集聚程度</formula1>
    </dataValidation>
    <dataValidation type="list" allowBlank="1" showInputMessage="1" showErrorMessage="1" sqref="G26 C26 E26 I26" xr:uid="{00000000-0002-0000-2500-000008000000}">
      <formula1>办公道路级别</formula1>
    </dataValidation>
    <dataValidation type="list" allowBlank="1" showInputMessage="1" showErrorMessage="1" sqref="C28 E28 G28 I28" xr:uid="{00000000-0002-0000-2500-000009000000}">
      <formula1>办公朝向</formula1>
    </dataValidation>
    <dataValidation type="list" allowBlank="1" showInputMessage="1" showErrorMessage="1" sqref="C27 E27 G27 I27" xr:uid="{00000000-0002-0000-2500-00000A000000}">
      <formula1>办公楼层</formula1>
    </dataValidation>
    <dataValidation type="list" allowBlank="1" showInputMessage="1" showErrorMessage="1" sqref="C33 E33 G33 I33" xr:uid="{00000000-0002-0000-2500-00000B000000}">
      <formula1>办公建筑类型</formula1>
    </dataValidation>
    <dataValidation type="list" allowBlank="1" showInputMessage="1" showErrorMessage="1" sqref="C36 E36 G36 I36" xr:uid="{00000000-0002-0000-2500-00000C000000}">
      <formula1>办公公共部分装修</formula1>
    </dataValidation>
    <dataValidation type="list" allowBlank="1" showInputMessage="1" showErrorMessage="1" sqref="C38 E38 G38 I38" xr:uid="{00000000-0002-0000-2500-00000D000000}">
      <formula1>写字楼等级</formula1>
    </dataValidation>
    <dataValidation type="list" allowBlank="1" showInputMessage="1" showErrorMessage="1" sqref="C39 E39 G39 I39" xr:uid="{00000000-0002-0000-2500-00000E000000}">
      <formula1>办公物业管理</formula1>
    </dataValidation>
    <dataValidation type="list" allowBlank="1" showInputMessage="1" showErrorMessage="1" sqref="C40 E40 G40 I40" xr:uid="{00000000-0002-0000-2500-00000F000000}">
      <formula1>办公基础设施水平</formula1>
    </dataValidation>
    <dataValidation type="list" allowBlank="1" showInputMessage="1" showErrorMessage="1" sqref="C41 E41 G41 I41" xr:uid="{00000000-0002-0000-2500-000010000000}">
      <formula1>办公层高</formula1>
    </dataValidation>
    <dataValidation type="list" allowBlank="1" showInputMessage="1" showErrorMessage="1" sqref="C43 E43 G43 I43" xr:uid="{00000000-0002-0000-2500-000011000000}">
      <formula1>办公内部装修</formula1>
    </dataValidation>
    <dataValidation type="list" allowBlank="1" showInputMessage="1" showErrorMessage="1" sqref="C8 E8 G8 I8" xr:uid="{00000000-0002-0000-2500-000012000000}">
      <formula1>办公交易情况</formula1>
    </dataValidation>
    <dataValidation type="list" allowBlank="1" showInputMessage="1" showErrorMessage="1" sqref="C22 E22 G22 I22" xr:uid="{00000000-0002-0000-2500-000013000000}">
      <formula1>基础设施水平</formula1>
    </dataValidation>
    <dataValidation type="list" allowBlank="1" showInputMessage="1" showErrorMessage="1" sqref="F1" xr:uid="{00000000-0002-0000-2500-000014000000}">
      <formula1>"售价,租金"</formula1>
    </dataValidation>
    <dataValidation type="list" allowBlank="1" showInputMessage="1" showErrorMessage="1" sqref="D49" xr:uid="{00000000-0002-0000-25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728</v>
      </c>
      <c r="C1" s="455" t="s">
        <v>667</v>
      </c>
      <c r="D1" s="783"/>
      <c r="E1" s="457"/>
      <c r="F1" s="2118"/>
      <c r="G1" s="1328" t="s">
        <v>668</v>
      </c>
      <c r="H1" s="457"/>
      <c r="I1" s="457"/>
      <c r="J1" s="457"/>
      <c r="K1" s="458"/>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427</v>
      </c>
      <c r="B2" s="784" t="e">
        <f>ROUND(B3*D3/10000,0)</f>
        <v>#DIV/0!</v>
      </c>
      <c r="C2" s="1735"/>
      <c r="D2" s="1735"/>
      <c r="E2" s="1736"/>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468</v>
      </c>
      <c r="B3" s="461" t="e">
        <f>C43</f>
        <v>#DIV/0!</v>
      </c>
      <c r="C3" s="786" t="s">
        <v>669</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20"/>
      <c r="AC3" s="1674"/>
    </row>
    <row r="4" spans="1:29" ht="15">
      <c r="A4" s="463" t="s">
        <v>470</v>
      </c>
      <c r="B4" s="464"/>
      <c r="C4" s="3602" t="s">
        <v>471</v>
      </c>
      <c r="D4" s="3603"/>
      <c r="E4" s="3628" t="s">
        <v>472</v>
      </c>
      <c r="F4" s="3629"/>
      <c r="G4" s="3602" t="s">
        <v>473</v>
      </c>
      <c r="H4" s="3603"/>
      <c r="I4" s="3602" t="s">
        <v>474</v>
      </c>
      <c r="J4" s="3603"/>
      <c r="K4" s="465" t="s">
        <v>475</v>
      </c>
      <c r="L4" s="1741"/>
      <c r="M4" s="1742"/>
      <c r="N4" s="1742"/>
      <c r="O4" s="1742"/>
      <c r="P4" s="3604" t="s">
        <v>476</v>
      </c>
      <c r="Q4" s="3605"/>
      <c r="R4" s="3588" t="s">
        <v>472</v>
      </c>
      <c r="S4" s="3589"/>
      <c r="T4" s="3588" t="s">
        <v>473</v>
      </c>
      <c r="U4" s="3589"/>
      <c r="V4" s="3610" t="s">
        <v>474</v>
      </c>
      <c r="W4" s="3610"/>
      <c r="X4" s="1302"/>
      <c r="Y4" s="3588" t="s">
        <v>476</v>
      </c>
      <c r="Z4" s="3589"/>
      <c r="AA4" s="3583" t="s">
        <v>472</v>
      </c>
      <c r="AB4" s="3584" t="s">
        <v>473</v>
      </c>
      <c r="AC4" s="3583" t="s">
        <v>474</v>
      </c>
    </row>
    <row r="5" spans="1:29" ht="15">
      <c r="A5" s="466"/>
      <c r="B5" s="467"/>
      <c r="C5" s="3613" t="s">
        <v>2187</v>
      </c>
      <c r="D5" s="3614"/>
      <c r="E5" s="3630" t="s">
        <v>2188</v>
      </c>
      <c r="F5" s="3631"/>
      <c r="G5" s="3613" t="s">
        <v>2189</v>
      </c>
      <c r="H5" s="3614"/>
      <c r="I5" s="3613" t="s">
        <v>2190</v>
      </c>
      <c r="J5" s="3614"/>
      <c r="K5" s="465"/>
      <c r="L5" s="1741"/>
      <c r="M5" s="1742"/>
      <c r="N5" s="1742"/>
      <c r="O5" s="1742"/>
      <c r="P5" s="3606"/>
      <c r="Q5" s="3607"/>
      <c r="R5" s="3590"/>
      <c r="S5" s="3591"/>
      <c r="T5" s="3590"/>
      <c r="U5" s="3591"/>
      <c r="V5" s="3610"/>
      <c r="W5" s="3610"/>
      <c r="X5" s="1302"/>
      <c r="Y5" s="3590"/>
      <c r="Z5" s="3591"/>
      <c r="AA5" s="3584"/>
      <c r="AB5" s="3584"/>
      <c r="AC5" s="3584"/>
    </row>
    <row r="6" spans="1:29" ht="15.75" thickBot="1">
      <c r="A6" s="468"/>
      <c r="B6" s="469"/>
      <c r="C6" s="3611" t="s">
        <v>2191</v>
      </c>
      <c r="D6" s="3612"/>
      <c r="E6" s="3632" t="s">
        <v>2191</v>
      </c>
      <c r="F6" s="3633"/>
      <c r="G6" s="3611" t="s">
        <v>2191</v>
      </c>
      <c r="H6" s="3612"/>
      <c r="I6" s="3611" t="s">
        <v>2191</v>
      </c>
      <c r="J6" s="3612"/>
      <c r="K6" s="465" t="s">
        <v>477</v>
      </c>
      <c r="L6" s="1741"/>
      <c r="M6" s="1742"/>
      <c r="N6" s="1742"/>
      <c r="O6" s="1742"/>
      <c r="P6" s="3608"/>
      <c r="Q6" s="3609"/>
      <c r="R6" s="3590"/>
      <c r="S6" s="3591"/>
      <c r="T6" s="3592"/>
      <c r="U6" s="3593"/>
      <c r="V6" s="3610"/>
      <c r="W6" s="3610"/>
      <c r="X6" s="1302"/>
      <c r="Y6" s="3592"/>
      <c r="Z6" s="3593"/>
      <c r="AA6" s="3585"/>
      <c r="AB6" s="3585"/>
      <c r="AC6" s="3585"/>
    </row>
    <row r="7" spans="1:29" s="1059" customFormat="1" ht="15.75" thickBot="1">
      <c r="A7" s="2209"/>
      <c r="B7" s="2216" t="s">
        <v>478</v>
      </c>
      <c r="C7" s="470">
        <f>'数据-取费表'!B2</f>
        <v>45057</v>
      </c>
      <c r="D7" s="471">
        <v>100</v>
      </c>
      <c r="E7" s="472"/>
      <c r="F7" s="473">
        <f>SUMIF(52:52,YEAR(E7)&amp;"-"&amp;MONTH(E7),53:53)</f>
        <v>0</v>
      </c>
      <c r="G7" s="472"/>
      <c r="H7" s="471">
        <f>SUMIF(52:52,YEAR(G7)&amp;"-"&amp;MONTH(G7),53:53)</f>
        <v>0</v>
      </c>
      <c r="I7" s="472"/>
      <c r="J7" s="471">
        <f>SUMIF(52:52,YEAR(I7)&amp;"-"&amp;MONTH(I7),53:53)</f>
        <v>0</v>
      </c>
      <c r="K7" s="88"/>
      <c r="L7" s="1743"/>
      <c r="M7" s="1640"/>
      <c r="N7" s="1640"/>
      <c r="O7" s="1640"/>
      <c r="P7" s="3586" t="s">
        <v>479</v>
      </c>
      <c r="Q7" s="3595"/>
      <c r="R7" s="1303" t="s">
        <v>5</v>
      </c>
      <c r="S7" s="1304">
        <f t="shared" ref="S7:S15" si="0">F7</f>
        <v>0</v>
      </c>
      <c r="T7" s="1303" t="s">
        <v>5</v>
      </c>
      <c r="U7" s="1304">
        <f t="shared" ref="U7:U15" si="1">H7</f>
        <v>0</v>
      </c>
      <c r="V7" s="1303" t="s">
        <v>5</v>
      </c>
      <c r="W7" s="1304">
        <f t="shared" ref="W7:W15" si="2">J7</f>
        <v>0</v>
      </c>
      <c r="X7" s="1305"/>
      <c r="Y7" s="3586" t="s">
        <v>479</v>
      </c>
      <c r="Z7" s="3587"/>
      <c r="AA7" s="996" t="e">
        <f>D7/F7</f>
        <v>#DIV/0!</v>
      </c>
      <c r="AB7" s="996" t="e">
        <f>D7/H7</f>
        <v>#DIV/0!</v>
      </c>
      <c r="AC7" s="996" t="e">
        <f>D7/J7</f>
        <v>#DIV/0!</v>
      </c>
    </row>
    <row r="8" spans="1:29" s="1059" customFormat="1" ht="15.75" thickBot="1">
      <c r="A8" s="2210"/>
      <c r="B8" s="2217" t="s">
        <v>480</v>
      </c>
      <c r="C8" s="475" t="s">
        <v>524</v>
      </c>
      <c r="D8" s="471">
        <v>100</v>
      </c>
      <c r="E8" s="475"/>
      <c r="F8" s="473">
        <f>SUMIF(55:55,E8,56:56)-SUMIF(55:55,C8,56:56)+100</f>
        <v>0</v>
      </c>
      <c r="G8" s="475"/>
      <c r="H8" s="471">
        <f>SUMIF(55:55,G8,56:56)-SUMIF(55:55,C8,56:56)+100</f>
        <v>0</v>
      </c>
      <c r="I8" s="475"/>
      <c r="J8" s="471">
        <f>SUMIF(55:55,I8,56:56)-SUMIF(55:55,C8,56:56)+100</f>
        <v>0</v>
      </c>
      <c r="K8" s="88"/>
      <c r="L8" s="1743"/>
      <c r="M8" s="1640"/>
      <c r="N8" s="1640"/>
      <c r="O8" s="1640"/>
      <c r="P8" s="3586" t="s">
        <v>482</v>
      </c>
      <c r="Q8" s="3587"/>
      <c r="R8" s="1303" t="s">
        <v>5</v>
      </c>
      <c r="S8" s="1304">
        <f t="shared" si="0"/>
        <v>0</v>
      </c>
      <c r="T8" s="1303" t="s">
        <v>5</v>
      </c>
      <c r="U8" s="1304">
        <f t="shared" si="1"/>
        <v>0</v>
      </c>
      <c r="V8" s="1303" t="s">
        <v>5</v>
      </c>
      <c r="W8" s="1304">
        <f t="shared" si="2"/>
        <v>0</v>
      </c>
      <c r="X8" s="1305"/>
      <c r="Y8" s="3586" t="s">
        <v>482</v>
      </c>
      <c r="Z8" s="3587"/>
      <c r="AA8" s="996" t="e">
        <f t="shared" ref="AA8:AA40" si="3">D8/F8</f>
        <v>#DIV/0!</v>
      </c>
      <c r="AB8" s="996" t="e">
        <f t="shared" ref="AB8:AB40" si="4">D8/H8</f>
        <v>#DIV/0!</v>
      </c>
      <c r="AC8" s="996" t="e">
        <f t="shared" ref="AC8:AC40" si="5">D8/J8</f>
        <v>#DIV/0!</v>
      </c>
    </row>
    <row r="9" spans="1:29" s="1059" customFormat="1" ht="15">
      <c r="A9" s="2211"/>
      <c r="B9" s="2218" t="s">
        <v>2038</v>
      </c>
      <c r="C9" s="791"/>
      <c r="D9" s="154">
        <v>100</v>
      </c>
      <c r="E9" s="793"/>
      <c r="F9" s="154">
        <f>SUMIF(57:57,E9,58:58)-SUMIF(57:57,C9,58:58)+100</f>
        <v>100</v>
      </c>
      <c r="G9" s="792"/>
      <c r="H9" s="154">
        <f>SUMIF(57:57,G9,58:58)-SUMIF(57:57,C9,58:58)+100</f>
        <v>100</v>
      </c>
      <c r="I9" s="792"/>
      <c r="J9" s="154">
        <f>SUMIF(57:57,I9,58:58)-SUMIF(57:57,C9,58:58)+100</f>
        <v>100</v>
      </c>
      <c r="K9" s="88"/>
      <c r="L9" s="1743"/>
      <c r="M9" s="1640"/>
      <c r="N9" s="1640"/>
      <c r="O9" s="1744"/>
      <c r="P9" s="3594" t="s">
        <v>484</v>
      </c>
      <c r="Q9" s="818" t="str">
        <f t="shared" ref="Q9:Q15" si="6">B9</f>
        <v>用途</v>
      </c>
      <c r="R9" s="1303" t="s">
        <v>5</v>
      </c>
      <c r="S9" s="1304">
        <f t="shared" si="0"/>
        <v>100</v>
      </c>
      <c r="T9" s="1303" t="s">
        <v>5</v>
      </c>
      <c r="U9" s="1304">
        <f t="shared" si="1"/>
        <v>100</v>
      </c>
      <c r="V9" s="1303" t="s">
        <v>5</v>
      </c>
      <c r="W9" s="1304">
        <f t="shared" si="2"/>
        <v>100</v>
      </c>
      <c r="X9" s="1305"/>
      <c r="Y9" s="3546" t="s">
        <v>485</v>
      </c>
      <c r="Z9" s="996" t="str">
        <f t="shared" ref="Z9:Z15" si="7">Q9</f>
        <v>用途</v>
      </c>
      <c r="AA9" s="996">
        <f t="shared" si="3"/>
        <v>1</v>
      </c>
      <c r="AB9" s="996">
        <f t="shared" si="4"/>
        <v>1</v>
      </c>
      <c r="AC9" s="996">
        <f t="shared" si="5"/>
        <v>1</v>
      </c>
    </row>
    <row r="10" spans="1:29" s="1132" customFormat="1" ht="27">
      <c r="A10" s="2212"/>
      <c r="B10" s="2217" t="s">
        <v>2039</v>
      </c>
      <c r="C10" s="3387"/>
      <c r="D10" s="235">
        <v>100</v>
      </c>
      <c r="E10" s="3387"/>
      <c r="F10" s="235">
        <f>SUMIF(59:59,E10,60:60)-SUMIF(59:59,C10,60:60)+100</f>
        <v>100</v>
      </c>
      <c r="G10" s="3388"/>
      <c r="H10" s="235">
        <f>SUMIF(59:59,G10,60:60)-SUMIF(59:59,C10,60:60)+100</f>
        <v>100</v>
      </c>
      <c r="I10" s="3387"/>
      <c r="J10" s="235">
        <f>SUMIF(59:59,I10,60:60)-SUMIF(59:59,C10,60:60)+100</f>
        <v>100</v>
      </c>
      <c r="K10" s="88"/>
      <c r="L10" s="1745"/>
      <c r="M10" s="1778"/>
      <c r="N10" s="1778"/>
      <c r="O10" s="1746"/>
      <c r="P10" s="3594"/>
      <c r="Q10" s="818" t="str">
        <f t="shared" si="6"/>
        <v>土地使用年限（年）</v>
      </c>
      <c r="R10" s="1303" t="s">
        <v>5</v>
      </c>
      <c r="S10" s="1304">
        <f t="shared" si="0"/>
        <v>100</v>
      </c>
      <c r="T10" s="1303" t="s">
        <v>5</v>
      </c>
      <c r="U10" s="1304">
        <f t="shared" si="1"/>
        <v>100</v>
      </c>
      <c r="V10" s="1303" t="s">
        <v>5</v>
      </c>
      <c r="W10" s="1304">
        <f t="shared" si="2"/>
        <v>100</v>
      </c>
      <c r="X10" s="1305"/>
      <c r="Y10" s="3546"/>
      <c r="Z10" s="996" t="str">
        <f t="shared" si="7"/>
        <v>土地使用年限（年）</v>
      </c>
      <c r="AA10" s="996">
        <f t="shared" si="3"/>
        <v>1</v>
      </c>
      <c r="AB10" s="996">
        <f t="shared" si="4"/>
        <v>1</v>
      </c>
      <c r="AC10" s="996">
        <f t="shared" si="5"/>
        <v>1</v>
      </c>
    </row>
    <row r="11" spans="1:29" ht="15">
      <c r="A11" s="2213"/>
      <c r="B11" s="2217"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7"/>
      <c r="M11" s="1742"/>
      <c r="N11" s="1742"/>
      <c r="O11" s="1748"/>
      <c r="P11" s="3594"/>
      <c r="Q11" s="818" t="str">
        <f t="shared" si="6"/>
        <v>容积率</v>
      </c>
      <c r="R11" s="1303" t="s">
        <v>5</v>
      </c>
      <c r="S11" s="1304" t="e">
        <f t="shared" si="0"/>
        <v>#N/A</v>
      </c>
      <c r="T11" s="1303" t="s">
        <v>5</v>
      </c>
      <c r="U11" s="1304" t="e">
        <f t="shared" si="1"/>
        <v>#N/A</v>
      </c>
      <c r="V11" s="1303" t="s">
        <v>5</v>
      </c>
      <c r="W11" s="1304" t="e">
        <f t="shared" si="2"/>
        <v>#N/A</v>
      </c>
      <c r="X11" s="1305"/>
      <c r="Y11" s="3546"/>
      <c r="Z11" s="996" t="str">
        <f t="shared" si="7"/>
        <v>容积率</v>
      </c>
      <c r="AA11" s="996" t="e">
        <f t="shared" si="3"/>
        <v>#N/A</v>
      </c>
      <c r="AB11" s="996" t="e">
        <f t="shared" si="4"/>
        <v>#N/A</v>
      </c>
      <c r="AC11" s="996" t="e">
        <f t="shared" si="5"/>
        <v>#N/A</v>
      </c>
    </row>
    <row r="12" spans="1:29" s="1059" customFormat="1" ht="15">
      <c r="A12" s="2214"/>
      <c r="B12" s="2220">
        <v>111</v>
      </c>
      <c r="C12" s="478"/>
      <c r="D12" s="488">
        <v>100</v>
      </c>
      <c r="E12" s="489"/>
      <c r="F12" s="235">
        <f>SUMIF(64:64,E12,65:65)-SUMIF(64:64,C12,65:65)+100</f>
        <v>100</v>
      </c>
      <c r="G12" s="841"/>
      <c r="H12" s="235">
        <f>SUMIF(64:64,G12,65:65)-SUMIF(64:64,C12,65:65)+100</f>
        <v>100</v>
      </c>
      <c r="I12" s="806"/>
      <c r="J12" s="235">
        <f>SUMIF(64:64,I12,65:65)-SUMIF(64:64,C12,65:65)+100</f>
        <v>100</v>
      </c>
      <c r="K12" s="531"/>
      <c r="L12" s="1743"/>
      <c r="M12" s="1640"/>
      <c r="N12" s="1640"/>
      <c r="O12" s="1744"/>
      <c r="P12" s="3594"/>
      <c r="Q12" s="818">
        <f t="shared" si="6"/>
        <v>111</v>
      </c>
      <c r="R12" s="1303" t="s">
        <v>5</v>
      </c>
      <c r="S12" s="1304">
        <f t="shared" si="0"/>
        <v>100</v>
      </c>
      <c r="T12" s="1303" t="s">
        <v>5</v>
      </c>
      <c r="U12" s="1304">
        <f t="shared" si="1"/>
        <v>100</v>
      </c>
      <c r="V12" s="1303" t="s">
        <v>5</v>
      </c>
      <c r="W12" s="1304">
        <f t="shared" si="2"/>
        <v>100</v>
      </c>
      <c r="X12" s="1305"/>
      <c r="Y12" s="3546"/>
      <c r="Z12" s="996">
        <f t="shared" si="7"/>
        <v>111</v>
      </c>
      <c r="AA12" s="996">
        <f>D12/F12</f>
        <v>1</v>
      </c>
      <c r="AB12" s="996">
        <f>D12/H12</f>
        <v>1</v>
      </c>
      <c r="AC12" s="996">
        <f>D12/J12</f>
        <v>1</v>
      </c>
    </row>
    <row r="13" spans="1:29" ht="15">
      <c r="A13" s="2214"/>
      <c r="B13" s="2220">
        <v>111</v>
      </c>
      <c r="C13" s="489"/>
      <c r="D13" s="490">
        <v>100</v>
      </c>
      <c r="E13" s="489"/>
      <c r="F13" s="235">
        <f>SUMIF(66:66,E13,67:67)-SUMIF(66:66,C13,67:67)+100</f>
        <v>100</v>
      </c>
      <c r="G13" s="841"/>
      <c r="H13" s="490">
        <f>SUMIF(66:66,G13,67:67)-SUMIF(66:66,C13,67:67)+100</f>
        <v>100</v>
      </c>
      <c r="I13" s="806"/>
      <c r="J13" s="490">
        <f>SUMIF(66:66,I13,67:67)-SUMIF(66:66,C13,67:67)+100</f>
        <v>100</v>
      </c>
      <c r="K13" s="531"/>
      <c r="L13" s="1749"/>
      <c r="M13" s="1742"/>
      <c r="N13" s="1742"/>
      <c r="O13" s="1748"/>
      <c r="P13" s="3594"/>
      <c r="Q13" s="818">
        <f t="shared" si="6"/>
        <v>111</v>
      </c>
      <c r="R13" s="1303" t="s">
        <v>5</v>
      </c>
      <c r="S13" s="1304">
        <f t="shared" si="0"/>
        <v>100</v>
      </c>
      <c r="T13" s="1303" t="s">
        <v>5</v>
      </c>
      <c r="U13" s="1304">
        <f t="shared" si="1"/>
        <v>100</v>
      </c>
      <c r="V13" s="1303" t="s">
        <v>5</v>
      </c>
      <c r="W13" s="1304">
        <f t="shared" si="2"/>
        <v>100</v>
      </c>
      <c r="X13" s="1305"/>
      <c r="Y13" s="3546"/>
      <c r="Z13" s="996">
        <f t="shared" si="7"/>
        <v>111</v>
      </c>
      <c r="AA13" s="996">
        <f t="shared" si="3"/>
        <v>1</v>
      </c>
      <c r="AB13" s="996">
        <f t="shared" si="4"/>
        <v>1</v>
      </c>
      <c r="AC13" s="996">
        <f t="shared" si="5"/>
        <v>1</v>
      </c>
    </row>
    <row r="14" spans="1:29" ht="15.75" thickBot="1">
      <c r="A14" s="2215"/>
      <c r="B14" s="2221">
        <v>111</v>
      </c>
      <c r="C14" s="495"/>
      <c r="D14" s="496">
        <v>100</v>
      </c>
      <c r="E14" s="495"/>
      <c r="F14" s="496">
        <f>SUMIF(68:68,E14,69:69)-SUMIF(68:68,C14,69:69)+100</f>
        <v>100</v>
      </c>
      <c r="G14" s="841"/>
      <c r="H14" s="496">
        <f>SUMIF(68:68,G14,69:69)-SUMIF(68:68,C14,69:69)+100</f>
        <v>100</v>
      </c>
      <c r="I14" s="806"/>
      <c r="J14" s="496">
        <f>SUMIF(68:68,I14,69:69)-SUMIF(68:68,C14,69:69)+100</f>
        <v>100</v>
      </c>
      <c r="K14" s="531"/>
      <c r="L14" s="1749"/>
      <c r="M14" s="1742"/>
      <c r="N14" s="1742"/>
      <c r="O14" s="1748"/>
      <c r="P14" s="3594"/>
      <c r="Q14" s="818">
        <f t="shared" si="6"/>
        <v>111</v>
      </c>
      <c r="R14" s="1303" t="s">
        <v>5</v>
      </c>
      <c r="S14" s="1304">
        <f t="shared" si="0"/>
        <v>100</v>
      </c>
      <c r="T14" s="1303" t="s">
        <v>5</v>
      </c>
      <c r="U14" s="1304">
        <f t="shared" si="1"/>
        <v>100</v>
      </c>
      <c r="V14" s="1303" t="s">
        <v>5</v>
      </c>
      <c r="W14" s="1304">
        <f t="shared" si="2"/>
        <v>100</v>
      </c>
      <c r="X14" s="1305"/>
      <c r="Y14" s="3546"/>
      <c r="Z14" s="996">
        <f t="shared" si="7"/>
        <v>111</v>
      </c>
      <c r="AA14" s="996">
        <f t="shared" si="3"/>
        <v>1</v>
      </c>
      <c r="AB14" s="996">
        <f t="shared" si="4"/>
        <v>1</v>
      </c>
      <c r="AC14" s="996">
        <f t="shared" si="5"/>
        <v>1</v>
      </c>
    </row>
    <row r="15" spans="1:29" ht="71.25">
      <c r="A15" s="2207" t="s">
        <v>2036</v>
      </c>
      <c r="B15" s="150" t="s">
        <v>729</v>
      </c>
      <c r="C15" s="842" t="str">
        <f>估价对象房地状况!G3</f>
        <v>估价对象位于XX开发区，园区建设成熟度XX，产业集聚程度XX</v>
      </c>
      <c r="D15" s="499">
        <v>100</v>
      </c>
      <c r="E15" s="500"/>
      <c r="F15" s="501">
        <f>SUMIF(70:70,E16,71:71)-SUMIF(70:70,C16,71:71)+100</f>
        <v>100</v>
      </c>
      <c r="G15" s="502"/>
      <c r="H15" s="499">
        <f>SUMIF(70:70,G16,71:71)-SUMIF(70:70,C16,71:71)+100</f>
        <v>100</v>
      </c>
      <c r="I15" s="500"/>
      <c r="J15" s="499">
        <f>SUMIF(70:70,I16,71:71)-SUMIF(70:70,C16,71:71)+100</f>
        <v>100</v>
      </c>
      <c r="K15" s="822"/>
      <c r="L15" s="1749"/>
      <c r="M15" s="1742"/>
      <c r="N15" s="1742"/>
      <c r="O15" s="1748"/>
      <c r="P15" s="3596" t="s">
        <v>489</v>
      </c>
      <c r="Q15" s="1306" t="str">
        <f t="shared" si="6"/>
        <v>产业集聚程度</v>
      </c>
      <c r="R15" s="1307" t="s">
        <v>5</v>
      </c>
      <c r="S15" s="1308">
        <f t="shared" si="0"/>
        <v>100</v>
      </c>
      <c r="T15" s="1307" t="s">
        <v>5</v>
      </c>
      <c r="U15" s="1308">
        <f t="shared" si="1"/>
        <v>100</v>
      </c>
      <c r="V15" s="1307" t="s">
        <v>5</v>
      </c>
      <c r="W15" s="1308">
        <f t="shared" si="2"/>
        <v>100</v>
      </c>
      <c r="X15" s="1302"/>
      <c r="Y15" s="3596" t="s">
        <v>489</v>
      </c>
      <c r="Z15" s="1309" t="str">
        <f t="shared" si="7"/>
        <v>产业集聚程度</v>
      </c>
      <c r="AA15" s="1309">
        <f t="shared" si="3"/>
        <v>1</v>
      </c>
      <c r="AB15" s="1309">
        <f t="shared" si="4"/>
        <v>1</v>
      </c>
      <c r="AC15" s="1309">
        <f t="shared" si="5"/>
        <v>1</v>
      </c>
    </row>
    <row r="16" spans="1:29" ht="15">
      <c r="A16" s="482"/>
      <c r="B16" s="799"/>
      <c r="C16" s="526"/>
      <c r="D16" s="505"/>
      <c r="E16" s="526"/>
      <c r="F16" s="507"/>
      <c r="G16" s="526"/>
      <c r="H16" s="509"/>
      <c r="I16" s="526"/>
      <c r="J16" s="505"/>
      <c r="K16" s="823"/>
      <c r="L16" s="1749"/>
      <c r="M16" s="1742"/>
      <c r="N16" s="1742"/>
      <c r="O16" s="1748"/>
      <c r="P16" s="3597"/>
      <c r="Q16" s="1306"/>
      <c r="R16" s="1307"/>
      <c r="S16" s="1308"/>
      <c r="T16" s="1307"/>
      <c r="U16" s="1308"/>
      <c r="V16" s="1307"/>
      <c r="W16" s="1308"/>
      <c r="X16" s="1302"/>
      <c r="Y16" s="3597"/>
      <c r="Z16" s="1309"/>
      <c r="AA16" s="1309">
        <v>1</v>
      </c>
      <c r="AB16" s="1309">
        <v>1</v>
      </c>
      <c r="AC16" s="1309">
        <v>1</v>
      </c>
    </row>
    <row r="17" spans="1:29" ht="85.5">
      <c r="A17" s="482"/>
      <c r="B17" s="677" t="s">
        <v>262</v>
      </c>
      <c r="C17" s="801" t="str">
        <f>估价对象房地状况!G4</f>
        <v>估价对象周边道路状况、公共交通通达情况、停车便捷程度，综合评价交通便捷度较好</v>
      </c>
      <c r="D17" s="509">
        <v>100</v>
      </c>
      <c r="E17" s="512"/>
      <c r="F17" s="513">
        <f>SUMIF(72:72,E18,73:73)-SUMIF(72:72,C18,73:73)+100</f>
        <v>100</v>
      </c>
      <c r="G17" s="514"/>
      <c r="H17" s="515">
        <f>SUMIF(72:72,G18,73:73)-SUMIF(72:72,C18,73:73)+100</f>
        <v>100</v>
      </c>
      <c r="I17" s="512"/>
      <c r="J17" s="515">
        <f>SUMIF(72:72,I18,73:73)-SUMIF(72:72,C18,73:73)+100</f>
        <v>100</v>
      </c>
      <c r="K17" s="822"/>
      <c r="L17" s="1749"/>
      <c r="M17" s="1742"/>
      <c r="N17" s="1742"/>
      <c r="O17" s="1748"/>
      <c r="P17" s="3597"/>
      <c r="Q17" s="1306" t="str">
        <f>B17</f>
        <v>交通便捷度</v>
      </c>
      <c r="R17" s="1307" t="s">
        <v>5</v>
      </c>
      <c r="S17" s="1308">
        <f>F17</f>
        <v>100</v>
      </c>
      <c r="T17" s="1307" t="s">
        <v>5</v>
      </c>
      <c r="U17" s="1308">
        <f>H17</f>
        <v>100</v>
      </c>
      <c r="V17" s="1307" t="s">
        <v>5</v>
      </c>
      <c r="W17" s="1308">
        <f>J17</f>
        <v>100</v>
      </c>
      <c r="X17" s="1302"/>
      <c r="Y17" s="3597"/>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3"/>
      <c r="L18" s="1749"/>
      <c r="M18" s="1742"/>
      <c r="N18" s="1742"/>
      <c r="O18" s="1748"/>
      <c r="P18" s="3597"/>
      <c r="Q18" s="1306"/>
      <c r="R18" s="1307"/>
      <c r="S18" s="1308"/>
      <c r="T18" s="1307"/>
      <c r="U18" s="1308"/>
      <c r="V18" s="1307"/>
      <c r="W18" s="1308"/>
      <c r="X18" s="1302"/>
      <c r="Y18" s="3597"/>
      <c r="Z18" s="1309"/>
      <c r="AA18" s="1309">
        <v>1</v>
      </c>
      <c r="AB18" s="1309">
        <v>1</v>
      </c>
      <c r="AC18" s="1309">
        <v>1</v>
      </c>
    </row>
    <row r="19" spans="1:29" ht="42.75">
      <c r="A19" s="482"/>
      <c r="B19" s="2062" t="s">
        <v>1829</v>
      </c>
      <c r="C19" s="801" t="str">
        <f>估价对象房地状况!G5</f>
        <v>估价对象所在区域公共配套设施齐备情况</v>
      </c>
      <c r="D19" s="515">
        <v>100</v>
      </c>
      <c r="E19" s="520"/>
      <c r="F19" s="521">
        <f>SUMIF(74:74,E20,75:75)-SUMIF(74:74,C20,75:75)+100</f>
        <v>100</v>
      </c>
      <c r="G19" s="522"/>
      <c r="H19" s="509">
        <f>SUMIF(74:74,G20,75:75)-SUMIF(74:74,C20,75:75)+100</f>
        <v>100</v>
      </c>
      <c r="I19" s="520"/>
      <c r="J19" s="509">
        <f>SUMIF(74:74,I20,75:75)-SUMIF(74:74,C20,75:75)+100</f>
        <v>100</v>
      </c>
      <c r="K19" s="822"/>
      <c r="L19" s="1749"/>
      <c r="M19" s="1742"/>
      <c r="N19" s="1742"/>
      <c r="O19" s="1748"/>
      <c r="P19" s="3597"/>
      <c r="Q19" s="1306" t="str">
        <f>B19</f>
        <v>公共配套设施</v>
      </c>
      <c r="R19" s="1307" t="s">
        <v>5</v>
      </c>
      <c r="S19" s="1308">
        <f>F19</f>
        <v>100</v>
      </c>
      <c r="T19" s="1307" t="s">
        <v>5</v>
      </c>
      <c r="U19" s="1308">
        <f>H19</f>
        <v>100</v>
      </c>
      <c r="V19" s="1307" t="s">
        <v>5</v>
      </c>
      <c r="W19" s="1308">
        <f>J19</f>
        <v>100</v>
      </c>
      <c r="X19" s="1302"/>
      <c r="Y19" s="3597"/>
      <c r="Z19" s="1309" t="str">
        <f>Q19</f>
        <v>公共配套设施</v>
      </c>
      <c r="AA19" s="1309">
        <f t="shared" si="3"/>
        <v>1</v>
      </c>
      <c r="AB19" s="1309">
        <f t="shared" si="4"/>
        <v>1</v>
      </c>
      <c r="AC19" s="1309">
        <f t="shared" si="5"/>
        <v>1</v>
      </c>
    </row>
    <row r="20" spans="1:29" ht="15">
      <c r="A20" s="482"/>
      <c r="B20" s="516"/>
      <c r="C20" s="526"/>
      <c r="D20" s="505"/>
      <c r="E20" s="506"/>
      <c r="F20" s="507"/>
      <c r="G20" s="508"/>
      <c r="H20" s="505"/>
      <c r="I20" s="506"/>
      <c r="J20" s="505"/>
      <c r="K20" s="823"/>
      <c r="L20" s="1749"/>
      <c r="M20" s="1742"/>
      <c r="N20" s="1742"/>
      <c r="O20" s="1748"/>
      <c r="P20" s="3597"/>
      <c r="Q20" s="1306"/>
      <c r="R20" s="1307"/>
      <c r="S20" s="1308"/>
      <c r="T20" s="1307"/>
      <c r="U20" s="1308"/>
      <c r="V20" s="1307"/>
      <c r="W20" s="1308"/>
      <c r="X20" s="1302"/>
      <c r="Y20" s="3597"/>
      <c r="Z20" s="1309"/>
      <c r="AA20" s="1309">
        <v>1</v>
      </c>
      <c r="AB20" s="1309">
        <v>1</v>
      </c>
      <c r="AC20" s="1309">
        <v>1</v>
      </c>
    </row>
    <row r="21" spans="1:29" ht="42.75">
      <c r="A21" s="482"/>
      <c r="B21" s="2050" t="s">
        <v>1841</v>
      </c>
      <c r="C21" s="801" t="str">
        <f>估价对象房地状况!G6</f>
        <v>估价对象所在区域基础设施水平</v>
      </c>
      <c r="D21" s="515">
        <v>100</v>
      </c>
      <c r="E21" s="522"/>
      <c r="F21" s="521">
        <f>SUMIF(76:76,E22,77:77)-SUMIF(76:76,C22,77:77)+100</f>
        <v>100</v>
      </c>
      <c r="G21" s="522"/>
      <c r="H21" s="515">
        <f>SUMIF(76:76,G22,77:77)-SUMIF(76:76,C22,77:77)+100</f>
        <v>100</v>
      </c>
      <c r="I21" s="520"/>
      <c r="J21" s="515">
        <f>SUMIF(76:76,I22,77:77)-SUMIF(76:76,C22,77:77)+100</f>
        <v>100</v>
      </c>
      <c r="K21" s="822"/>
      <c r="L21" s="1749"/>
      <c r="M21" s="1742"/>
      <c r="N21" s="1742"/>
      <c r="O21" s="1748"/>
      <c r="P21" s="3597"/>
      <c r="Q21" s="1306" t="str">
        <f>B21</f>
        <v>基础设施水平</v>
      </c>
      <c r="R21" s="1307" t="s">
        <v>5</v>
      </c>
      <c r="S21" s="1308">
        <f>F21</f>
        <v>100</v>
      </c>
      <c r="T21" s="1307" t="s">
        <v>5</v>
      </c>
      <c r="U21" s="1308">
        <f>H21</f>
        <v>100</v>
      </c>
      <c r="V21" s="1307" t="s">
        <v>5</v>
      </c>
      <c r="W21" s="1308">
        <f>J21</f>
        <v>100</v>
      </c>
      <c r="X21" s="1302"/>
      <c r="Y21" s="3597"/>
      <c r="Z21" s="1309" t="str">
        <f>Q21</f>
        <v>基础设施水平</v>
      </c>
      <c r="AA21" s="1309">
        <f>D21/F21</f>
        <v>1</v>
      </c>
      <c r="AB21" s="1309">
        <f>D21/H21</f>
        <v>1</v>
      </c>
      <c r="AC21" s="1309">
        <f>D21/J21</f>
        <v>1</v>
      </c>
    </row>
    <row r="22" spans="1:29" ht="15">
      <c r="A22" s="482"/>
      <c r="B22" s="528"/>
      <c r="C22" s="802"/>
      <c r="D22" s="505"/>
      <c r="E22" s="526"/>
      <c r="F22" s="507"/>
      <c r="G22" s="526"/>
      <c r="H22" s="505"/>
      <c r="I22" s="526"/>
      <c r="J22" s="505"/>
      <c r="K22" s="2061"/>
      <c r="L22" s="1749"/>
      <c r="M22" s="1742"/>
      <c r="N22" s="1742"/>
      <c r="O22" s="1748"/>
      <c r="P22" s="3597"/>
      <c r="Q22" s="1306"/>
      <c r="R22" s="1307"/>
      <c r="S22" s="1308"/>
      <c r="T22" s="1307"/>
      <c r="U22" s="1308"/>
      <c r="V22" s="1307"/>
      <c r="W22" s="1308"/>
      <c r="X22" s="1302"/>
      <c r="Y22" s="3597"/>
      <c r="Z22" s="1309"/>
      <c r="AA22" s="1309">
        <v>1</v>
      </c>
      <c r="AB22" s="1309">
        <v>1</v>
      </c>
      <c r="AC22" s="1309">
        <v>1</v>
      </c>
    </row>
    <row r="23" spans="1:29" ht="71.25">
      <c r="A23" s="482"/>
      <c r="B23" s="677" t="s">
        <v>718</v>
      </c>
      <c r="C23" s="801" t="str">
        <f>估价对象房地状况!G7</f>
        <v>该园区内是否有污染型企业，绿化情况，卫生条件，整体环境状况判断</v>
      </c>
      <c r="D23" s="509">
        <v>100</v>
      </c>
      <c r="E23" s="512"/>
      <c r="F23" s="513">
        <f>SUMIF(78:78,E24,79:79)-SUMIF(78:78,C24,79:79)+100</f>
        <v>100</v>
      </c>
      <c r="G23" s="514"/>
      <c r="H23" s="509">
        <f>SUMIF(78:78,G24,79:79)-SUMIF(78:78,C24,79:79)+100</f>
        <v>100</v>
      </c>
      <c r="I23" s="512"/>
      <c r="J23" s="509">
        <f>SUMIF(78:78,I24,79:79)-SUMIF(78:78,C24,79:79)+100</f>
        <v>100</v>
      </c>
      <c r="K23" s="822"/>
      <c r="L23" s="1749"/>
      <c r="M23" s="1742"/>
      <c r="N23" s="1742"/>
      <c r="O23" s="1748"/>
      <c r="P23" s="3597"/>
      <c r="Q23" s="1306" t="str">
        <f>B23</f>
        <v>环境质量</v>
      </c>
      <c r="R23" s="1307" t="s">
        <v>5</v>
      </c>
      <c r="S23" s="1308">
        <f>F23</f>
        <v>100</v>
      </c>
      <c r="T23" s="1307" t="s">
        <v>5</v>
      </c>
      <c r="U23" s="1308">
        <f>H23</f>
        <v>100</v>
      </c>
      <c r="V23" s="1307" t="s">
        <v>5</v>
      </c>
      <c r="W23" s="1308">
        <f>J23</f>
        <v>100</v>
      </c>
      <c r="X23" s="1302"/>
      <c r="Y23" s="3597"/>
      <c r="Z23" s="1309" t="str">
        <f>Q23</f>
        <v>环境质量</v>
      </c>
      <c r="AA23" s="1309">
        <f t="shared" si="3"/>
        <v>1</v>
      </c>
      <c r="AB23" s="1309">
        <f t="shared" si="4"/>
        <v>1</v>
      </c>
      <c r="AC23" s="1309">
        <f t="shared" si="5"/>
        <v>1</v>
      </c>
    </row>
    <row r="24" spans="1:29" ht="15">
      <c r="A24" s="482"/>
      <c r="B24" s="843"/>
      <c r="C24" s="526"/>
      <c r="D24" s="505"/>
      <c r="E24" s="506"/>
      <c r="F24" s="507"/>
      <c r="G24" s="508"/>
      <c r="H24" s="505"/>
      <c r="I24" s="506"/>
      <c r="J24" s="505"/>
      <c r="K24" s="823"/>
      <c r="L24" s="1749"/>
      <c r="M24" s="1742"/>
      <c r="N24" s="1742"/>
      <c r="O24" s="1748"/>
      <c r="P24" s="3597"/>
      <c r="Q24" s="1306"/>
      <c r="R24" s="1307"/>
      <c r="S24" s="1308"/>
      <c r="T24" s="1307"/>
      <c r="U24" s="1308"/>
      <c r="V24" s="1307"/>
      <c r="W24" s="1308"/>
      <c r="X24" s="1302"/>
      <c r="Y24" s="3597"/>
      <c r="Z24" s="1309"/>
      <c r="AA24" s="1309">
        <v>1</v>
      </c>
      <c r="AB24" s="1309">
        <v>1</v>
      </c>
      <c r="AC24" s="1309">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9"/>
      <c r="M25" s="1742"/>
      <c r="N25" s="1742"/>
      <c r="O25" s="1748"/>
      <c r="P25" s="3597"/>
      <c r="Q25" s="1306">
        <f>B25</f>
        <v>111</v>
      </c>
      <c r="R25" s="1307" t="s">
        <v>5</v>
      </c>
      <c r="S25" s="1308">
        <f>F25</f>
        <v>100</v>
      </c>
      <c r="T25" s="1307" t="s">
        <v>5</v>
      </c>
      <c r="U25" s="1308">
        <f>H25</f>
        <v>100</v>
      </c>
      <c r="V25" s="1307" t="s">
        <v>5</v>
      </c>
      <c r="W25" s="1308">
        <f>J25</f>
        <v>100</v>
      </c>
      <c r="X25" s="1302"/>
      <c r="Y25" s="3597"/>
      <c r="Z25" s="1309">
        <f>Q25</f>
        <v>111</v>
      </c>
      <c r="AA25" s="1309">
        <f t="shared" si="3"/>
        <v>1</v>
      </c>
      <c r="AB25" s="1309">
        <f t="shared" si="4"/>
        <v>1</v>
      </c>
      <c r="AC25" s="1309">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9"/>
      <c r="M26" s="1742"/>
      <c r="N26" s="1742"/>
      <c r="O26" s="1748"/>
      <c r="P26" s="3597"/>
      <c r="Q26" s="1306">
        <f t="shared" ref="Q26:Q40" si="8">B26</f>
        <v>111</v>
      </c>
      <c r="R26" s="1307" t="s">
        <v>5</v>
      </c>
      <c r="S26" s="1308">
        <f>F26</f>
        <v>100</v>
      </c>
      <c r="T26" s="1307" t="s">
        <v>5</v>
      </c>
      <c r="U26" s="1308">
        <f>H26</f>
        <v>100</v>
      </c>
      <c r="V26" s="1307" t="s">
        <v>5</v>
      </c>
      <c r="W26" s="1308">
        <f>J26</f>
        <v>100</v>
      </c>
      <c r="X26" s="1302"/>
      <c r="Y26" s="3597"/>
      <c r="Z26" s="1309">
        <f>Q26</f>
        <v>111</v>
      </c>
      <c r="AA26" s="1309">
        <f t="shared" si="3"/>
        <v>1</v>
      </c>
      <c r="AB26" s="1309">
        <f t="shared" si="4"/>
        <v>1</v>
      </c>
      <c r="AC26" s="1309">
        <f t="shared" si="5"/>
        <v>1</v>
      </c>
    </row>
    <row r="27" spans="1:29" s="1059"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3"/>
      <c r="M27" s="1640"/>
      <c r="N27" s="1640"/>
      <c r="O27" s="1744"/>
      <c r="P27" s="3597"/>
      <c r="Q27" s="818">
        <f t="shared" si="8"/>
        <v>111</v>
      </c>
      <c r="R27" s="1303" t="s">
        <v>5</v>
      </c>
      <c r="S27" s="1304">
        <f>F27</f>
        <v>100</v>
      </c>
      <c r="T27" s="1303" t="s">
        <v>5</v>
      </c>
      <c r="U27" s="1304">
        <f>H27</f>
        <v>100</v>
      </c>
      <c r="V27" s="1303" t="s">
        <v>5</v>
      </c>
      <c r="W27" s="1304">
        <f>J27</f>
        <v>100</v>
      </c>
      <c r="X27" s="1305"/>
      <c r="Y27" s="3597"/>
      <c r="Z27" s="996">
        <f>Q27</f>
        <v>111</v>
      </c>
      <c r="AA27" s="1309">
        <f>D27/F27</f>
        <v>1</v>
      </c>
      <c r="AB27" s="1309">
        <f>D27/H27</f>
        <v>1</v>
      </c>
      <c r="AC27" s="1309">
        <f>D27/J27</f>
        <v>1</v>
      </c>
    </row>
    <row r="28" spans="1:29" ht="15.75"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49"/>
      <c r="M28" s="1742"/>
      <c r="N28" s="1742"/>
      <c r="O28" s="1748"/>
      <c r="P28" s="3597"/>
      <c r="Q28" s="1306">
        <f t="shared" si="8"/>
        <v>111</v>
      </c>
      <c r="R28" s="1307" t="s">
        <v>5</v>
      </c>
      <c r="S28" s="1308">
        <f t="shared" ref="S28:S40" si="9">F28</f>
        <v>100</v>
      </c>
      <c r="T28" s="1307" t="s">
        <v>5</v>
      </c>
      <c r="U28" s="1308">
        <f t="shared" ref="U28:U40" si="10">H28</f>
        <v>100</v>
      </c>
      <c r="V28" s="1307" t="s">
        <v>5</v>
      </c>
      <c r="W28" s="1308">
        <f t="shared" ref="W28:W40" si="11">J28</f>
        <v>100</v>
      </c>
      <c r="X28" s="1302"/>
      <c r="Y28" s="3597"/>
      <c r="Z28" s="1309">
        <f t="shared" ref="Z28:Z40" si="12">Q28</f>
        <v>111</v>
      </c>
      <c r="AA28" s="1309">
        <f t="shared" si="3"/>
        <v>1</v>
      </c>
      <c r="AB28" s="1309">
        <f t="shared" si="4"/>
        <v>1</v>
      </c>
      <c r="AC28" s="1309">
        <f t="shared" si="5"/>
        <v>1</v>
      </c>
    </row>
    <row r="29" spans="1:29" ht="15">
      <c r="A29" s="2204"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9"/>
      <c r="M29" s="1742"/>
      <c r="N29" s="1742"/>
      <c r="O29" s="1748"/>
      <c r="P29" s="3598" t="s">
        <v>499</v>
      </c>
      <c r="Q29" s="1306" t="str">
        <f t="shared" si="8"/>
        <v>建筑类型</v>
      </c>
      <c r="R29" s="1307" t="s">
        <v>5</v>
      </c>
      <c r="S29" s="1308">
        <f t="shared" si="9"/>
        <v>100</v>
      </c>
      <c r="T29" s="1307" t="s">
        <v>5</v>
      </c>
      <c r="U29" s="1308">
        <f t="shared" si="10"/>
        <v>100</v>
      </c>
      <c r="V29" s="1307" t="s">
        <v>5</v>
      </c>
      <c r="W29" s="1308">
        <f t="shared" si="11"/>
        <v>100</v>
      </c>
      <c r="X29" s="1302"/>
      <c r="Y29" s="3599" t="s">
        <v>499</v>
      </c>
      <c r="Z29" s="1309" t="str">
        <f t="shared" si="12"/>
        <v>建筑类型</v>
      </c>
      <c r="AA29" s="1309">
        <f t="shared" si="3"/>
        <v>1</v>
      </c>
      <c r="AB29" s="1309">
        <f t="shared" si="4"/>
        <v>1</v>
      </c>
      <c r="AC29" s="1309">
        <f t="shared" si="5"/>
        <v>1</v>
      </c>
    </row>
    <row r="30" spans="1:29" s="1133" customFormat="1" ht="15">
      <c r="A30" s="552"/>
      <c r="B30" s="477" t="s">
        <v>673</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7"/>
      <c r="M30" s="1771"/>
      <c r="N30" s="1771"/>
      <c r="O30" s="1750"/>
      <c r="P30" s="3599"/>
      <c r="Q30" s="819" t="str">
        <f t="shared" si="8"/>
        <v>项目建筑规模</v>
      </c>
      <c r="R30" s="1310" t="s">
        <v>5</v>
      </c>
      <c r="S30" s="1311" t="e">
        <f t="shared" si="9"/>
        <v>#N/A</v>
      </c>
      <c r="T30" s="1310" t="s">
        <v>5</v>
      </c>
      <c r="U30" s="1311" t="e">
        <f t="shared" si="10"/>
        <v>#N/A</v>
      </c>
      <c r="V30" s="1310" t="s">
        <v>5</v>
      </c>
      <c r="W30" s="1311" t="e">
        <f t="shared" si="11"/>
        <v>#N/A</v>
      </c>
      <c r="X30" s="1312"/>
      <c r="Y30" s="3599"/>
      <c r="Z30" s="1313" t="str">
        <f t="shared" si="12"/>
        <v>项目建筑规模</v>
      </c>
      <c r="AA30" s="1309" t="e">
        <f t="shared" si="3"/>
        <v>#N/A</v>
      </c>
      <c r="AB30" s="1309" t="e">
        <f t="shared" si="4"/>
        <v>#N/A</v>
      </c>
      <c r="AC30" s="1309"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9"/>
      <c r="M31" s="1742"/>
      <c r="N31" s="1742"/>
      <c r="O31" s="1748"/>
      <c r="P31" s="3599"/>
      <c r="Q31" s="1306" t="str">
        <f t="shared" si="8"/>
        <v>建筑结构</v>
      </c>
      <c r="R31" s="1307" t="s">
        <v>5</v>
      </c>
      <c r="S31" s="1308">
        <f t="shared" si="9"/>
        <v>100</v>
      </c>
      <c r="T31" s="1307" t="s">
        <v>5</v>
      </c>
      <c r="U31" s="1308">
        <f t="shared" si="10"/>
        <v>100</v>
      </c>
      <c r="V31" s="1307" t="s">
        <v>5</v>
      </c>
      <c r="W31" s="1308">
        <f t="shared" si="11"/>
        <v>100</v>
      </c>
      <c r="X31" s="1302"/>
      <c r="Y31" s="3599"/>
      <c r="Z31" s="1309" t="str">
        <f t="shared" si="12"/>
        <v>建筑结构</v>
      </c>
      <c r="AA31" s="1309">
        <f t="shared" si="3"/>
        <v>1</v>
      </c>
      <c r="AB31" s="1309">
        <f t="shared" si="4"/>
        <v>1</v>
      </c>
      <c r="AC31" s="1309">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9"/>
      <c r="M32" s="1742"/>
      <c r="N32" s="1742"/>
      <c r="O32" s="1748"/>
      <c r="P32" s="3599"/>
      <c r="Q32" s="1306" t="str">
        <f t="shared" si="8"/>
        <v>公共部分装修</v>
      </c>
      <c r="R32" s="1307" t="s">
        <v>5</v>
      </c>
      <c r="S32" s="1308">
        <f t="shared" si="9"/>
        <v>100</v>
      </c>
      <c r="T32" s="1307" t="s">
        <v>5</v>
      </c>
      <c r="U32" s="1308">
        <f t="shared" si="10"/>
        <v>100</v>
      </c>
      <c r="V32" s="1307" t="s">
        <v>5</v>
      </c>
      <c r="W32" s="1308">
        <f t="shared" si="11"/>
        <v>100</v>
      </c>
      <c r="X32" s="1302"/>
      <c r="Y32" s="3599"/>
      <c r="Z32" s="1309" t="str">
        <f t="shared" si="12"/>
        <v>公共部分装修</v>
      </c>
      <c r="AA32" s="1309">
        <f t="shared" si="3"/>
        <v>1</v>
      </c>
      <c r="AB32" s="1309">
        <f t="shared" si="4"/>
        <v>1</v>
      </c>
      <c r="AC32" s="1309">
        <f t="shared" si="5"/>
        <v>1</v>
      </c>
    </row>
    <row r="33" spans="1:29" ht="15">
      <c r="A33" s="543"/>
      <c r="B33" s="477" t="s">
        <v>704</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49"/>
      <c r="M33" s="1742"/>
      <c r="N33" s="1742"/>
      <c r="O33" s="1748"/>
      <c r="P33" s="3599"/>
      <c r="Q33" s="1306" t="str">
        <f t="shared" si="8"/>
        <v>成新度</v>
      </c>
      <c r="R33" s="1307" t="s">
        <v>5</v>
      </c>
      <c r="S33" s="1308" t="e">
        <f t="shared" si="9"/>
        <v>#N/A</v>
      </c>
      <c r="T33" s="1307" t="s">
        <v>5</v>
      </c>
      <c r="U33" s="1308" t="e">
        <f t="shared" si="10"/>
        <v>#N/A</v>
      </c>
      <c r="V33" s="1307" t="s">
        <v>5</v>
      </c>
      <c r="W33" s="1308" t="e">
        <f t="shared" si="11"/>
        <v>#N/A</v>
      </c>
      <c r="X33" s="1302"/>
      <c r="Y33" s="3599"/>
      <c r="Z33" s="1309" t="str">
        <f t="shared" si="12"/>
        <v>成新度</v>
      </c>
      <c r="AA33" s="1309" t="e">
        <f t="shared" si="3"/>
        <v>#N/A</v>
      </c>
      <c r="AB33" s="1309" t="e">
        <f t="shared" si="4"/>
        <v>#N/A</v>
      </c>
      <c r="AC33" s="1309" t="e">
        <f t="shared" si="5"/>
        <v>#N/A</v>
      </c>
    </row>
    <row r="34" spans="1:29" s="1059"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3"/>
      <c r="M34" s="1640"/>
      <c r="N34" s="1640"/>
      <c r="O34" s="1744"/>
      <c r="P34" s="3599"/>
      <c r="Q34" s="818" t="str">
        <f t="shared" si="8"/>
        <v>物业管理</v>
      </c>
      <c r="R34" s="1303" t="s">
        <v>5</v>
      </c>
      <c r="S34" s="1304">
        <f t="shared" si="9"/>
        <v>100</v>
      </c>
      <c r="T34" s="1303" t="s">
        <v>5</v>
      </c>
      <c r="U34" s="1304">
        <f t="shared" si="10"/>
        <v>100</v>
      </c>
      <c r="V34" s="1303" t="s">
        <v>5</v>
      </c>
      <c r="W34" s="1304">
        <f t="shared" si="11"/>
        <v>100</v>
      </c>
      <c r="X34" s="1305"/>
      <c r="Y34" s="3599"/>
      <c r="Z34" s="996" t="str">
        <f t="shared" si="12"/>
        <v>物业管理</v>
      </c>
      <c r="AA34" s="996">
        <f t="shared" si="3"/>
        <v>1</v>
      </c>
      <c r="AB34" s="996">
        <f t="shared" si="4"/>
        <v>1</v>
      </c>
      <c r="AC34" s="996">
        <f t="shared" si="5"/>
        <v>1</v>
      </c>
    </row>
    <row r="35" spans="1:29" ht="15">
      <c r="A35" s="543"/>
      <c r="B35" s="1554"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9"/>
      <c r="M35" s="1742"/>
      <c r="N35" s="1742"/>
      <c r="O35" s="1748"/>
      <c r="P35" s="3599" t="s">
        <v>499</v>
      </c>
      <c r="Q35" s="1306" t="str">
        <f t="shared" si="8"/>
        <v>市政基础设施</v>
      </c>
      <c r="R35" s="1307" t="s">
        <v>5</v>
      </c>
      <c r="S35" s="1308">
        <f t="shared" si="9"/>
        <v>100</v>
      </c>
      <c r="T35" s="1307" t="s">
        <v>5</v>
      </c>
      <c r="U35" s="1308">
        <f t="shared" si="10"/>
        <v>100</v>
      </c>
      <c r="V35" s="1307" t="s">
        <v>5</v>
      </c>
      <c r="W35" s="1308">
        <f t="shared" si="11"/>
        <v>100</v>
      </c>
      <c r="X35" s="1302"/>
      <c r="Y35" s="3599" t="s">
        <v>499</v>
      </c>
      <c r="Z35" s="1309" t="str">
        <f t="shared" si="12"/>
        <v>市政基础设施</v>
      </c>
      <c r="AA35" s="1309">
        <f t="shared" si="3"/>
        <v>1</v>
      </c>
      <c r="AB35" s="1309">
        <f t="shared" si="4"/>
        <v>1</v>
      </c>
      <c r="AC35" s="1309">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9"/>
      <c r="M36" s="1742"/>
      <c r="N36" s="1742"/>
      <c r="O36" s="1748"/>
      <c r="P36" s="3599"/>
      <c r="Q36" s="1306" t="str">
        <f t="shared" si="8"/>
        <v>内部装修</v>
      </c>
      <c r="R36" s="1307" t="s">
        <v>5</v>
      </c>
      <c r="S36" s="1308">
        <f t="shared" si="9"/>
        <v>100</v>
      </c>
      <c r="T36" s="1307" t="s">
        <v>5</v>
      </c>
      <c r="U36" s="1308">
        <f t="shared" si="10"/>
        <v>100</v>
      </c>
      <c r="V36" s="1307" t="s">
        <v>5</v>
      </c>
      <c r="W36" s="1308">
        <f t="shared" si="11"/>
        <v>100</v>
      </c>
      <c r="X36" s="1302"/>
      <c r="Y36" s="3599"/>
      <c r="Z36" s="1309" t="str">
        <f t="shared" si="12"/>
        <v>内部装修</v>
      </c>
      <c r="AA36" s="1309">
        <f t="shared" si="3"/>
        <v>1</v>
      </c>
      <c r="AB36" s="1309">
        <f t="shared" si="4"/>
        <v>1</v>
      </c>
      <c r="AC36" s="1309">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9"/>
      <c r="M37" s="1742"/>
      <c r="N37" s="1742"/>
      <c r="O37" s="1748"/>
      <c r="P37" s="3599"/>
      <c r="Q37" s="1306" t="str">
        <f t="shared" si="8"/>
        <v>内部装修状况</v>
      </c>
      <c r="R37" s="1307" t="s">
        <v>5</v>
      </c>
      <c r="S37" s="1308">
        <f t="shared" si="9"/>
        <v>100</v>
      </c>
      <c r="T37" s="1307" t="s">
        <v>5</v>
      </c>
      <c r="U37" s="1308">
        <f t="shared" si="10"/>
        <v>100</v>
      </c>
      <c r="V37" s="1307" t="s">
        <v>5</v>
      </c>
      <c r="W37" s="1308">
        <f t="shared" si="11"/>
        <v>100</v>
      </c>
      <c r="X37" s="1302"/>
      <c r="Y37" s="3599"/>
      <c r="Z37" s="1309" t="str">
        <f t="shared" si="12"/>
        <v>内部装修状况</v>
      </c>
      <c r="AA37" s="1309">
        <f t="shared" si="3"/>
        <v>1</v>
      </c>
      <c r="AB37" s="1309">
        <f t="shared" si="4"/>
        <v>1</v>
      </c>
      <c r="AC37" s="1309">
        <f t="shared" si="5"/>
        <v>1</v>
      </c>
    </row>
    <row r="38" spans="1:29" s="1133"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7"/>
      <c r="M38" s="1771"/>
      <c r="N38" s="1771"/>
      <c r="O38" s="1750"/>
      <c r="P38" s="3599"/>
      <c r="Q38" s="819">
        <f t="shared" si="8"/>
        <v>111</v>
      </c>
      <c r="R38" s="1310" t="s">
        <v>5</v>
      </c>
      <c r="S38" s="1311">
        <f t="shared" si="9"/>
        <v>100</v>
      </c>
      <c r="T38" s="1310" t="s">
        <v>5</v>
      </c>
      <c r="U38" s="1311">
        <f t="shared" si="10"/>
        <v>100</v>
      </c>
      <c r="V38" s="1310" t="s">
        <v>5</v>
      </c>
      <c r="W38" s="1311">
        <f t="shared" si="11"/>
        <v>100</v>
      </c>
      <c r="X38" s="1312"/>
      <c r="Y38" s="3599"/>
      <c r="Z38" s="1313">
        <f t="shared" si="12"/>
        <v>111</v>
      </c>
      <c r="AA38" s="1309">
        <f t="shared" si="3"/>
        <v>1</v>
      </c>
      <c r="AB38" s="1309">
        <f t="shared" si="4"/>
        <v>1</v>
      </c>
      <c r="AC38" s="1309">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49"/>
      <c r="M39" s="1742"/>
      <c r="N39" s="1742"/>
      <c r="O39" s="1748"/>
      <c r="P39" s="3599"/>
      <c r="Q39" s="1306">
        <f t="shared" si="8"/>
        <v>111</v>
      </c>
      <c r="R39" s="1307" t="s">
        <v>5</v>
      </c>
      <c r="S39" s="1308">
        <f t="shared" si="9"/>
        <v>100</v>
      </c>
      <c r="T39" s="1307" t="s">
        <v>5</v>
      </c>
      <c r="U39" s="1308">
        <f t="shared" si="10"/>
        <v>100</v>
      </c>
      <c r="V39" s="1307" t="s">
        <v>5</v>
      </c>
      <c r="W39" s="1308">
        <f t="shared" si="11"/>
        <v>100</v>
      </c>
      <c r="X39" s="1302"/>
      <c r="Y39" s="3599"/>
      <c r="Z39" s="1309">
        <f t="shared" si="12"/>
        <v>111</v>
      </c>
      <c r="AA39" s="1309">
        <f t="shared" si="3"/>
        <v>1</v>
      </c>
      <c r="AB39" s="1309">
        <f t="shared" si="4"/>
        <v>1</v>
      </c>
      <c r="AC39" s="1309">
        <f t="shared" si="5"/>
        <v>1</v>
      </c>
    </row>
    <row r="40" spans="1:29" ht="15.75"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49"/>
      <c r="M40" s="1742"/>
      <c r="N40" s="1742"/>
      <c r="O40" s="1748"/>
      <c r="P40" s="3710"/>
      <c r="Q40" s="1306">
        <f t="shared" si="8"/>
        <v>111</v>
      </c>
      <c r="R40" s="1307" t="s">
        <v>5</v>
      </c>
      <c r="S40" s="1308">
        <f t="shared" si="9"/>
        <v>100</v>
      </c>
      <c r="T40" s="1307" t="s">
        <v>5</v>
      </c>
      <c r="U40" s="1308">
        <f t="shared" si="10"/>
        <v>100</v>
      </c>
      <c r="V40" s="1307" t="s">
        <v>5</v>
      </c>
      <c r="W40" s="1308">
        <f t="shared" si="11"/>
        <v>100</v>
      </c>
      <c r="X40" s="1302"/>
      <c r="Y40" s="3710"/>
      <c r="Z40" s="1309">
        <f t="shared" si="12"/>
        <v>111</v>
      </c>
      <c r="AA40" s="1309">
        <f t="shared" si="3"/>
        <v>1</v>
      </c>
      <c r="AB40" s="1309">
        <f t="shared" si="4"/>
        <v>1</v>
      </c>
      <c r="AC40" s="1309">
        <f t="shared" si="5"/>
        <v>1</v>
      </c>
    </row>
    <row r="41" spans="1:29" ht="15">
      <c r="A41" s="556" t="s">
        <v>683</v>
      </c>
      <c r="B41" s="812"/>
      <c r="C41" s="2081" t="s">
        <v>0</v>
      </c>
      <c r="D41" s="559"/>
      <c r="E41" s="560"/>
      <c r="F41" s="561"/>
      <c r="G41" s="562"/>
      <c r="H41" s="563"/>
      <c r="I41" s="560"/>
      <c r="J41" s="563"/>
      <c r="K41" s="1335"/>
      <c r="L41" s="1751"/>
      <c r="M41" s="1742"/>
      <c r="N41" s="1742"/>
      <c r="O41" s="1742"/>
      <c r="P41" s="3594" t="str">
        <f>A41</f>
        <v>成交单价（元/平方米）</v>
      </c>
      <c r="Q41" s="3594"/>
      <c r="R41" s="3610">
        <f>E41</f>
        <v>0</v>
      </c>
      <c r="S41" s="3610"/>
      <c r="T41" s="3610">
        <f>G41</f>
        <v>0</v>
      </c>
      <c r="U41" s="3610"/>
      <c r="V41" s="3610">
        <f>I41</f>
        <v>0</v>
      </c>
      <c r="W41" s="3610"/>
      <c r="X41" s="799"/>
      <c r="Y41" s="1314"/>
      <c r="Z41" s="799"/>
      <c r="AA41" s="799"/>
      <c r="AB41" s="799"/>
      <c r="AC41" s="799"/>
    </row>
    <row r="42" spans="1:29" ht="15.75" thickBot="1">
      <c r="A42" s="564" t="s">
        <v>2042</v>
      </c>
      <c r="B42" s="813"/>
      <c r="C42" s="2082" t="e">
        <f>R43</f>
        <v>#DIV/0!</v>
      </c>
      <c r="D42" s="2550" t="s">
        <v>2256</v>
      </c>
      <c r="E42" s="2083" t="e">
        <f>R42</f>
        <v>#DIV/0!</v>
      </c>
      <c r="F42" s="2551"/>
      <c r="G42" s="2082" t="e">
        <f>T42</f>
        <v>#DIV/0!</v>
      </c>
      <c r="H42" s="2551"/>
      <c r="I42" s="2083" t="e">
        <f>V42</f>
        <v>#DIV/0!</v>
      </c>
      <c r="J42" s="2551"/>
      <c r="K42" s="2558">
        <f>F42+H42+J42</f>
        <v>0</v>
      </c>
      <c r="L42" s="1751"/>
      <c r="M42" s="1742"/>
      <c r="N42" s="1742"/>
      <c r="O42" s="1742"/>
      <c r="P42" s="3594" t="str">
        <f>A42</f>
        <v>比较价格（元/平方米）</v>
      </c>
      <c r="Q42" s="3594"/>
      <c r="R42" s="3610" t="e">
        <f>IF(F1="售价",ROUND(PRODUCT(R41,AA7:AA40),0),ROUND(PRODUCT(R41,AA7:AA40),1))</f>
        <v>#DIV/0!</v>
      </c>
      <c r="S42" s="3610"/>
      <c r="T42" s="3610" t="e">
        <f>IF(F1="售价",ROUND(PRODUCT(T41,AB7:AB40),0),ROUND(PRODUCT(T41,AB7:AB40),1))</f>
        <v>#DIV/0!</v>
      </c>
      <c r="U42" s="3610"/>
      <c r="V42" s="3610" t="e">
        <f>IF(F1="售价",ROUND(PRODUCT(V41,AC7:AC40),0),ROUND(PRODUCT(V41,AC7:AC40),1))</f>
        <v>#DIV/0!</v>
      </c>
      <c r="W42" s="3610"/>
      <c r="X42" s="799"/>
      <c r="Y42" s="799"/>
      <c r="Z42" s="799"/>
      <c r="AA42" s="799"/>
      <c r="AB42" s="799"/>
      <c r="AC42" s="799"/>
    </row>
    <row r="43" spans="1:29" ht="15.75" thickBot="1">
      <c r="A43" s="568" t="s">
        <v>2193</v>
      </c>
      <c r="B43" s="569"/>
      <c r="C43" s="469" t="e">
        <f>R43</f>
        <v>#DIV/0!</v>
      </c>
      <c r="D43" s="469"/>
      <c r="E43" s="469"/>
      <c r="F43" s="469"/>
      <c r="G43" s="469"/>
      <c r="H43" s="469"/>
      <c r="I43" s="469"/>
      <c r="J43" s="469"/>
      <c r="K43" s="1336"/>
      <c r="L43" s="1751"/>
      <c r="M43" s="1742"/>
      <c r="N43" s="1742"/>
      <c r="O43" s="1742"/>
      <c r="P43" s="3600" t="str">
        <f>A43</f>
        <v>估价对象XX用房的比较价格（楼面单价，元/平方米）</v>
      </c>
      <c r="Q43" s="3601"/>
      <c r="R43" s="3709" t="e">
        <f>IF(F1="售价",ROUND(IF(D42="简单平均",AVERAGE(R42:V42),R42*F42+T42*H42+V42*J42),0),ROUND(IF(D42="简单平均",AVERAGE(R42:V42),R42*F42+T42*H42+V42*J42),1))</f>
        <v>#DIV/0!</v>
      </c>
      <c r="S43" s="3709"/>
      <c r="T43" s="3709"/>
      <c r="U43" s="3709"/>
      <c r="V43" s="3709"/>
      <c r="W43" s="3709"/>
      <c r="X43" s="799"/>
      <c r="Y43" s="799"/>
      <c r="Z43" s="799"/>
      <c r="AA43" s="799"/>
      <c r="AB43" s="799"/>
      <c r="AC43" s="799"/>
    </row>
    <row r="44" spans="1:29">
      <c r="A44" s="2721"/>
      <c r="B44" s="2721"/>
      <c r="C44" s="2721"/>
      <c r="D44" s="2721"/>
      <c r="E44" s="2721"/>
      <c r="F44" s="2721"/>
      <c r="G44" s="2723"/>
      <c r="H44" s="2721"/>
      <c r="I44" s="2721"/>
      <c r="J44" s="2721"/>
      <c r="K44" s="2724"/>
      <c r="L44" s="1755"/>
      <c r="M44" s="1742"/>
      <c r="N44" s="1742"/>
      <c r="O44" s="1742"/>
      <c r="P44" s="1742"/>
      <c r="Q44" s="1742"/>
      <c r="R44" s="1742"/>
      <c r="S44" s="1742"/>
      <c r="T44" s="1742"/>
      <c r="U44" s="1742"/>
      <c r="V44" s="1742"/>
      <c r="W44" s="1742"/>
      <c r="X44" s="1742"/>
      <c r="Y44" s="1742"/>
      <c r="Z44" s="1742"/>
      <c r="AA44" s="1742"/>
      <c r="AB44" s="1742"/>
      <c r="AC44" s="1742"/>
    </row>
    <row r="45" spans="1:29">
      <c r="A45" s="2721"/>
      <c r="B45" s="2721"/>
      <c r="C45" s="2721"/>
      <c r="D45" s="2721"/>
      <c r="E45" s="2721"/>
      <c r="F45" s="2721"/>
      <c r="G45" s="2721"/>
      <c r="H45" s="2721"/>
      <c r="I45" s="2721"/>
      <c r="J45" s="2721"/>
      <c r="K45" s="2724"/>
      <c r="L45" s="1755"/>
      <c r="M45" s="1742"/>
      <c r="N45" s="1742"/>
      <c r="O45" s="1742"/>
      <c r="P45" s="1742"/>
      <c r="Q45" s="1742"/>
      <c r="R45" s="1742"/>
      <c r="S45" s="1742"/>
      <c r="T45" s="1742"/>
      <c r="U45" s="1742"/>
      <c r="V45" s="1742"/>
      <c r="W45" s="1742"/>
      <c r="X45" s="1742"/>
      <c r="Y45" s="1742"/>
      <c r="Z45" s="1742"/>
      <c r="AA45" s="1742"/>
      <c r="AB45" s="1742"/>
      <c r="AC45" s="1742"/>
    </row>
    <row r="46" spans="1:29" ht="13.5" customHeight="1">
      <c r="A46" s="2721"/>
      <c r="B46" s="2721"/>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4"/>
      <c r="L46" s="1755"/>
      <c r="M46" s="1742"/>
      <c r="N46" s="1742"/>
      <c r="O46" s="1742"/>
      <c r="P46" s="1742"/>
      <c r="Q46" s="1742"/>
      <c r="R46" s="1742"/>
      <c r="S46" s="1742"/>
      <c r="T46" s="1742"/>
      <c r="U46" s="1742"/>
      <c r="V46" s="1742"/>
      <c r="W46" s="1742"/>
      <c r="X46" s="1742"/>
      <c r="Y46" s="1742"/>
      <c r="Z46" s="1742"/>
      <c r="AA46" s="1742"/>
      <c r="AB46" s="1742"/>
      <c r="AC46" s="1742"/>
    </row>
    <row r="47" spans="1:29" ht="13.5" customHeight="1">
      <c r="A47" s="2721"/>
      <c r="B47" s="2721"/>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4"/>
      <c r="L47" s="1755"/>
      <c r="M47" s="1742"/>
      <c r="N47" s="1742"/>
      <c r="O47" s="1742"/>
      <c r="P47" s="1742"/>
      <c r="Q47" s="1742"/>
      <c r="R47" s="1742"/>
      <c r="S47" s="1742"/>
      <c r="T47" s="1742"/>
      <c r="U47" s="1742"/>
      <c r="V47" s="1742"/>
      <c r="W47" s="1742"/>
      <c r="X47" s="1742"/>
      <c r="Y47" s="1742"/>
      <c r="Z47" s="1742"/>
      <c r="AA47" s="1742"/>
      <c r="AB47" s="1742"/>
      <c r="AC47" s="1742"/>
    </row>
    <row r="48" spans="1:29" s="1138" customFormat="1" ht="13.5" customHeight="1">
      <c r="A48" s="2722"/>
      <c r="B48" s="2722"/>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5"/>
      <c r="L48" s="1758"/>
      <c r="M48" s="1752"/>
      <c r="N48" s="1752"/>
      <c r="O48" s="1752"/>
      <c r="P48" s="1752"/>
      <c r="Q48" s="1752"/>
      <c r="R48" s="1752"/>
      <c r="S48" s="1752"/>
      <c r="T48" s="1752"/>
      <c r="U48" s="1752"/>
      <c r="V48" s="1752"/>
      <c r="W48" s="1752"/>
      <c r="X48" s="1752"/>
      <c r="Y48" s="1752"/>
      <c r="Z48" s="1752"/>
      <c r="AA48" s="1752"/>
      <c r="AB48" s="1752"/>
      <c r="AC48" s="1752"/>
    </row>
    <row r="49" spans="1:29" s="1138" customFormat="1">
      <c r="A49" s="1752"/>
      <c r="B49" s="1753"/>
      <c r="C49" s="1756"/>
      <c r="D49" s="1752"/>
      <c r="E49" s="1752"/>
      <c r="F49" s="1752"/>
      <c r="G49" s="1752"/>
      <c r="H49" s="1752"/>
      <c r="I49" s="1752"/>
      <c r="J49" s="1752"/>
      <c r="K49" s="1757"/>
      <c r="L49" s="1758"/>
      <c r="M49" s="1752"/>
      <c r="N49" s="1752"/>
      <c r="O49" s="1752"/>
      <c r="P49" s="1752"/>
      <c r="Q49" s="1752"/>
      <c r="R49" s="1752"/>
      <c r="S49" s="1752"/>
      <c r="T49" s="1752"/>
      <c r="U49" s="1752"/>
      <c r="V49" s="1752"/>
      <c r="W49" s="1752"/>
      <c r="X49" s="1752"/>
      <c r="Y49" s="1752"/>
      <c r="Z49" s="1752"/>
      <c r="AA49" s="1752"/>
      <c r="AB49" s="1752"/>
      <c r="AC49" s="1752"/>
    </row>
    <row r="50" spans="1:29">
      <c r="A50" s="1742"/>
      <c r="B50" s="1753"/>
      <c r="C50" s="1756"/>
      <c r="D50" s="1742"/>
      <c r="E50" s="1742"/>
      <c r="F50" s="1742"/>
      <c r="G50" s="1742"/>
      <c r="H50" s="1742"/>
      <c r="I50" s="1742"/>
      <c r="J50" s="1742"/>
      <c r="K50" s="1754"/>
      <c r="L50" s="1755"/>
      <c r="M50" s="1742"/>
      <c r="N50" s="1742"/>
      <c r="O50" s="1742"/>
      <c r="P50" s="1742"/>
      <c r="Q50" s="1742"/>
      <c r="R50" s="1742"/>
      <c r="S50" s="1742"/>
      <c r="T50" s="1742"/>
      <c r="U50" s="1742"/>
      <c r="V50" s="1742"/>
      <c r="W50" s="1742"/>
      <c r="X50" s="1742"/>
      <c r="Y50" s="1742"/>
      <c r="Z50" s="1742"/>
      <c r="AA50" s="1742"/>
      <c r="AB50" s="1742"/>
      <c r="AC50" s="1742"/>
    </row>
    <row r="51" spans="1:29" ht="21.75" thickBot="1">
      <c r="A51" s="1317" t="s">
        <v>522</v>
      </c>
      <c r="B51" s="799"/>
      <c r="C51" s="1316"/>
      <c r="D51" s="1316"/>
      <c r="E51" s="1316"/>
      <c r="F51" s="1318"/>
      <c r="G51" s="1318"/>
      <c r="H51" s="1316"/>
      <c r="I51" s="1316"/>
      <c r="J51" s="1316"/>
      <c r="K51" s="1319"/>
      <c r="L51" s="1315"/>
      <c r="M51" s="1316"/>
      <c r="N51" s="1762"/>
      <c r="O51" s="1762"/>
      <c r="P51" s="1762"/>
      <c r="Q51" s="1763"/>
      <c r="R51" s="1742"/>
      <c r="S51" s="1742"/>
      <c r="T51" s="1742"/>
      <c r="U51" s="1742"/>
      <c r="V51" s="1742"/>
      <c r="W51" s="1742"/>
      <c r="X51" s="1742"/>
      <c r="Y51" s="1742"/>
      <c r="Z51" s="1742"/>
      <c r="AA51" s="1742"/>
      <c r="AB51" s="1742"/>
      <c r="AC51" s="1742"/>
    </row>
    <row r="52" spans="1:29" s="1140" customFormat="1" ht="15">
      <c r="A52" s="592" t="s">
        <v>478</v>
      </c>
      <c r="B52" s="593"/>
      <c r="C52" s="2113" t="str">
        <f>YEAR(C7)&amp;"-"&amp;MONTH(C7)</f>
        <v>2023-5</v>
      </c>
      <c r="D52" s="2115">
        <f>EDATE(C52,-1)</f>
        <v>45017</v>
      </c>
      <c r="E52" s="2115">
        <f t="shared" ref="E52:O52" si="13">EDATE(D52,-1)</f>
        <v>44986</v>
      </c>
      <c r="F52" s="2115">
        <f t="shared" si="13"/>
        <v>44958</v>
      </c>
      <c r="G52" s="2115">
        <f t="shared" si="13"/>
        <v>44927</v>
      </c>
      <c r="H52" s="2115">
        <f t="shared" si="13"/>
        <v>44896</v>
      </c>
      <c r="I52" s="2115">
        <f t="shared" si="13"/>
        <v>44866</v>
      </c>
      <c r="J52" s="2115">
        <f t="shared" si="13"/>
        <v>44835</v>
      </c>
      <c r="K52" s="2115">
        <f t="shared" si="13"/>
        <v>44805</v>
      </c>
      <c r="L52" s="2115">
        <f t="shared" si="13"/>
        <v>44774</v>
      </c>
      <c r="M52" s="2115">
        <f t="shared" si="13"/>
        <v>44743</v>
      </c>
      <c r="N52" s="2115">
        <f t="shared" si="13"/>
        <v>44713</v>
      </c>
      <c r="O52" s="2115">
        <f t="shared" si="13"/>
        <v>44682</v>
      </c>
      <c r="P52" s="1765"/>
      <c r="Q52" s="1765"/>
      <c r="R52" s="1765"/>
      <c r="S52" s="1765"/>
      <c r="T52" s="1765"/>
      <c r="U52" s="1765"/>
      <c r="V52" s="1765"/>
      <c r="W52" s="1765"/>
      <c r="X52" s="1765"/>
      <c r="Y52" s="1765"/>
      <c r="Z52" s="1765"/>
      <c r="AA52" s="1765"/>
      <c r="AB52" s="1765"/>
      <c r="AC52" s="1765"/>
    </row>
    <row r="53" spans="1:29" s="1059" customFormat="1" ht="15">
      <c r="A53" s="527"/>
      <c r="B53" s="594"/>
      <c r="C53" s="595">
        <v>100</v>
      </c>
      <c r="D53" s="596"/>
      <c r="E53" s="596"/>
      <c r="F53" s="596"/>
      <c r="G53" s="596"/>
      <c r="H53" s="596"/>
      <c r="I53" s="596"/>
      <c r="J53" s="596"/>
      <c r="K53" s="596"/>
      <c r="L53" s="596"/>
      <c r="M53" s="487"/>
      <c r="N53" s="596"/>
      <c r="O53" s="597"/>
      <c r="P53" s="1763"/>
      <c r="Q53" s="1640"/>
      <c r="R53" s="1640"/>
      <c r="S53" s="1640"/>
      <c r="T53" s="1640"/>
      <c r="U53" s="1640"/>
      <c r="V53" s="1640"/>
      <c r="W53" s="1640"/>
      <c r="X53" s="1640"/>
      <c r="Y53" s="1640"/>
      <c r="Z53" s="1640"/>
      <c r="AA53" s="1640"/>
      <c r="AB53" s="1640"/>
      <c r="AC53" s="1640"/>
    </row>
    <row r="54" spans="1:29" s="1059" customFormat="1" ht="15.75" thickBot="1">
      <c r="A54" s="262" t="s">
        <v>523</v>
      </c>
      <c r="B54" s="598"/>
      <c r="C54" s="599"/>
      <c r="D54" s="600"/>
      <c r="E54" s="600"/>
      <c r="F54" s="600"/>
      <c r="G54" s="600"/>
      <c r="H54" s="600"/>
      <c r="I54" s="600"/>
      <c r="J54" s="600"/>
      <c r="K54" s="600"/>
      <c r="L54" s="600"/>
      <c r="M54" s="601"/>
      <c r="N54" s="600"/>
      <c r="O54" s="602"/>
      <c r="P54" s="1763"/>
      <c r="Q54" s="1763"/>
      <c r="R54" s="1640"/>
      <c r="S54" s="1640"/>
      <c r="T54" s="1640"/>
      <c r="U54" s="1640"/>
      <c r="V54" s="1640"/>
      <c r="W54" s="1640"/>
      <c r="X54" s="1640"/>
      <c r="Y54" s="1640"/>
      <c r="Z54" s="1640"/>
      <c r="AA54" s="1640"/>
      <c r="AB54" s="1640"/>
      <c r="AC54" s="1640"/>
    </row>
    <row r="55" spans="1:29" s="1059" customFormat="1" ht="15">
      <c r="A55" s="603" t="s">
        <v>480</v>
      </c>
      <c r="B55" s="594"/>
      <c r="C55" s="604" t="s">
        <v>524</v>
      </c>
      <c r="D55" s="80"/>
      <c r="E55" s="80"/>
      <c r="F55" s="80"/>
      <c r="G55" s="80"/>
      <c r="H55" s="80"/>
      <c r="I55" s="80"/>
      <c r="J55" s="80"/>
      <c r="K55" s="80"/>
      <c r="L55" s="605"/>
      <c r="M55" s="606"/>
      <c r="N55" s="1766"/>
      <c r="O55" s="1766"/>
      <c r="P55" s="1647"/>
      <c r="Q55" s="1763"/>
      <c r="R55" s="1640"/>
      <c r="S55" s="1640"/>
      <c r="T55" s="1640"/>
      <c r="U55" s="1640"/>
      <c r="V55" s="1640"/>
      <c r="W55" s="1640"/>
      <c r="X55" s="1640"/>
      <c r="Y55" s="1640"/>
      <c r="Z55" s="1640"/>
      <c r="AA55" s="1640"/>
      <c r="AB55" s="1640"/>
      <c r="AC55" s="1640"/>
    </row>
    <row r="56" spans="1:29" s="1059" customFormat="1" ht="15.75" thickBot="1">
      <c r="A56" s="603"/>
      <c r="B56" s="594"/>
      <c r="C56" s="595">
        <v>100</v>
      </c>
      <c r="D56" s="596"/>
      <c r="E56" s="596"/>
      <c r="F56" s="596"/>
      <c r="G56" s="596"/>
      <c r="H56" s="596"/>
      <c r="I56" s="596"/>
      <c r="J56" s="596"/>
      <c r="K56" s="596"/>
      <c r="L56" s="596"/>
      <c r="M56" s="597"/>
      <c r="N56" s="1766"/>
      <c r="O56" s="1766"/>
      <c r="P56" s="1763"/>
      <c r="Q56" s="1763"/>
      <c r="R56" s="1640"/>
      <c r="S56" s="1640"/>
      <c r="T56" s="1640"/>
      <c r="U56" s="1640"/>
      <c r="V56" s="1640"/>
      <c r="W56" s="1640"/>
      <c r="X56" s="1640"/>
      <c r="Y56" s="1640"/>
      <c r="Z56" s="1640"/>
      <c r="AA56" s="1640"/>
      <c r="AB56" s="1640"/>
      <c r="AC56" s="1640"/>
    </row>
    <row r="57" spans="1:29">
      <c r="A57" s="607" t="s">
        <v>525</v>
      </c>
      <c r="B57" s="608" t="s">
        <v>483</v>
      </c>
      <c r="C57" s="645">
        <f>C9</f>
        <v>0</v>
      </c>
      <c r="D57" s="547"/>
      <c r="E57" s="547"/>
      <c r="F57" s="547"/>
      <c r="G57" s="547"/>
      <c r="H57" s="547"/>
      <c r="I57" s="547"/>
      <c r="J57" s="547"/>
      <c r="K57" s="609"/>
      <c r="L57" s="610"/>
      <c r="M57" s="611"/>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13"/>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ht="27.75" thickTop="1">
      <c r="A59" s="482"/>
      <c r="B59" s="615" t="s">
        <v>486</v>
      </c>
      <c r="C59" s="658"/>
      <c r="D59" s="658"/>
      <c r="E59" s="658"/>
      <c r="F59" s="658"/>
      <c r="G59" s="658"/>
      <c r="H59" s="658"/>
      <c r="I59" s="658"/>
      <c r="J59" s="658"/>
      <c r="K59" s="659"/>
      <c r="L59" s="660"/>
      <c r="M59" s="661"/>
      <c r="N59" s="1767"/>
      <c r="O59" s="1767"/>
      <c r="P59" s="1766"/>
      <c r="Q59" s="1763"/>
      <c r="R59" s="1742"/>
      <c r="S59" s="1742"/>
      <c r="T59" s="1742"/>
      <c r="U59" s="1742"/>
      <c r="V59" s="1742"/>
      <c r="W59" s="1742"/>
      <c r="X59" s="1742"/>
      <c r="Y59" s="1742"/>
      <c r="Z59" s="1742"/>
      <c r="AA59" s="1742"/>
      <c r="AB59" s="1742"/>
      <c r="AC59" s="1742"/>
    </row>
    <row r="60" spans="1:29" ht="15.75" thickBot="1">
      <c r="A60" s="482"/>
      <c r="B60" s="620"/>
      <c r="C60" s="613"/>
      <c r="D60" s="613"/>
      <c r="E60" s="613"/>
      <c r="F60" s="613"/>
      <c r="G60" s="613"/>
      <c r="H60" s="613"/>
      <c r="I60" s="613"/>
      <c r="J60" s="613"/>
      <c r="K60" s="613"/>
      <c r="L60" s="613"/>
      <c r="M60" s="614"/>
      <c r="N60" s="1768"/>
      <c r="O60" s="1768"/>
      <c r="P60" s="1766"/>
      <c r="Q60" s="1763"/>
      <c r="R60" s="1742"/>
      <c r="S60" s="1742"/>
      <c r="T60" s="1742"/>
      <c r="U60" s="1742"/>
      <c r="V60" s="1742"/>
      <c r="W60" s="1742"/>
      <c r="X60" s="1742"/>
      <c r="Y60" s="1742"/>
      <c r="Z60" s="1742"/>
      <c r="AA60" s="1742"/>
      <c r="AB60" s="1742"/>
      <c r="AC60" s="1742"/>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8"/>
      <c r="O61" s="1768"/>
      <c r="P61" s="1766"/>
      <c r="Q61" s="1763"/>
      <c r="R61" s="1742"/>
      <c r="S61" s="1742"/>
      <c r="T61" s="1742"/>
      <c r="U61" s="1742"/>
      <c r="V61" s="1742"/>
      <c r="W61" s="1742"/>
      <c r="X61" s="1742"/>
      <c r="Y61" s="1742"/>
      <c r="Z61" s="1742"/>
      <c r="AA61" s="1742"/>
      <c r="AB61" s="1742"/>
      <c r="AC61" s="1742"/>
    </row>
    <row r="62" spans="1:29" ht="15">
      <c r="A62" s="482"/>
      <c r="B62" s="625"/>
      <c r="C62" s="491"/>
      <c r="D62" s="491"/>
      <c r="E62" s="491"/>
      <c r="F62" s="491"/>
      <c r="G62" s="491"/>
      <c r="H62" s="491"/>
      <c r="I62" s="491"/>
      <c r="J62" s="491"/>
      <c r="K62" s="626"/>
      <c r="L62" s="627"/>
      <c r="M62" s="628"/>
      <c r="N62" s="1767"/>
      <c r="O62" s="1767"/>
      <c r="P62" s="1766"/>
      <c r="Q62" s="1763"/>
      <c r="R62" s="1742"/>
      <c r="S62" s="1742"/>
      <c r="T62" s="1742"/>
      <c r="U62" s="1742"/>
      <c r="V62" s="1742"/>
      <c r="W62" s="1742"/>
      <c r="X62" s="1742"/>
      <c r="Y62" s="1742"/>
      <c r="Z62" s="1742"/>
      <c r="AA62" s="1742"/>
      <c r="AB62" s="1742"/>
      <c r="AC62" s="1742"/>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8"/>
      <c r="O63" s="1768"/>
      <c r="P63" s="1766"/>
      <c r="Q63" s="1763"/>
      <c r="R63" s="1742"/>
      <c r="S63" s="1742"/>
      <c r="T63" s="1742"/>
      <c r="U63" s="1742"/>
      <c r="V63" s="1742"/>
      <c r="W63" s="1742"/>
      <c r="X63" s="1742"/>
      <c r="Y63" s="1742"/>
      <c r="Z63" s="1742"/>
      <c r="AA63" s="1742"/>
      <c r="AB63" s="1742"/>
      <c r="AC63" s="1742"/>
    </row>
    <row r="64" spans="1:29" s="1133" customFormat="1" ht="15.75" thickTop="1">
      <c r="A64" s="629"/>
      <c r="B64" s="615">
        <f>B12</f>
        <v>111</v>
      </c>
      <c r="C64" s="630"/>
      <c r="D64" s="630"/>
      <c r="E64" s="630"/>
      <c r="F64" s="630"/>
      <c r="G64" s="630"/>
      <c r="H64" s="631"/>
      <c r="I64" s="631"/>
      <c r="J64" s="631"/>
      <c r="K64" s="631"/>
      <c r="L64" s="632"/>
      <c r="M64" s="633"/>
      <c r="N64" s="1769"/>
      <c r="O64" s="1769"/>
      <c r="P64" s="1769"/>
      <c r="Q64" s="1770"/>
      <c r="R64" s="1771"/>
      <c r="S64" s="1771"/>
      <c r="T64" s="1771"/>
      <c r="U64" s="1771"/>
      <c r="V64" s="1771"/>
      <c r="W64" s="1771"/>
      <c r="X64" s="1771"/>
      <c r="Y64" s="1771"/>
      <c r="Z64" s="1771"/>
      <c r="AA64" s="1771"/>
      <c r="AB64" s="1771"/>
      <c r="AC64" s="1771"/>
    </row>
    <row r="65" spans="1:29" s="1133" customFormat="1" ht="15.75" thickBot="1">
      <c r="A65" s="629"/>
      <c r="B65" s="620"/>
      <c r="C65" s="634"/>
      <c r="D65" s="613"/>
      <c r="E65" s="613"/>
      <c r="F65" s="613"/>
      <c r="G65" s="613"/>
      <c r="H65" s="613"/>
      <c r="I65" s="613"/>
      <c r="J65" s="613"/>
      <c r="K65" s="613"/>
      <c r="L65" s="613"/>
      <c r="M65" s="614"/>
      <c r="N65" s="1768"/>
      <c r="O65" s="1768"/>
      <c r="P65" s="1769"/>
      <c r="Q65" s="1770"/>
      <c r="R65" s="1771"/>
      <c r="S65" s="1771"/>
      <c r="T65" s="1771"/>
      <c r="U65" s="1771"/>
      <c r="V65" s="1771"/>
      <c r="W65" s="1771"/>
      <c r="X65" s="1771"/>
      <c r="Y65" s="1771"/>
      <c r="Z65" s="1771"/>
      <c r="AA65" s="1771"/>
      <c r="AB65" s="1771"/>
      <c r="AC65" s="1771"/>
    </row>
    <row r="66" spans="1:29" s="1133" customFormat="1" ht="15.75" thickTop="1">
      <c r="A66" s="629"/>
      <c r="B66" s="615">
        <f>B13</f>
        <v>111</v>
      </c>
      <c r="C66" s="630"/>
      <c r="D66" s="630"/>
      <c r="E66" s="630"/>
      <c r="F66" s="630"/>
      <c r="G66" s="630"/>
      <c r="H66" s="631"/>
      <c r="I66" s="631"/>
      <c r="J66" s="631"/>
      <c r="K66" s="631"/>
      <c r="L66" s="632"/>
      <c r="M66" s="633"/>
      <c r="N66" s="1769"/>
      <c r="O66" s="1769"/>
      <c r="P66" s="1771"/>
      <c r="Q66" s="1772"/>
      <c r="R66" s="1771"/>
      <c r="S66" s="1771"/>
      <c r="T66" s="1771"/>
      <c r="U66" s="1771"/>
      <c r="V66" s="1771"/>
      <c r="W66" s="1771"/>
      <c r="X66" s="1771"/>
      <c r="Y66" s="1771"/>
      <c r="Z66" s="1771"/>
      <c r="AA66" s="1771"/>
      <c r="AB66" s="1771"/>
      <c r="AC66" s="1771"/>
    </row>
    <row r="67" spans="1:29" s="1133" customFormat="1" ht="15.75" thickBot="1">
      <c r="A67" s="629"/>
      <c r="B67" s="620"/>
      <c r="C67" s="634"/>
      <c r="D67" s="613"/>
      <c r="E67" s="613"/>
      <c r="F67" s="613"/>
      <c r="G67" s="634"/>
      <c r="H67" s="635"/>
      <c r="I67" s="635"/>
      <c r="J67" s="635"/>
      <c r="K67" s="635"/>
      <c r="L67" s="635"/>
      <c r="M67" s="636"/>
      <c r="N67" s="1769"/>
      <c r="O67" s="1769"/>
      <c r="P67" s="1769"/>
      <c r="Q67" s="1770"/>
      <c r="R67" s="1771"/>
      <c r="S67" s="1771"/>
      <c r="T67" s="1771"/>
      <c r="U67" s="1771"/>
      <c r="V67" s="1771"/>
      <c r="W67" s="1771"/>
      <c r="X67" s="1771"/>
      <c r="Y67" s="1771"/>
      <c r="Z67" s="1771"/>
      <c r="AA67" s="1771"/>
      <c r="AB67" s="1771"/>
      <c r="AC67" s="1771"/>
    </row>
    <row r="68" spans="1:29" s="1133" customFormat="1" ht="15.75" thickTop="1">
      <c r="A68" s="629"/>
      <c r="B68" s="623">
        <f>B14</f>
        <v>111</v>
      </c>
      <c r="C68" s="80"/>
      <c r="D68" s="80"/>
      <c r="E68" s="80"/>
      <c r="F68" s="80"/>
      <c r="G68" s="80"/>
      <c r="H68" s="637"/>
      <c r="I68" s="637"/>
      <c r="J68" s="637"/>
      <c r="K68" s="637"/>
      <c r="L68" s="638"/>
      <c r="M68" s="639"/>
      <c r="N68" s="1769"/>
      <c r="O68" s="1769"/>
      <c r="P68" s="1773"/>
      <c r="Q68" s="1770"/>
      <c r="R68" s="1771"/>
      <c r="S68" s="1771"/>
      <c r="T68" s="1771"/>
      <c r="U68" s="1771"/>
      <c r="V68" s="1771"/>
      <c r="W68" s="1771"/>
      <c r="X68" s="1771"/>
      <c r="Y68" s="1771"/>
      <c r="Z68" s="1771"/>
      <c r="AA68" s="1771"/>
      <c r="AB68" s="1771"/>
      <c r="AC68" s="1771"/>
    </row>
    <row r="69" spans="1:29" s="1133" customFormat="1" ht="15.75" thickBot="1">
      <c r="A69" s="640"/>
      <c r="B69" s="641"/>
      <c r="C69" s="642"/>
      <c r="D69" s="642"/>
      <c r="E69" s="642"/>
      <c r="F69" s="642"/>
      <c r="G69" s="642"/>
      <c r="H69" s="643"/>
      <c r="I69" s="643"/>
      <c r="J69" s="643"/>
      <c r="K69" s="643"/>
      <c r="L69" s="643"/>
      <c r="M69" s="644"/>
      <c r="N69" s="1769"/>
      <c r="O69" s="1769"/>
      <c r="P69" s="1769"/>
      <c r="Q69" s="1770"/>
      <c r="R69" s="1771"/>
      <c r="S69" s="1771"/>
      <c r="T69" s="1771"/>
      <c r="U69" s="1771"/>
      <c r="V69" s="1771"/>
      <c r="W69" s="1771"/>
      <c r="X69" s="1771"/>
      <c r="Y69" s="1771"/>
      <c r="Z69" s="1771"/>
      <c r="AA69" s="1771"/>
      <c r="AB69" s="1771"/>
      <c r="AC69" s="1771"/>
    </row>
    <row r="70" spans="1:29">
      <c r="A70" s="607" t="s">
        <v>488</v>
      </c>
      <c r="B70" s="608" t="s">
        <v>533</v>
      </c>
      <c r="C70" s="143" t="s">
        <v>527</v>
      </c>
      <c r="D70" s="143" t="s">
        <v>528</v>
      </c>
      <c r="E70" s="143" t="s">
        <v>529</v>
      </c>
      <c r="F70" s="143" t="s">
        <v>530</v>
      </c>
      <c r="G70" s="143" t="s">
        <v>531</v>
      </c>
      <c r="H70" s="645"/>
      <c r="I70" s="645"/>
      <c r="J70" s="645"/>
      <c r="K70" s="646"/>
      <c r="L70" s="647"/>
      <c r="M70" s="648"/>
      <c r="N70" s="1767"/>
      <c r="O70" s="1767"/>
      <c r="P70" s="1774"/>
      <c r="Q70" s="1763"/>
      <c r="R70" s="1742"/>
      <c r="S70" s="1742"/>
      <c r="T70" s="1742"/>
      <c r="U70" s="1742"/>
      <c r="V70" s="1742"/>
      <c r="W70" s="1742"/>
      <c r="X70" s="1742"/>
      <c r="Y70" s="1742"/>
      <c r="Z70" s="1742"/>
      <c r="AA70" s="1742"/>
      <c r="AB70" s="1742"/>
      <c r="AC70" s="1742"/>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8"/>
      <c r="O71" s="1768"/>
      <c r="P71" s="1766"/>
      <c r="Q71" s="1763"/>
      <c r="R71" s="1742"/>
      <c r="S71" s="1742"/>
      <c r="T71" s="1742"/>
      <c r="U71" s="1742"/>
      <c r="V71" s="1742"/>
      <c r="W71" s="1742"/>
      <c r="X71" s="1742"/>
      <c r="Y71" s="1742"/>
      <c r="Z71" s="1742"/>
      <c r="AA71" s="1742"/>
      <c r="AB71" s="1742"/>
      <c r="AC71" s="1742"/>
    </row>
    <row r="72" spans="1:29" ht="15.75" thickTop="1">
      <c r="A72" s="482"/>
      <c r="B72" s="615" t="s">
        <v>534</v>
      </c>
      <c r="C72" s="649" t="s">
        <v>527</v>
      </c>
      <c r="D72" s="649" t="s">
        <v>528</v>
      </c>
      <c r="E72" s="649" t="s">
        <v>529</v>
      </c>
      <c r="F72" s="649" t="s">
        <v>530</v>
      </c>
      <c r="G72" s="649" t="s">
        <v>531</v>
      </c>
      <c r="H72" s="616"/>
      <c r="I72" s="616"/>
      <c r="J72" s="616"/>
      <c r="K72" s="617"/>
      <c r="L72" s="618"/>
      <c r="M72" s="619"/>
      <c r="N72" s="1767"/>
      <c r="O72" s="1767"/>
      <c r="P72" s="1766"/>
      <c r="Q72" s="1763"/>
      <c r="R72" s="1742"/>
      <c r="S72" s="1742"/>
      <c r="T72" s="1742"/>
      <c r="U72" s="1742"/>
      <c r="V72" s="1742"/>
      <c r="W72" s="1742"/>
      <c r="X72" s="1742"/>
      <c r="Y72" s="1742"/>
      <c r="Z72" s="1742"/>
      <c r="AA72" s="1742"/>
      <c r="AB72" s="1742"/>
      <c r="AC72" s="1742"/>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8"/>
      <c r="O73" s="1768"/>
      <c r="P73" s="1766"/>
      <c r="Q73" s="1763"/>
      <c r="R73" s="1742"/>
      <c r="S73" s="1742"/>
      <c r="T73" s="1742"/>
      <c r="U73" s="1742"/>
      <c r="V73" s="1742"/>
      <c r="W73" s="1742"/>
      <c r="X73" s="1742"/>
      <c r="Y73" s="1742"/>
      <c r="Z73" s="1742"/>
      <c r="AA73" s="1742"/>
      <c r="AB73" s="1742"/>
      <c r="AC73" s="1742"/>
    </row>
    <row r="74" spans="1:29" ht="15.75" thickTop="1">
      <c r="A74" s="482"/>
      <c r="B74" s="1555" t="s">
        <v>1840</v>
      </c>
      <c r="C74" s="649" t="s">
        <v>527</v>
      </c>
      <c r="D74" s="649" t="s">
        <v>528</v>
      </c>
      <c r="E74" s="649" t="s">
        <v>529</v>
      </c>
      <c r="F74" s="649" t="s">
        <v>530</v>
      </c>
      <c r="G74" s="649" t="s">
        <v>531</v>
      </c>
      <c r="H74" s="616"/>
      <c r="I74" s="616"/>
      <c r="J74" s="616"/>
      <c r="K74" s="617"/>
      <c r="L74" s="618"/>
      <c r="M74" s="619"/>
      <c r="N74" s="1767"/>
      <c r="O74" s="1767"/>
      <c r="P74" s="1766"/>
      <c r="Q74" s="1763"/>
      <c r="R74" s="1742"/>
      <c r="S74" s="1742"/>
      <c r="T74" s="1742"/>
      <c r="U74" s="1742"/>
      <c r="V74" s="1742"/>
      <c r="W74" s="1742"/>
      <c r="X74" s="1742"/>
      <c r="Y74" s="1742"/>
      <c r="Z74" s="1742"/>
      <c r="AA74" s="1742"/>
      <c r="AB74" s="1742"/>
      <c r="AC74" s="1742"/>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8"/>
      <c r="O75" s="1768"/>
      <c r="P75" s="1766"/>
      <c r="Q75" s="1763"/>
      <c r="R75" s="1742"/>
      <c r="S75" s="1742"/>
      <c r="T75" s="1742"/>
      <c r="U75" s="1742"/>
      <c r="V75" s="1742"/>
      <c r="W75" s="1742"/>
      <c r="X75" s="1742"/>
      <c r="Y75" s="1742"/>
      <c r="Z75" s="1742"/>
      <c r="AA75" s="1742"/>
      <c r="AB75" s="1742"/>
      <c r="AC75" s="1742"/>
    </row>
    <row r="76" spans="1:29" ht="15.75" thickTop="1">
      <c r="A76" s="482"/>
      <c r="B76" s="2056" t="s">
        <v>1841</v>
      </c>
      <c r="C76" s="2057" t="s">
        <v>1842</v>
      </c>
      <c r="D76" s="2057" t="s">
        <v>1843</v>
      </c>
      <c r="E76" s="2057" t="s">
        <v>1844</v>
      </c>
      <c r="F76" s="2057" t="s">
        <v>1845</v>
      </c>
      <c r="G76" s="2057" t="s">
        <v>1846</v>
      </c>
      <c r="H76" s="855"/>
      <c r="I76" s="855"/>
      <c r="J76" s="855"/>
      <c r="K76" s="855"/>
      <c r="L76" s="855"/>
      <c r="M76" s="509"/>
      <c r="N76" s="1768"/>
      <c r="O76" s="1768"/>
      <c r="P76" s="1766"/>
      <c r="Q76" s="1763"/>
      <c r="R76" s="1742"/>
      <c r="S76" s="1742"/>
      <c r="T76" s="1742"/>
      <c r="U76" s="1742"/>
      <c r="V76" s="1742"/>
      <c r="W76" s="1742"/>
      <c r="X76" s="1742"/>
      <c r="Y76" s="1742"/>
      <c r="Z76" s="1742"/>
      <c r="AA76" s="1742"/>
      <c r="AB76" s="1742"/>
      <c r="AC76" s="1742"/>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724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s="1059" customFormat="1" ht="15.75" thickTop="1">
      <c r="A80" s="486"/>
      <c r="B80" s="615">
        <f>B25</f>
        <v>111</v>
      </c>
      <c r="C80" s="630"/>
      <c r="D80" s="630"/>
      <c r="E80" s="630"/>
      <c r="F80" s="630"/>
      <c r="G80" s="630"/>
      <c r="H80" s="630"/>
      <c r="I80" s="630"/>
      <c r="J80" s="630"/>
      <c r="K80" s="630"/>
      <c r="L80" s="815"/>
      <c r="M80" s="816"/>
      <c r="N80" s="1766"/>
      <c r="O80" s="1766"/>
      <c r="P80" s="1766"/>
      <c r="Q80" s="1763"/>
      <c r="R80" s="1640"/>
      <c r="S80" s="1640"/>
      <c r="T80" s="1640"/>
      <c r="U80" s="1640"/>
      <c r="V80" s="1640"/>
      <c r="W80" s="1640"/>
      <c r="X80" s="1640"/>
      <c r="Y80" s="1640"/>
      <c r="Z80" s="1640"/>
      <c r="AA80" s="1640"/>
      <c r="AB80" s="1640"/>
      <c r="AC80" s="1640"/>
    </row>
    <row r="81" spans="1:29" s="1059" customFormat="1" ht="15.75" thickBot="1">
      <c r="A81" s="486"/>
      <c r="B81" s="620"/>
      <c r="C81" s="634"/>
      <c r="D81" s="613"/>
      <c r="E81" s="613"/>
      <c r="F81" s="613"/>
      <c r="G81" s="613"/>
      <c r="H81" s="613"/>
      <c r="I81" s="613"/>
      <c r="J81" s="613"/>
      <c r="K81" s="613"/>
      <c r="L81" s="613"/>
      <c r="M81" s="614"/>
      <c r="N81" s="1768"/>
      <c r="O81" s="1768"/>
      <c r="P81" s="1766"/>
      <c r="Q81" s="1763"/>
      <c r="R81" s="1640"/>
      <c r="S81" s="1640"/>
      <c r="T81" s="1640"/>
      <c r="U81" s="1640"/>
      <c r="V81" s="1640"/>
      <c r="W81" s="1640"/>
      <c r="X81" s="1640"/>
      <c r="Y81" s="1640"/>
      <c r="Z81" s="1640"/>
      <c r="AA81" s="1640"/>
      <c r="AB81" s="1640"/>
      <c r="AC81" s="1640"/>
    </row>
    <row r="82" spans="1:29" s="1059" customFormat="1" ht="15.75" thickTop="1">
      <c r="A82" s="486"/>
      <c r="B82" s="615">
        <f>B26</f>
        <v>111</v>
      </c>
      <c r="C82" s="630"/>
      <c r="D82" s="630"/>
      <c r="E82" s="630"/>
      <c r="F82" s="630"/>
      <c r="G82" s="630"/>
      <c r="H82" s="630"/>
      <c r="I82" s="630"/>
      <c r="J82" s="630"/>
      <c r="K82" s="630"/>
      <c r="L82" s="815"/>
      <c r="M82" s="816"/>
      <c r="N82" s="1766"/>
      <c r="O82" s="1766"/>
      <c r="P82" s="1766"/>
      <c r="Q82" s="1763"/>
      <c r="R82" s="1640"/>
      <c r="S82" s="1640"/>
      <c r="T82" s="1640"/>
      <c r="U82" s="1640"/>
      <c r="V82" s="1640"/>
      <c r="W82" s="1640"/>
      <c r="X82" s="1640"/>
      <c r="Y82" s="1640"/>
      <c r="Z82" s="1640"/>
      <c r="AA82" s="1640"/>
      <c r="AB82" s="1640"/>
      <c r="AC82" s="1640"/>
    </row>
    <row r="83" spans="1:29" s="1059" customFormat="1" ht="15.75" thickBot="1">
      <c r="A83" s="486"/>
      <c r="B83" s="620"/>
      <c r="C83" s="634"/>
      <c r="D83" s="613"/>
      <c r="E83" s="613"/>
      <c r="F83" s="613"/>
      <c r="G83" s="613"/>
      <c r="H83" s="613"/>
      <c r="I83" s="613"/>
      <c r="J83" s="613"/>
      <c r="K83" s="613"/>
      <c r="L83" s="613"/>
      <c r="M83" s="614"/>
      <c r="N83" s="1768"/>
      <c r="O83" s="1768"/>
      <c r="P83" s="1766"/>
      <c r="Q83" s="1763"/>
      <c r="R83" s="1640"/>
      <c r="S83" s="1640"/>
      <c r="T83" s="1640"/>
      <c r="U83" s="1640"/>
      <c r="V83" s="1640"/>
      <c r="W83" s="1640"/>
      <c r="X83" s="1640"/>
      <c r="Y83" s="1640"/>
      <c r="Z83" s="1640"/>
      <c r="AA83" s="1640"/>
      <c r="AB83" s="1640"/>
      <c r="AC83" s="1640"/>
    </row>
    <row r="84" spans="1:29" s="1133" customFormat="1" ht="15.75" thickTop="1">
      <c r="A84" s="629"/>
      <c r="B84" s="615">
        <f>B27</f>
        <v>111</v>
      </c>
      <c r="C84" s="630"/>
      <c r="D84" s="630"/>
      <c r="E84" s="630"/>
      <c r="F84" s="630"/>
      <c r="G84" s="630"/>
      <c r="H84" s="630"/>
      <c r="I84" s="630"/>
      <c r="J84" s="630"/>
      <c r="K84" s="630"/>
      <c r="L84" s="815"/>
      <c r="M84" s="816"/>
      <c r="N84" s="1769"/>
      <c r="O84" s="1769"/>
      <c r="P84" s="1769"/>
      <c r="Q84" s="1770"/>
      <c r="R84" s="1771"/>
      <c r="S84" s="1771"/>
      <c r="T84" s="1771"/>
      <c r="U84" s="1771"/>
      <c r="V84" s="1771"/>
      <c r="W84" s="1771"/>
      <c r="X84" s="1771"/>
      <c r="Y84" s="1771"/>
      <c r="Z84" s="1771"/>
      <c r="AA84" s="1771"/>
      <c r="AB84" s="1771"/>
      <c r="AC84" s="1771"/>
    </row>
    <row r="85" spans="1:29" s="1133" customFormat="1" ht="15.75" thickBot="1">
      <c r="A85" s="629"/>
      <c r="B85" s="620"/>
      <c r="C85" s="634"/>
      <c r="D85" s="613"/>
      <c r="E85" s="613"/>
      <c r="F85" s="613"/>
      <c r="G85" s="613"/>
      <c r="H85" s="613"/>
      <c r="I85" s="613"/>
      <c r="J85" s="613"/>
      <c r="K85" s="613"/>
      <c r="L85" s="613"/>
      <c r="M85" s="614"/>
      <c r="N85" s="1769"/>
      <c r="O85" s="1769"/>
      <c r="P85" s="1769"/>
      <c r="Q85" s="1770"/>
      <c r="R85" s="1771"/>
      <c r="S85" s="1771"/>
      <c r="T85" s="1771"/>
      <c r="U85" s="1771"/>
      <c r="V85" s="1771"/>
      <c r="W85" s="1771"/>
      <c r="X85" s="1771"/>
      <c r="Y85" s="1771"/>
      <c r="Z85" s="1771"/>
      <c r="AA85" s="1771"/>
      <c r="AB85" s="1771"/>
      <c r="AC85" s="1771"/>
    </row>
    <row r="86" spans="1:29" ht="15.75" thickTop="1">
      <c r="A86" s="482"/>
      <c r="B86" s="623">
        <f>B28</f>
        <v>111</v>
      </c>
      <c r="C86" s="80"/>
      <c r="D86" s="80"/>
      <c r="E86" s="80"/>
      <c r="F86" s="80"/>
      <c r="G86" s="662"/>
      <c r="H86" s="662"/>
      <c r="I86" s="662"/>
      <c r="J86" s="662"/>
      <c r="K86" s="663"/>
      <c r="L86" s="664"/>
      <c r="M86" s="665"/>
      <c r="N86" s="1767"/>
      <c r="O86" s="1767"/>
      <c r="P86" s="1766"/>
      <c r="Q86" s="1763"/>
      <c r="R86" s="1742"/>
      <c r="S86" s="1742"/>
      <c r="T86" s="1742"/>
      <c r="U86" s="1742"/>
      <c r="V86" s="1742"/>
      <c r="W86" s="1742"/>
      <c r="X86" s="1742"/>
      <c r="Y86" s="1742"/>
      <c r="Z86" s="1742"/>
      <c r="AA86" s="1742"/>
      <c r="AB86" s="1742"/>
      <c r="AC86" s="1742"/>
    </row>
    <row r="87" spans="1:29" ht="15.75" thickBot="1">
      <c r="A87" s="493"/>
      <c r="B87" s="641"/>
      <c r="C87" s="642"/>
      <c r="D87" s="642"/>
      <c r="E87" s="642"/>
      <c r="F87" s="642"/>
      <c r="G87" s="666"/>
      <c r="H87" s="666"/>
      <c r="I87" s="666"/>
      <c r="J87" s="666"/>
      <c r="K87" s="666"/>
      <c r="L87" s="666"/>
      <c r="M87" s="667"/>
      <c r="N87" s="1768"/>
      <c r="O87" s="1768"/>
      <c r="P87" s="1766"/>
      <c r="Q87" s="1763"/>
      <c r="R87" s="1742"/>
      <c r="S87" s="1742"/>
      <c r="T87" s="1742"/>
      <c r="U87" s="1742"/>
      <c r="V87" s="1742"/>
      <c r="W87" s="1742"/>
      <c r="X87" s="1742"/>
      <c r="Y87" s="1742"/>
      <c r="Z87" s="1742"/>
      <c r="AA87" s="1742"/>
      <c r="AB87" s="1742"/>
      <c r="AC87" s="1742"/>
    </row>
    <row r="88" spans="1:29">
      <c r="A88" s="607" t="s">
        <v>500</v>
      </c>
      <c r="B88" s="608" t="s">
        <v>687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8"/>
      <c r="O89" s="1768"/>
      <c r="P89" s="1766"/>
      <c r="Q89" s="1763"/>
      <c r="R89" s="1742"/>
      <c r="S89" s="1742"/>
      <c r="T89" s="1742"/>
      <c r="U89" s="1742"/>
      <c r="V89" s="1742"/>
      <c r="W89" s="1742"/>
      <c r="X89" s="1742"/>
      <c r="Y89" s="1742"/>
      <c r="Z89" s="1742"/>
      <c r="AA89" s="1742"/>
      <c r="AB89" s="1742"/>
      <c r="AC89" s="1742"/>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6"/>
      <c r="O90" s="1766"/>
      <c r="P90" s="1766"/>
      <c r="Q90" s="1763"/>
      <c r="R90" s="1742"/>
      <c r="S90" s="1742"/>
      <c r="T90" s="1742"/>
      <c r="U90" s="1742"/>
      <c r="V90" s="1742"/>
      <c r="W90" s="1742"/>
      <c r="X90" s="1742"/>
      <c r="Y90" s="1742"/>
      <c r="Z90" s="1742"/>
      <c r="AA90" s="1742"/>
      <c r="AB90" s="1742"/>
      <c r="AC90" s="1742"/>
    </row>
    <row r="91" spans="1:29" s="1133" customFormat="1">
      <c r="A91" s="552"/>
      <c r="B91" s="668"/>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3" customFormat="1" ht="15.75" thickBot="1">
      <c r="A92" s="629"/>
      <c r="B92" s="620"/>
      <c r="C92" s="634"/>
      <c r="D92" s="613"/>
      <c r="E92" s="613"/>
      <c r="F92" s="613"/>
      <c r="G92" s="613"/>
      <c r="H92" s="613"/>
      <c r="I92" s="613"/>
      <c r="J92" s="613"/>
      <c r="K92" s="613"/>
      <c r="L92" s="613"/>
      <c r="M92" s="614"/>
      <c r="N92" s="1768"/>
      <c r="O92" s="1768"/>
      <c r="P92" s="1769"/>
      <c r="Q92" s="1770"/>
      <c r="R92" s="1771"/>
      <c r="S92" s="1771"/>
      <c r="T92" s="1771"/>
      <c r="U92" s="1771"/>
      <c r="V92" s="1771"/>
      <c r="W92" s="1771"/>
      <c r="X92" s="1771"/>
      <c r="Y92" s="1771"/>
      <c r="Z92" s="1771"/>
      <c r="AA92" s="1771"/>
      <c r="AB92" s="1771"/>
      <c r="AC92" s="1771"/>
    </row>
    <row r="93" spans="1:29" ht="15" thickTop="1">
      <c r="A93" s="543"/>
      <c r="B93" s="615" t="s">
        <v>689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691</v>
      </c>
      <c r="C95" s="630"/>
      <c r="D95" s="630"/>
      <c r="E95" s="630"/>
      <c r="F95" s="658"/>
      <c r="G95" s="658"/>
      <c r="H95" s="658"/>
      <c r="I95" s="658"/>
      <c r="J95" s="658"/>
      <c r="K95" s="659"/>
      <c r="L95" s="660"/>
      <c r="M95" s="66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8"/>
      <c r="O96" s="1768"/>
      <c r="P96" s="1766"/>
      <c r="Q96" s="1763"/>
      <c r="R96" s="1742"/>
      <c r="S96" s="1742"/>
      <c r="T96" s="1742"/>
      <c r="U96" s="1742"/>
      <c r="V96" s="1742"/>
      <c r="W96" s="1742"/>
      <c r="X96" s="1742"/>
      <c r="Y96" s="1742"/>
      <c r="Z96" s="1742"/>
      <c r="AA96" s="1742"/>
      <c r="AB96" s="1742"/>
      <c r="AC96" s="1742"/>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7"/>
      <c r="O97" s="1767"/>
      <c r="P97" s="1766"/>
      <c r="Q97" s="1763"/>
      <c r="R97" s="1742"/>
      <c r="S97" s="1742"/>
      <c r="T97" s="1742"/>
      <c r="U97" s="1742"/>
      <c r="V97" s="1742"/>
      <c r="W97" s="1742"/>
      <c r="X97" s="1742"/>
      <c r="Y97" s="1742"/>
      <c r="Z97" s="1742"/>
      <c r="AA97" s="1742"/>
      <c r="AB97" s="1742"/>
      <c r="AC97" s="1742"/>
    </row>
    <row r="98" spans="1:29">
      <c r="A98" s="543"/>
      <c r="B98" s="623"/>
      <c r="C98" s="818">
        <v>0.5</v>
      </c>
      <c r="D98" s="818">
        <v>0.6</v>
      </c>
      <c r="E98" s="818">
        <v>0.7</v>
      </c>
      <c r="F98" s="818">
        <v>0.8</v>
      </c>
      <c r="G98" s="818">
        <v>0.9</v>
      </c>
      <c r="H98" s="818">
        <v>1.0001</v>
      </c>
      <c r="I98" s="827"/>
      <c r="J98" s="827"/>
      <c r="K98" s="828"/>
      <c r="L98" s="829"/>
      <c r="M98" s="830"/>
      <c r="N98" s="1767"/>
      <c r="O98" s="1767"/>
      <c r="P98" s="1766"/>
      <c r="Q98" s="1763"/>
      <c r="R98" s="1742"/>
      <c r="S98" s="1742"/>
      <c r="T98" s="1742"/>
      <c r="U98" s="1742"/>
      <c r="V98" s="1742"/>
      <c r="W98" s="1742"/>
      <c r="X98" s="1742"/>
      <c r="Y98" s="1742"/>
      <c r="Z98" s="1742"/>
      <c r="AA98" s="1742"/>
      <c r="AB98" s="1742"/>
      <c r="AC98" s="1742"/>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8"/>
      <c r="O99" s="1768"/>
      <c r="P99" s="1766"/>
      <c r="Q99" s="1763"/>
      <c r="R99" s="1742"/>
      <c r="S99" s="1742"/>
      <c r="T99" s="1742"/>
      <c r="U99" s="1742"/>
      <c r="V99" s="1742"/>
      <c r="W99" s="1742"/>
      <c r="X99" s="1742"/>
      <c r="Y99" s="1742"/>
      <c r="Z99" s="1742"/>
      <c r="AA99" s="1742"/>
      <c r="AB99" s="1742"/>
      <c r="AC99" s="1742"/>
    </row>
    <row r="100" spans="1:29" s="1133" customFormat="1" ht="15" thickTop="1">
      <c r="A100" s="552"/>
      <c r="B100" s="615" t="s">
        <v>693</v>
      </c>
      <c r="C100" s="630"/>
      <c r="D100" s="630"/>
      <c r="E100" s="630"/>
      <c r="F100" s="630"/>
      <c r="G100" s="630"/>
      <c r="H100" s="658"/>
      <c r="I100" s="658"/>
      <c r="J100" s="658"/>
      <c r="K100" s="659"/>
      <c r="L100" s="660"/>
      <c r="M100" s="661"/>
      <c r="N100" s="1769"/>
      <c r="O100" s="1769"/>
      <c r="P100" s="1769"/>
      <c r="Q100" s="1770"/>
      <c r="R100" s="1771"/>
      <c r="S100" s="1771"/>
      <c r="T100" s="1771"/>
      <c r="U100" s="1771"/>
      <c r="V100" s="1771"/>
      <c r="W100" s="1771"/>
      <c r="X100" s="1771"/>
      <c r="Y100" s="1771"/>
      <c r="Z100" s="1771"/>
      <c r="AA100" s="1771"/>
      <c r="AB100" s="1771"/>
      <c r="AC100" s="1771"/>
    </row>
    <row r="101" spans="1:29" s="1133"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9"/>
      <c r="O101" s="1769"/>
      <c r="P101" s="1769"/>
      <c r="Q101" s="1770"/>
      <c r="R101" s="1771"/>
      <c r="S101" s="1771"/>
      <c r="T101" s="1771"/>
      <c r="U101" s="1771"/>
      <c r="V101" s="1771"/>
      <c r="W101" s="1771"/>
      <c r="X101" s="1771"/>
      <c r="Y101" s="1771"/>
      <c r="Z101" s="1771"/>
      <c r="AA101" s="1771"/>
      <c r="AB101" s="1771"/>
      <c r="AC101" s="1771"/>
    </row>
    <row r="102" spans="1:29" ht="15" thickTop="1">
      <c r="A102" s="543"/>
      <c r="B102" s="1555" t="s">
        <v>1839</v>
      </c>
      <c r="C102" s="630"/>
      <c r="D102" s="630"/>
      <c r="E102" s="630"/>
      <c r="F102" s="630"/>
      <c r="G102" s="630"/>
      <c r="H102" s="658"/>
      <c r="I102" s="658"/>
      <c r="J102" s="658"/>
      <c r="K102" s="659"/>
      <c r="L102" s="660"/>
      <c r="M102" s="661"/>
      <c r="N102" s="1767"/>
      <c r="O102" s="1767"/>
      <c r="P102" s="1766"/>
      <c r="Q102" s="1763"/>
      <c r="R102" s="1742"/>
      <c r="S102" s="1742"/>
      <c r="T102" s="1742"/>
      <c r="U102" s="1742"/>
      <c r="V102" s="1742"/>
      <c r="W102" s="1742"/>
      <c r="X102" s="1742"/>
      <c r="Y102" s="1742"/>
      <c r="Z102" s="1742"/>
      <c r="AA102" s="1742"/>
      <c r="AB102" s="1742"/>
      <c r="AC102" s="1742"/>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8"/>
      <c r="O103" s="1768"/>
      <c r="P103" s="1766"/>
      <c r="Q103" s="1763"/>
      <c r="R103" s="1742"/>
      <c r="S103" s="1742"/>
      <c r="T103" s="1742"/>
      <c r="U103" s="1742"/>
      <c r="V103" s="1742"/>
      <c r="W103" s="1742"/>
      <c r="X103" s="1742"/>
      <c r="Y103" s="1742"/>
      <c r="Z103" s="1742"/>
      <c r="AA103" s="1742"/>
      <c r="AB103" s="1742"/>
      <c r="AC103" s="1742"/>
    </row>
    <row r="104" spans="1:29" ht="15" thickTop="1">
      <c r="A104" s="543"/>
      <c r="B104" s="615" t="s">
        <v>695</v>
      </c>
      <c r="C104" s="630"/>
      <c r="D104" s="630"/>
      <c r="E104" s="630"/>
      <c r="F104" s="630"/>
      <c r="G104" s="630"/>
      <c r="H104" s="658"/>
      <c r="I104" s="658"/>
      <c r="J104" s="658"/>
      <c r="K104" s="659"/>
      <c r="L104" s="660"/>
      <c r="M104" s="661"/>
      <c r="N104" s="1767"/>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8"/>
      <c r="O105" s="1768"/>
      <c r="P105" s="1766"/>
      <c r="Q105" s="1763"/>
      <c r="R105" s="1742"/>
      <c r="S105" s="1742"/>
      <c r="T105" s="1742"/>
      <c r="U105" s="1742"/>
      <c r="V105" s="1742"/>
      <c r="W105" s="1742"/>
      <c r="X105" s="1742"/>
      <c r="Y105" s="1742"/>
      <c r="Z105" s="1742"/>
      <c r="AA105" s="1742"/>
      <c r="AB105" s="1742"/>
      <c r="AC105" s="1742"/>
    </row>
    <row r="106" spans="1:29" ht="27.75" thickTop="1">
      <c r="A106" s="543"/>
      <c r="B106" s="838" t="s">
        <v>731</v>
      </c>
      <c r="C106" s="649" t="s">
        <v>527</v>
      </c>
      <c r="D106" s="649" t="s">
        <v>528</v>
      </c>
      <c r="E106" s="649" t="s">
        <v>529</v>
      </c>
      <c r="F106" s="649" t="s">
        <v>530</v>
      </c>
      <c r="G106" s="649" t="s">
        <v>531</v>
      </c>
      <c r="H106" s="616"/>
      <c r="I106" s="616"/>
      <c r="J106" s="616"/>
      <c r="K106" s="617"/>
      <c r="L106" s="618"/>
      <c r="M106" s="619"/>
      <c r="N106" s="1768"/>
      <c r="O106" s="1768"/>
      <c r="P106" s="1768"/>
      <c r="Q106" s="1803"/>
      <c r="R106" s="1742"/>
      <c r="S106" s="1742"/>
      <c r="T106" s="1742"/>
      <c r="U106" s="1742"/>
      <c r="V106" s="1742"/>
      <c r="W106" s="1742"/>
      <c r="X106" s="1742"/>
      <c r="Y106" s="1742"/>
      <c r="Z106" s="1742"/>
      <c r="AA106" s="1742"/>
      <c r="AB106" s="1742"/>
      <c r="AC106" s="1742"/>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8"/>
      <c r="O107" s="1768"/>
      <c r="P107" s="1766"/>
      <c r="Q107" s="1763"/>
      <c r="R107" s="1742"/>
      <c r="S107" s="1742"/>
      <c r="T107" s="1742"/>
      <c r="U107" s="1742"/>
      <c r="V107" s="1742"/>
      <c r="W107" s="1742"/>
      <c r="X107" s="1742"/>
      <c r="Y107" s="1742"/>
      <c r="Z107" s="1742"/>
      <c r="AA107" s="1742"/>
      <c r="AB107" s="1742"/>
      <c r="AC107" s="1742"/>
    </row>
    <row r="108" spans="1:29" s="1133" customFormat="1" ht="15" thickTop="1">
      <c r="A108" s="552"/>
      <c r="B108" s="615">
        <f>B38</f>
        <v>111</v>
      </c>
      <c r="C108" s="630"/>
      <c r="D108" s="630"/>
      <c r="E108" s="630"/>
      <c r="F108" s="630"/>
      <c r="G108" s="630"/>
      <c r="H108" s="631"/>
      <c r="I108" s="631"/>
      <c r="J108" s="631"/>
      <c r="K108" s="631"/>
      <c r="L108" s="632"/>
      <c r="M108" s="633"/>
      <c r="N108" s="1769"/>
      <c r="O108" s="1769"/>
      <c r="P108" s="1769"/>
      <c r="Q108" s="1770"/>
      <c r="R108" s="1771"/>
      <c r="S108" s="1771"/>
      <c r="T108" s="1771"/>
      <c r="U108" s="1771"/>
      <c r="V108" s="1771"/>
      <c r="W108" s="1771"/>
      <c r="X108" s="1771"/>
      <c r="Y108" s="1771"/>
      <c r="Z108" s="1771"/>
      <c r="AA108" s="1771"/>
      <c r="AB108" s="1771"/>
      <c r="AC108" s="1771"/>
    </row>
    <row r="109" spans="1:29" s="1133" customFormat="1" ht="15.75" thickBot="1">
      <c r="A109" s="629"/>
      <c r="B109" s="612"/>
      <c r="C109" s="634"/>
      <c r="D109" s="613"/>
      <c r="E109" s="613"/>
      <c r="F109" s="613"/>
      <c r="G109" s="634"/>
      <c r="H109" s="635"/>
      <c r="I109" s="635"/>
      <c r="J109" s="635"/>
      <c r="K109" s="635"/>
      <c r="L109" s="635"/>
      <c r="M109" s="636"/>
      <c r="N109" s="1769"/>
      <c r="O109" s="1769"/>
      <c r="P109" s="1769"/>
      <c r="Q109" s="1770"/>
      <c r="R109" s="1771"/>
      <c r="S109" s="1771"/>
      <c r="T109" s="1771"/>
      <c r="U109" s="1771"/>
      <c r="V109" s="1771"/>
      <c r="W109" s="1771"/>
      <c r="X109" s="1771"/>
      <c r="Y109" s="1771"/>
      <c r="Z109" s="1771"/>
      <c r="AA109" s="1771"/>
      <c r="AB109" s="1771"/>
      <c r="AC109" s="1771"/>
    </row>
    <row r="110" spans="1:29" ht="15" thickTop="1">
      <c r="A110" s="543"/>
      <c r="B110" s="615">
        <f>B39</f>
        <v>111</v>
      </c>
      <c r="C110" s="630"/>
      <c r="D110" s="630"/>
      <c r="E110" s="630"/>
      <c r="F110" s="630"/>
      <c r="G110" s="630"/>
      <c r="H110" s="631"/>
      <c r="I110" s="631"/>
      <c r="J110" s="631"/>
      <c r="K110" s="631"/>
      <c r="L110" s="632"/>
      <c r="M110" s="633"/>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34"/>
      <c r="D111" s="613"/>
      <c r="E111" s="613"/>
      <c r="F111" s="613"/>
      <c r="G111" s="634"/>
      <c r="H111" s="635"/>
      <c r="I111" s="635"/>
      <c r="J111" s="635"/>
      <c r="K111" s="635"/>
      <c r="L111" s="635"/>
      <c r="M111" s="636"/>
      <c r="N111" s="1768"/>
      <c r="O111" s="1768"/>
      <c r="P111" s="1766"/>
      <c r="Q111" s="1763"/>
      <c r="R111" s="1742"/>
      <c r="S111" s="1742"/>
      <c r="T111" s="1742"/>
      <c r="U111" s="1742"/>
      <c r="V111" s="1742"/>
      <c r="W111" s="1742"/>
      <c r="X111" s="1742"/>
      <c r="Y111" s="1742"/>
      <c r="Z111" s="1742"/>
      <c r="AA111" s="1742"/>
      <c r="AB111" s="1742"/>
      <c r="AC111" s="1742"/>
    </row>
    <row r="112" spans="1:29" ht="15" thickTop="1">
      <c r="A112" s="543"/>
      <c r="B112" s="623">
        <f>B40</f>
        <v>111</v>
      </c>
      <c r="C112" s="80"/>
      <c r="D112" s="80"/>
      <c r="E112" s="80"/>
      <c r="F112" s="80"/>
      <c r="G112" s="662"/>
      <c r="H112" s="662"/>
      <c r="I112" s="662"/>
      <c r="J112" s="662"/>
      <c r="K112" s="80"/>
      <c r="L112" s="605"/>
      <c r="M112" s="665"/>
      <c r="N112" s="1767"/>
      <c r="O112" s="1767"/>
      <c r="P112" s="1766"/>
      <c r="Q112" s="1763"/>
      <c r="R112" s="1742"/>
      <c r="S112" s="1742"/>
      <c r="T112" s="1742"/>
      <c r="U112" s="1742"/>
      <c r="V112" s="1742"/>
      <c r="W112" s="1742"/>
      <c r="X112" s="1742"/>
      <c r="Y112" s="1742"/>
      <c r="Z112" s="1742"/>
      <c r="AA112" s="1742"/>
      <c r="AB112" s="1742"/>
      <c r="AC112" s="1742"/>
    </row>
    <row r="113" spans="1:29" ht="15.75" thickBot="1">
      <c r="A113" s="493"/>
      <c r="B113" s="641"/>
      <c r="C113" s="642"/>
      <c r="D113" s="642"/>
      <c r="E113" s="642"/>
      <c r="F113" s="642"/>
      <c r="G113" s="666"/>
      <c r="H113" s="666"/>
      <c r="I113" s="666"/>
      <c r="J113" s="666"/>
      <c r="K113" s="666"/>
      <c r="L113" s="666"/>
      <c r="M113" s="667"/>
      <c r="N113" s="1768"/>
      <c r="O113" s="1768"/>
      <c r="P113" s="1766"/>
      <c r="Q113" s="1763"/>
      <c r="R113" s="1742"/>
      <c r="S113" s="1742"/>
      <c r="T113" s="1742"/>
      <c r="U113" s="1742"/>
      <c r="V113" s="1742"/>
      <c r="W113" s="1742"/>
      <c r="X113" s="1742"/>
      <c r="Y113" s="1742"/>
      <c r="Z113" s="1742"/>
      <c r="AA113" s="1742"/>
      <c r="AB113" s="1742"/>
      <c r="AC113" s="1742"/>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N236" s="1779"/>
      <c r="O236" s="1779"/>
      <c r="P236" s="1779"/>
      <c r="Q236" s="1779"/>
      <c r="R236" s="1779"/>
      <c r="S236" s="1779"/>
      <c r="T236" s="1779"/>
      <c r="U236" s="1779"/>
      <c r="V236" s="1779"/>
      <c r="W236" s="1779"/>
      <c r="X236" s="1779"/>
      <c r="Y236" s="1779"/>
      <c r="Z236" s="1779"/>
      <c r="AA236" s="1779"/>
      <c r="AB236" s="1779"/>
      <c r="AC236" s="177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C20 G20 I20 E20" xr:uid="{00000000-0002-0000-2600-000001000000}">
      <formula1>公共配套设施</formula1>
    </dataValidation>
    <dataValidation type="list" allowBlank="1" showInputMessage="1" showErrorMessage="1" sqref="E18 G18 I18 C18" xr:uid="{00000000-0002-0000-2600-000002000000}">
      <formula1>交通便捷度</formula1>
    </dataValidation>
    <dataValidation type="list" allowBlank="1" showInputMessage="1" showErrorMessage="1" sqref="E24 G24 I24 C24" xr:uid="{00000000-0002-0000-2600-000003000000}">
      <formula1>环境</formula1>
    </dataValidation>
    <dataValidation type="list" allowBlank="1" showInputMessage="1" showErrorMessage="1" sqref="C8 E8 G8 I8" xr:uid="{00000000-0002-0000-2600-000004000000}">
      <formula1>工业交易情况</formula1>
    </dataValidation>
    <dataValidation type="list" allowBlank="1" showInputMessage="1" showErrorMessage="1" sqref="E9 G9 I9" xr:uid="{00000000-0002-0000-2600-000005000000}">
      <formula1>工业用途</formula1>
    </dataValidation>
    <dataValidation type="list" allowBlank="1" showInputMessage="1" showErrorMessage="1" sqref="C29 E29 G29 I29" xr:uid="{00000000-0002-0000-2600-000006000000}">
      <formula1>工业建筑类型</formula1>
    </dataValidation>
    <dataValidation type="list" allowBlank="1" showInputMessage="1" showErrorMessage="1" sqref="C31 E31 G31 I31" xr:uid="{00000000-0002-0000-2600-000007000000}">
      <formula1>工业建筑结构</formula1>
    </dataValidation>
    <dataValidation type="list" allowBlank="1" showInputMessage="1" showErrorMessage="1" sqref="C32 E32 G32 I32" xr:uid="{00000000-0002-0000-2600-000008000000}">
      <formula1>工业公共部分装修</formula1>
    </dataValidation>
    <dataValidation type="list" allowBlank="1" showInputMessage="1" showErrorMessage="1" sqref="C34 E34 G34 I34" xr:uid="{00000000-0002-0000-2600-000009000000}">
      <formula1>工业物业管理</formula1>
    </dataValidation>
    <dataValidation type="list" allowBlank="1" showInputMessage="1" showErrorMessage="1" sqref="C35 E35 G35 I35" xr:uid="{00000000-0002-0000-2600-00000A000000}">
      <formula1>工业基础设施水平</formula1>
    </dataValidation>
    <dataValidation type="list" allowBlank="1" showInputMessage="1" showErrorMessage="1" sqref="C36 E36 G36 I36" xr:uid="{00000000-0002-0000-2600-00000B000000}">
      <formula1>工业内部装修</formula1>
    </dataValidation>
    <dataValidation type="list" allowBlank="1" showInputMessage="1" showErrorMessage="1" sqref="C37 E37 G37 I37" xr:uid="{00000000-0002-0000-2600-00000C000000}">
      <formula1>内部装修维护情况</formula1>
    </dataValidation>
    <dataValidation type="list" allowBlank="1" showInputMessage="1" showErrorMessage="1" sqref="C16 E16 G16 I16" xr:uid="{00000000-0002-0000-2600-00000D000000}">
      <formula1>产业集聚程度</formula1>
    </dataValidation>
    <dataValidation type="list" allowBlank="1" showInputMessage="1" showErrorMessage="1" sqref="C22 E22 G22 I22"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42"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37.5">
      <c r="A4" s="1488" t="str">
        <f>"受贵公司委托，我公司对"&amp;项目基本情况!K2&amp;项目基本情况!B9&amp;"进行了预评估。"</f>
        <v>受贵公司委托，我公司对江苏省连云港海州区锦屏山东南侧4号地出让国有建设用地使用权抵押价格进行了预评估。</v>
      </c>
    </row>
    <row r="5" spans="1:4" ht="18.75">
      <c r="A5" s="1491" t="s">
        <v>1429</v>
      </c>
    </row>
    <row r="6" spans="1:4" ht="75">
      <c r="A6" s="14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连云港海州区锦屏山东南侧4号地出让国有建设用地使用权。根据《国有土地使用证》[]，估价对象（分摊）出让国有建设用地使用权面积为86493.04平方米。根据《建设工程规划许可证》[]、《出让合同》[]，估价对象规划建筑面积为302725.5平方米。</v>
      </c>
    </row>
    <row r="7" spans="1:4" ht="93.75">
      <c r="A7" s="2178" t="s">
        <v>2030</v>
      </c>
    </row>
    <row r="8" spans="1:4" ht="18.75">
      <c r="A8" s="1491" t="s">
        <v>1430</v>
      </c>
    </row>
    <row r="9" spans="1:4" ht="75">
      <c r="A9" s="1488" t="str">
        <f>IF(项目基本情况!B8="抵押",IF(项目基本情况!B5=项目基本情况!B6,定义!C51,定义!B51),定义!D51)</f>
        <v>拟使用江苏省连云港海州区锦屏山东南侧4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3" t="s">
        <v>1544</v>
      </c>
    </row>
    <row r="11" spans="1:4" ht="18.75">
      <c r="A11" s="1477" t="str">
        <f>TEXT(项目基本情况!D3,"yyyy年m月d日;;")&amp;IF(项目基本情况!B3=项目基本情况!D3,"（评估专业人员勘察现场之日）","")</f>
        <v>2023年5月11日（评估专业人员勘察现场之日）</v>
      </c>
    </row>
    <row r="12" spans="1:4" ht="18.75">
      <c r="A12" s="1493" t="s">
        <v>1543</v>
      </c>
    </row>
    <row r="13" spans="1:4" ht="18.75">
      <c r="A13" s="1488" t="s">
        <v>1589</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根据《国有土地使用证》[]，估价对象（分摊）出让国有建设用地使用权面积为86493.04平方米。根据《建设工程规划许可证》[]、《出让合同》[]，估价对象规划建筑面积为302725.5平方米。</v>
      </c>
    </row>
    <row r="21" spans="1:1" ht="93.75">
      <c r="A21" s="21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8" t="s">
        <v>1592</v>
      </c>
    </row>
    <row r="23" spans="1:1" ht="18.75">
      <c r="A23" s="2180" t="s">
        <v>2031</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2023年5月11日，在规划利用条件下、设定土地开发程度为红线外“七通”、宗地内场地，设定用途为，剩余土地使用年限为的出让国有建设用地使用权价格。</v>
      </c>
    </row>
    <row r="26" spans="1:1" ht="37.5">
      <c r="A26" s="14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8" t="str">
        <f>IF(项目基本情况!E9="——","",定义!C57)</f>
        <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844"/>
      <c r="C1" s="455" t="s">
        <v>732</v>
      </c>
      <c r="D1" s="783"/>
      <c r="E1" s="457"/>
      <c r="F1" s="2118"/>
      <c r="G1" s="1328" t="s">
        <v>733</v>
      </c>
      <c r="H1" s="457"/>
      <c r="I1" s="457"/>
      <c r="J1" s="457"/>
      <c r="K1" s="458"/>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734</v>
      </c>
      <c r="B2" s="784" t="e">
        <f>IF(B37="元/平方米",ROUND(B3*D3/10000,0),ROUND(F3*C39/10000,0))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735</v>
      </c>
      <c r="B3" s="461" t="e">
        <f>IF(B37="元/平方米",C39,ROUND(B2*10000/D3,0))</f>
        <v>#DIV/0!</v>
      </c>
      <c r="C3" s="786" t="s">
        <v>736</v>
      </c>
      <c r="D3" s="785">
        <f>SUMIF('数据-汇总表'!$C19:$C33,D1,'数据-汇总表'!$E19:$E33)</f>
        <v>0</v>
      </c>
      <c r="E3" s="1537" t="s">
        <v>1594</v>
      </c>
      <c r="F3" s="785">
        <f>SUMIF('数据-取费表'!A5:A15,D1,'数据-取费表'!AH5:AH15)</f>
        <v>0</v>
      </c>
      <c r="G3" s="1736"/>
      <c r="H3" s="1736"/>
      <c r="I3" s="1736"/>
      <c r="J3" s="1736"/>
      <c r="K3" s="1738"/>
      <c r="L3" s="1739"/>
      <c r="M3" s="1740"/>
      <c r="N3" s="1740"/>
      <c r="O3" s="1740"/>
      <c r="P3" s="1740"/>
      <c r="Q3" s="1740"/>
      <c r="R3" s="1740"/>
      <c r="S3" s="1740"/>
      <c r="T3" s="1740"/>
      <c r="U3" s="1740"/>
      <c r="V3" s="1740"/>
      <c r="W3" s="1740"/>
      <c r="X3" s="1740"/>
      <c r="Y3" s="1740"/>
      <c r="Z3" s="1740"/>
      <c r="AA3" s="1740"/>
      <c r="AB3" s="2720"/>
      <c r="AC3" s="1674"/>
    </row>
    <row r="4" spans="1:29" ht="15">
      <c r="A4" s="463" t="s">
        <v>737</v>
      </c>
      <c r="B4" s="464"/>
      <c r="C4" s="3602" t="s">
        <v>738</v>
      </c>
      <c r="D4" s="3603"/>
      <c r="E4" s="3602" t="s">
        <v>739</v>
      </c>
      <c r="F4" s="3603"/>
      <c r="G4" s="3602" t="s">
        <v>740</v>
      </c>
      <c r="H4" s="3603"/>
      <c r="I4" s="3602" t="s">
        <v>741</v>
      </c>
      <c r="J4" s="3603"/>
      <c r="K4" s="465" t="s">
        <v>742</v>
      </c>
      <c r="L4" s="1741"/>
      <c r="M4" s="1742"/>
      <c r="N4" s="1742"/>
      <c r="O4" s="1742"/>
      <c r="P4" s="3604" t="s">
        <v>743</v>
      </c>
      <c r="Q4" s="3605"/>
      <c r="R4" s="3588" t="s">
        <v>739</v>
      </c>
      <c r="S4" s="3589"/>
      <c r="T4" s="3588" t="s">
        <v>740</v>
      </c>
      <c r="U4" s="3589"/>
      <c r="V4" s="3610" t="s">
        <v>741</v>
      </c>
      <c r="W4" s="3610"/>
      <c r="X4" s="1302"/>
      <c r="Y4" s="3588" t="s">
        <v>743</v>
      </c>
      <c r="Z4" s="3589"/>
      <c r="AA4" s="3583" t="s">
        <v>739</v>
      </c>
      <c r="AB4" s="3584" t="s">
        <v>740</v>
      </c>
      <c r="AC4" s="3583" t="s">
        <v>741</v>
      </c>
    </row>
    <row r="5" spans="1:29" ht="15">
      <c r="A5" s="466"/>
      <c r="B5" s="467"/>
      <c r="C5" s="3613" t="s">
        <v>2187</v>
      </c>
      <c r="D5" s="3614"/>
      <c r="E5" s="3613" t="s">
        <v>2188</v>
      </c>
      <c r="F5" s="3614"/>
      <c r="G5" s="3613" t="s">
        <v>2189</v>
      </c>
      <c r="H5" s="3614"/>
      <c r="I5" s="3613" t="s">
        <v>2190</v>
      </c>
      <c r="J5" s="3614"/>
      <c r="K5" s="465"/>
      <c r="L5" s="1741"/>
      <c r="M5" s="1742"/>
      <c r="N5" s="1742"/>
      <c r="O5" s="1742"/>
      <c r="P5" s="3606"/>
      <c r="Q5" s="3607"/>
      <c r="R5" s="3590"/>
      <c r="S5" s="3591"/>
      <c r="T5" s="3590"/>
      <c r="U5" s="3591"/>
      <c r="V5" s="3610"/>
      <c r="W5" s="3610"/>
      <c r="X5" s="1302"/>
      <c r="Y5" s="3590"/>
      <c r="Z5" s="3591"/>
      <c r="AA5" s="3584"/>
      <c r="AB5" s="3584"/>
      <c r="AC5" s="3584"/>
    </row>
    <row r="6" spans="1:29" ht="15.75" thickBot="1">
      <c r="A6" s="468"/>
      <c r="B6" s="469"/>
      <c r="C6" s="3611" t="s">
        <v>2191</v>
      </c>
      <c r="D6" s="3612"/>
      <c r="E6" s="3615" t="s">
        <v>2191</v>
      </c>
      <c r="F6" s="3616"/>
      <c r="G6" s="3611" t="s">
        <v>2191</v>
      </c>
      <c r="H6" s="3612"/>
      <c r="I6" s="3611" t="s">
        <v>2191</v>
      </c>
      <c r="J6" s="3612"/>
      <c r="K6" s="465" t="s">
        <v>477</v>
      </c>
      <c r="L6" s="1741"/>
      <c r="M6" s="1742"/>
      <c r="N6" s="1742"/>
      <c r="O6" s="1742"/>
      <c r="P6" s="3608"/>
      <c r="Q6" s="3609"/>
      <c r="R6" s="3590"/>
      <c r="S6" s="3591"/>
      <c r="T6" s="3592"/>
      <c r="U6" s="3593"/>
      <c r="V6" s="3610"/>
      <c r="W6" s="3610"/>
      <c r="X6" s="1302"/>
      <c r="Y6" s="3592"/>
      <c r="Z6" s="3593"/>
      <c r="AA6" s="3585"/>
      <c r="AB6" s="3585"/>
      <c r="AC6" s="3585"/>
    </row>
    <row r="7" spans="1:29" s="1059" customFormat="1" ht="15.75" thickBot="1">
      <c r="A7" s="2209"/>
      <c r="B7" s="2216" t="s">
        <v>478</v>
      </c>
      <c r="C7" s="470">
        <f>'数据-取费表'!B2</f>
        <v>45057</v>
      </c>
      <c r="D7" s="471">
        <v>100</v>
      </c>
      <c r="E7" s="472"/>
      <c r="F7" s="473">
        <f>SUMIF(48:48,YEAR(E7)&amp;"-"&amp;MONTH(E7),49:49)</f>
        <v>0</v>
      </c>
      <c r="G7" s="474"/>
      <c r="H7" s="471">
        <f>SUMIF(48:48,YEAR(G7)&amp;"-"&amp;MONTH(G7),49:49)</f>
        <v>0</v>
      </c>
      <c r="I7" s="474"/>
      <c r="J7" s="471">
        <f>SUMIF(48:48,YEAR(I7)&amp;"-"&amp;MONTH(I7),49:49)</f>
        <v>0</v>
      </c>
      <c r="K7" s="88"/>
      <c r="L7" s="1743"/>
      <c r="M7" s="1640"/>
      <c r="N7" s="1640"/>
      <c r="O7" s="1640"/>
      <c r="P7" s="3586" t="s">
        <v>479</v>
      </c>
      <c r="Q7" s="3595"/>
      <c r="R7" s="1303" t="s">
        <v>5</v>
      </c>
      <c r="S7" s="1304">
        <f t="shared" ref="S7:S14" si="0">F7</f>
        <v>0</v>
      </c>
      <c r="T7" s="1303" t="s">
        <v>5</v>
      </c>
      <c r="U7" s="1304">
        <f t="shared" ref="U7:U14" si="1">H7</f>
        <v>0</v>
      </c>
      <c r="V7" s="1303" t="s">
        <v>5</v>
      </c>
      <c r="W7" s="1304">
        <f t="shared" ref="W7:W14" si="2">J7</f>
        <v>0</v>
      </c>
      <c r="X7" s="1305"/>
      <c r="Y7" s="3586" t="s">
        <v>479</v>
      </c>
      <c r="Z7" s="3587"/>
      <c r="AA7" s="996" t="e">
        <f>D7/F7</f>
        <v>#DIV/0!</v>
      </c>
      <c r="AB7" s="996" t="e">
        <f>D7/H7</f>
        <v>#DIV/0!</v>
      </c>
      <c r="AC7" s="996" t="e">
        <f>D7/J7</f>
        <v>#DIV/0!</v>
      </c>
    </row>
    <row r="8" spans="1:29" s="1059" customFormat="1" ht="15.75" thickBot="1">
      <c r="A8" s="2210"/>
      <c r="B8" s="2217" t="s">
        <v>480</v>
      </c>
      <c r="C8" s="475" t="s">
        <v>524</v>
      </c>
      <c r="D8" s="471">
        <v>100</v>
      </c>
      <c r="E8" s="475"/>
      <c r="F8" s="473">
        <f>SUMIF(51:51,E8,52:52)-SUMIF(51:51,C8,52:52)+100</f>
        <v>0</v>
      </c>
      <c r="G8" s="475"/>
      <c r="H8" s="471">
        <f>SUMIF(51:51,G8,52:52)-SUMIF(51:51,C8,52:52)+100</f>
        <v>0</v>
      </c>
      <c r="I8" s="475"/>
      <c r="J8" s="471">
        <f>SUMIF(51:51,I8,52:52)-SUMIF(51:51,C8,52:52)+100</f>
        <v>0</v>
      </c>
      <c r="K8" s="88"/>
      <c r="L8" s="1743"/>
      <c r="M8" s="1640"/>
      <c r="N8" s="1640"/>
      <c r="O8" s="1640"/>
      <c r="P8" s="3586" t="s">
        <v>482</v>
      </c>
      <c r="Q8" s="3587"/>
      <c r="R8" s="1303" t="s">
        <v>5</v>
      </c>
      <c r="S8" s="1304">
        <f t="shared" si="0"/>
        <v>0</v>
      </c>
      <c r="T8" s="1303" t="s">
        <v>5</v>
      </c>
      <c r="U8" s="1304">
        <f t="shared" si="1"/>
        <v>0</v>
      </c>
      <c r="V8" s="1303" t="s">
        <v>5</v>
      </c>
      <c r="W8" s="1304">
        <f t="shared" si="2"/>
        <v>0</v>
      </c>
      <c r="X8" s="1305"/>
      <c r="Y8" s="3586" t="s">
        <v>482</v>
      </c>
      <c r="Z8" s="3587"/>
      <c r="AA8" s="996" t="e">
        <f t="shared" ref="AA8:AA36" si="3">D8/F8</f>
        <v>#DIV/0!</v>
      </c>
      <c r="AB8" s="996" t="e">
        <f t="shared" ref="AB8:AB36" si="4">D8/H8</f>
        <v>#DIV/0!</v>
      </c>
      <c r="AC8" s="996" t="e">
        <f t="shared" ref="AC8:AC36" si="5">D8/J8</f>
        <v>#DIV/0!</v>
      </c>
    </row>
    <row r="9" spans="1:29" s="1059" customFormat="1" ht="15">
      <c r="A9" s="2211"/>
      <c r="B9" s="2218" t="s">
        <v>2038</v>
      </c>
      <c r="C9" s="791"/>
      <c r="D9" s="154">
        <v>100</v>
      </c>
      <c r="E9" s="793"/>
      <c r="F9" s="154">
        <f>SUMIF(53:53,E9,54:54)-SUMIF(53:53,C9,54:54)+100</f>
        <v>100</v>
      </c>
      <c r="G9" s="792"/>
      <c r="H9" s="154">
        <f>SUMIF(53:53,G9,54:54)-SUMIF(53:53,C9,54:54)+100</f>
        <v>100</v>
      </c>
      <c r="I9" s="792"/>
      <c r="J9" s="154">
        <f>SUMIF(53:53,I9,54:54)-SUMIF(53:53,C9,54:54)+100</f>
        <v>100</v>
      </c>
      <c r="K9" s="88"/>
      <c r="L9" s="1743"/>
      <c r="M9" s="1640"/>
      <c r="N9" s="1640"/>
      <c r="O9" s="1744"/>
      <c r="P9" s="3594" t="s">
        <v>484</v>
      </c>
      <c r="Q9" s="818" t="str">
        <f t="shared" ref="Q9:Q14" si="6">B9</f>
        <v>用途</v>
      </c>
      <c r="R9" s="1303" t="s">
        <v>5</v>
      </c>
      <c r="S9" s="1304">
        <f t="shared" si="0"/>
        <v>100</v>
      </c>
      <c r="T9" s="1303" t="s">
        <v>5</v>
      </c>
      <c r="U9" s="1304">
        <f t="shared" si="1"/>
        <v>100</v>
      </c>
      <c r="V9" s="1303" t="s">
        <v>5</v>
      </c>
      <c r="W9" s="1304">
        <f t="shared" si="2"/>
        <v>100</v>
      </c>
      <c r="X9" s="1305"/>
      <c r="Y9" s="3546" t="s">
        <v>485</v>
      </c>
      <c r="Z9" s="996" t="str">
        <f t="shared" ref="Z9:Z14" si="7">Q9</f>
        <v>用途</v>
      </c>
      <c r="AA9" s="996">
        <f t="shared" si="3"/>
        <v>1</v>
      </c>
      <c r="AB9" s="996">
        <f t="shared" si="4"/>
        <v>1</v>
      </c>
      <c r="AC9" s="996">
        <f t="shared" si="5"/>
        <v>1</v>
      </c>
    </row>
    <row r="10" spans="1:29" s="1132" customFormat="1" ht="27">
      <c r="A10" s="2212"/>
      <c r="B10" s="2217" t="s">
        <v>2039</v>
      </c>
      <c r="C10" s="3387"/>
      <c r="D10" s="235">
        <v>100</v>
      </c>
      <c r="E10" s="3387"/>
      <c r="F10" s="235">
        <f>SUMIF(55:55,E10,56:56)-SUMIF(55:55,C10,56:56)+100</f>
        <v>100</v>
      </c>
      <c r="G10" s="3388"/>
      <c r="H10" s="235">
        <f>SUMIF(55:55,G10,56:56)-SUMIF(55:55,C10,56:56)+100</f>
        <v>100</v>
      </c>
      <c r="I10" s="3387"/>
      <c r="J10" s="235">
        <f>SUMIF(55:55,I10,56:56)-SUMIF(55:55,C10,56:56)+100</f>
        <v>100</v>
      </c>
      <c r="K10" s="88"/>
      <c r="L10" s="1745"/>
      <c r="M10" s="1778"/>
      <c r="N10" s="1778"/>
      <c r="O10" s="1746"/>
      <c r="P10" s="3594"/>
      <c r="Q10" s="818" t="str">
        <f t="shared" si="6"/>
        <v>土地使用年限（年）</v>
      </c>
      <c r="R10" s="1303" t="s">
        <v>5</v>
      </c>
      <c r="S10" s="1304">
        <f t="shared" si="0"/>
        <v>100</v>
      </c>
      <c r="T10" s="1303" t="s">
        <v>5</v>
      </c>
      <c r="U10" s="1304">
        <f t="shared" si="1"/>
        <v>100</v>
      </c>
      <c r="V10" s="1303" t="s">
        <v>5</v>
      </c>
      <c r="W10" s="1304">
        <f t="shared" si="2"/>
        <v>100</v>
      </c>
      <c r="X10" s="1305"/>
      <c r="Y10" s="3546"/>
      <c r="Z10" s="996" t="str">
        <f t="shared" si="7"/>
        <v>土地使用年限（年）</v>
      </c>
      <c r="AA10" s="996">
        <f t="shared" si="3"/>
        <v>1</v>
      </c>
      <c r="AB10" s="996">
        <f t="shared" si="4"/>
        <v>1</v>
      </c>
      <c r="AC10" s="996">
        <f t="shared" si="5"/>
        <v>1</v>
      </c>
    </row>
    <row r="11" spans="1:29" ht="15">
      <c r="A11" s="2214"/>
      <c r="B11" s="2220">
        <v>111</v>
      </c>
      <c r="C11" s="478"/>
      <c r="D11" s="235">
        <v>100</v>
      </c>
      <c r="E11" s="478"/>
      <c r="F11" s="235">
        <f>SUMIF(57:57,E11,58:58)-SUMIF(57:57,C11,58:58)+100</f>
        <v>100</v>
      </c>
      <c r="G11" s="478"/>
      <c r="H11" s="235">
        <f>SUMIF(57:57,G11,58:58)-SUMIF(57:57,C11,58:58)+100</f>
        <v>100</v>
      </c>
      <c r="I11" s="478"/>
      <c r="J11" s="235">
        <f>SUMIF(57:57,I11,58:58)-SUMIF(57:57,C11,58:58)+100</f>
        <v>100</v>
      </c>
      <c r="K11" s="531"/>
      <c r="L11" s="1747"/>
      <c r="M11" s="1742"/>
      <c r="N11" s="1742"/>
      <c r="O11" s="1748"/>
      <c r="P11" s="3594"/>
      <c r="Q11" s="818">
        <f t="shared" si="6"/>
        <v>111</v>
      </c>
      <c r="R11" s="1303" t="s">
        <v>5</v>
      </c>
      <c r="S11" s="1304">
        <f t="shared" si="0"/>
        <v>100</v>
      </c>
      <c r="T11" s="1303" t="s">
        <v>5</v>
      </c>
      <c r="U11" s="1304">
        <f t="shared" si="1"/>
        <v>100</v>
      </c>
      <c r="V11" s="1303" t="s">
        <v>5</v>
      </c>
      <c r="W11" s="1304">
        <f t="shared" si="2"/>
        <v>100</v>
      </c>
      <c r="X11" s="1305"/>
      <c r="Y11" s="3546"/>
      <c r="Z11" s="996">
        <f t="shared" si="7"/>
        <v>111</v>
      </c>
      <c r="AA11" s="996">
        <f t="shared" si="3"/>
        <v>1</v>
      </c>
      <c r="AB11" s="996">
        <f t="shared" si="4"/>
        <v>1</v>
      </c>
      <c r="AC11" s="996">
        <f t="shared" si="5"/>
        <v>1</v>
      </c>
    </row>
    <row r="12" spans="1:29" s="1059" customFormat="1" ht="15">
      <c r="A12" s="2214"/>
      <c r="B12" s="2220">
        <v>111</v>
      </c>
      <c r="C12" s="478"/>
      <c r="D12" s="488">
        <v>100</v>
      </c>
      <c r="E12" s="478"/>
      <c r="F12" s="235">
        <f>SUMIF(59:59,E12,60:60)-SUMIF(59:59,C12,60:60)+100</f>
        <v>100</v>
      </c>
      <c r="G12" s="478"/>
      <c r="H12" s="235">
        <f>SUMIF(59:59,G12,60:60)-SUMIF(59:59,C12,60:60)+100</f>
        <v>100</v>
      </c>
      <c r="I12" s="478"/>
      <c r="J12" s="235">
        <f>SUMIF(59:59,I12,60:60)-SUMIF(59:59,C12,60:60)+100</f>
        <v>100</v>
      </c>
      <c r="K12" s="531"/>
      <c r="L12" s="1743"/>
      <c r="M12" s="1640"/>
      <c r="N12" s="1640"/>
      <c r="O12" s="1744"/>
      <c r="P12" s="3594"/>
      <c r="Q12" s="818">
        <f t="shared" si="6"/>
        <v>111</v>
      </c>
      <c r="R12" s="1303" t="s">
        <v>5</v>
      </c>
      <c r="S12" s="1304">
        <f t="shared" si="0"/>
        <v>100</v>
      </c>
      <c r="T12" s="1303" t="s">
        <v>5</v>
      </c>
      <c r="U12" s="1304">
        <f t="shared" si="1"/>
        <v>100</v>
      </c>
      <c r="V12" s="1303" t="s">
        <v>5</v>
      </c>
      <c r="W12" s="1304">
        <f t="shared" si="2"/>
        <v>100</v>
      </c>
      <c r="X12" s="1305"/>
      <c r="Y12" s="3546"/>
      <c r="Z12" s="996">
        <f t="shared" si="7"/>
        <v>111</v>
      </c>
      <c r="AA12" s="996">
        <f>D12/F12</f>
        <v>1</v>
      </c>
      <c r="AB12" s="996">
        <f>D12/H12</f>
        <v>1</v>
      </c>
      <c r="AC12" s="996">
        <f>D12/J12</f>
        <v>1</v>
      </c>
    </row>
    <row r="13" spans="1:29" ht="15.75" thickBot="1">
      <c r="A13" s="2215"/>
      <c r="B13" s="2221">
        <v>111</v>
      </c>
      <c r="C13" s="489"/>
      <c r="D13" s="490">
        <v>100</v>
      </c>
      <c r="E13" s="478"/>
      <c r="F13" s="235">
        <f>SUMIF(61:61,E13,62:62)-SUMIF(61:61,C13,62:62)+100</f>
        <v>100</v>
      </c>
      <c r="G13" s="478"/>
      <c r="H13" s="490">
        <f>SUMIF(61:61,G13,62:62)-SUMIF(61:61,C13,62:62)+100</f>
        <v>100</v>
      </c>
      <c r="I13" s="478"/>
      <c r="J13" s="490">
        <f>SUMIF(61:61,I13,62:62)-SUMIF(61:61,C13,62:62)+100</f>
        <v>100</v>
      </c>
      <c r="K13" s="531"/>
      <c r="L13" s="1749"/>
      <c r="M13" s="1742"/>
      <c r="N13" s="1742"/>
      <c r="O13" s="1748"/>
      <c r="P13" s="3594"/>
      <c r="Q13" s="818">
        <f t="shared" si="6"/>
        <v>111</v>
      </c>
      <c r="R13" s="1303" t="s">
        <v>5</v>
      </c>
      <c r="S13" s="1304">
        <f t="shared" si="0"/>
        <v>100</v>
      </c>
      <c r="T13" s="1303" t="s">
        <v>5</v>
      </c>
      <c r="U13" s="1304">
        <f t="shared" si="1"/>
        <v>100</v>
      </c>
      <c r="V13" s="1303" t="s">
        <v>5</v>
      </c>
      <c r="W13" s="1304">
        <f t="shared" si="2"/>
        <v>100</v>
      </c>
      <c r="X13" s="1305"/>
      <c r="Y13" s="3546"/>
      <c r="Z13" s="996">
        <f t="shared" si="7"/>
        <v>111</v>
      </c>
      <c r="AA13" s="996">
        <f t="shared" si="3"/>
        <v>1</v>
      </c>
      <c r="AB13" s="996">
        <f t="shared" si="4"/>
        <v>1</v>
      </c>
      <c r="AC13" s="996">
        <f t="shared" si="5"/>
        <v>1</v>
      </c>
    </row>
    <row r="14" spans="1:29" ht="114">
      <c r="A14" s="2207" t="s">
        <v>2036</v>
      </c>
      <c r="B14" s="497" t="s">
        <v>492</v>
      </c>
      <c r="C14" s="842" t="str">
        <f>IF(B1="工业",估价对象房地状况!G4,估价对象房地状况!C6)</f>
        <v>估价对象周边道路状况一般、公共交通通达情况较差，有5、122路经过、停车便捷程度，综合评价交通便捷度一般</v>
      </c>
      <c r="D14" s="499">
        <v>100</v>
      </c>
      <c r="E14" s="500"/>
      <c r="F14" s="501">
        <f>SUMIF(63:63,E15,64:64)-SUMIF(63:63,C15,64:64)+100</f>
        <v>100</v>
      </c>
      <c r="G14" s="502"/>
      <c r="H14" s="499">
        <f>SUMIF(63:63,G15,64:64)-SUMIF(63:63,C15,64:64)+100</f>
        <v>100</v>
      </c>
      <c r="I14" s="500"/>
      <c r="J14" s="499">
        <f>SUMIF(63:63,I15,64:64)-SUMIF(63:63,C15,64:64)+100</f>
        <v>100</v>
      </c>
      <c r="K14" s="822"/>
      <c r="L14" s="1749"/>
      <c r="M14" s="1742"/>
      <c r="N14" s="1742"/>
      <c r="O14" s="1748"/>
      <c r="P14" s="3596" t="s">
        <v>489</v>
      </c>
      <c r="Q14" s="1306" t="str">
        <f t="shared" si="6"/>
        <v>交通便捷度</v>
      </c>
      <c r="R14" s="1307" t="s">
        <v>5</v>
      </c>
      <c r="S14" s="1308">
        <f t="shared" si="0"/>
        <v>100</v>
      </c>
      <c r="T14" s="1307" t="s">
        <v>5</v>
      </c>
      <c r="U14" s="1308">
        <f t="shared" si="1"/>
        <v>100</v>
      </c>
      <c r="V14" s="1307" t="s">
        <v>5</v>
      </c>
      <c r="W14" s="1308">
        <f t="shared" si="2"/>
        <v>100</v>
      </c>
      <c r="X14" s="1302"/>
      <c r="Y14" s="3596" t="s">
        <v>489</v>
      </c>
      <c r="Z14" s="1309" t="str">
        <f t="shared" si="7"/>
        <v>交通便捷度</v>
      </c>
      <c r="AA14" s="1309">
        <f t="shared" si="3"/>
        <v>1</v>
      </c>
      <c r="AB14" s="1309">
        <f t="shared" si="4"/>
        <v>1</v>
      </c>
      <c r="AC14" s="1309">
        <f t="shared" si="5"/>
        <v>1</v>
      </c>
    </row>
    <row r="15" spans="1:29" ht="15">
      <c r="A15" s="466"/>
      <c r="B15" s="845"/>
      <c r="C15" s="526"/>
      <c r="D15" s="505"/>
      <c r="E15" s="526"/>
      <c r="F15" s="507"/>
      <c r="G15" s="526"/>
      <c r="H15" s="509"/>
      <c r="I15" s="526"/>
      <c r="J15" s="505"/>
      <c r="K15" s="823"/>
      <c r="L15" s="1749"/>
      <c r="M15" s="1742"/>
      <c r="N15" s="1742"/>
      <c r="O15" s="1748"/>
      <c r="P15" s="3597"/>
      <c r="Q15" s="1306"/>
      <c r="R15" s="1307"/>
      <c r="S15" s="1308"/>
      <c r="T15" s="1307"/>
      <c r="U15" s="1308"/>
      <c r="V15" s="1307"/>
      <c r="W15" s="1308"/>
      <c r="X15" s="1302"/>
      <c r="Y15" s="3597"/>
      <c r="Z15" s="1309"/>
      <c r="AA15" s="1309">
        <v>1</v>
      </c>
      <c r="AB15" s="1309">
        <v>1</v>
      </c>
      <c r="AC15" s="1309">
        <v>1</v>
      </c>
    </row>
    <row r="16" spans="1:29" ht="57">
      <c r="A16" s="466"/>
      <c r="B16" s="2062" t="s">
        <v>1829</v>
      </c>
      <c r="C16" s="801" t="str">
        <f>IF(B1="工业",估价对象房地状况!G5,估价对象房地状况!C7)</f>
        <v>估价对象所在区域公共配套设施齐备情况较差</v>
      </c>
      <c r="D16" s="515">
        <v>100</v>
      </c>
      <c r="E16" s="522"/>
      <c r="F16" s="521">
        <f>SUMIF(65:65,E17,66:66)-SUMIF(65:65,C17,66:66)+100</f>
        <v>100</v>
      </c>
      <c r="G16" s="522"/>
      <c r="H16" s="515">
        <f>SUMIF(65:65,G17,66:66)-SUMIF(65:65,C17,66:66)+100</f>
        <v>100</v>
      </c>
      <c r="I16" s="520"/>
      <c r="J16" s="515">
        <f>SUMIF(65:65,I17,66:66)-SUMIF(65:65,C17,66:66)+100</f>
        <v>100</v>
      </c>
      <c r="K16" s="822"/>
      <c r="L16" s="1749"/>
      <c r="M16" s="1742"/>
      <c r="N16" s="1742"/>
      <c r="O16" s="1748"/>
      <c r="P16" s="3597"/>
      <c r="Q16" s="1306" t="str">
        <f>B16</f>
        <v>公共配套设施</v>
      </c>
      <c r="R16" s="1307" t="s">
        <v>5</v>
      </c>
      <c r="S16" s="1308">
        <f>F16</f>
        <v>100</v>
      </c>
      <c r="T16" s="1307" t="s">
        <v>5</v>
      </c>
      <c r="U16" s="1308">
        <f>H16</f>
        <v>100</v>
      </c>
      <c r="V16" s="1307" t="s">
        <v>5</v>
      </c>
      <c r="W16" s="1308">
        <f>J16</f>
        <v>100</v>
      </c>
      <c r="X16" s="1302"/>
      <c r="Y16" s="3597"/>
      <c r="Z16" s="1309" t="str">
        <f>Q16</f>
        <v>公共配套设施</v>
      </c>
      <c r="AA16" s="1309">
        <f t="shared" si="3"/>
        <v>1</v>
      </c>
      <c r="AB16" s="1309">
        <f t="shared" si="4"/>
        <v>1</v>
      </c>
      <c r="AC16" s="1309">
        <f t="shared" si="5"/>
        <v>1</v>
      </c>
    </row>
    <row r="17" spans="1:29" ht="15">
      <c r="A17" s="466"/>
      <c r="B17" s="516"/>
      <c r="C17" s="802"/>
      <c r="D17" s="505"/>
      <c r="E17" s="526"/>
      <c r="F17" s="507"/>
      <c r="G17" s="526"/>
      <c r="H17" s="505"/>
      <c r="I17" s="526"/>
      <c r="J17" s="505"/>
      <c r="K17" s="823"/>
      <c r="L17" s="1749"/>
      <c r="M17" s="1742"/>
      <c r="N17" s="1742"/>
      <c r="O17" s="1748"/>
      <c r="P17" s="3597"/>
      <c r="Q17" s="1306"/>
      <c r="R17" s="1307"/>
      <c r="S17" s="1308"/>
      <c r="T17" s="1307"/>
      <c r="U17" s="1308"/>
      <c r="V17" s="1307"/>
      <c r="W17" s="1308"/>
      <c r="X17" s="1302"/>
      <c r="Y17" s="3597"/>
      <c r="Z17" s="1309"/>
      <c r="AA17" s="1309">
        <v>1</v>
      </c>
      <c r="AB17" s="1309">
        <v>1</v>
      </c>
      <c r="AC17" s="1309">
        <v>1</v>
      </c>
    </row>
    <row r="18" spans="1:29" ht="15">
      <c r="A18" s="466"/>
      <c r="B18" s="2050" t="s">
        <v>1841</v>
      </c>
      <c r="C18" s="801" t="str">
        <f>IF(B1="工业",估价对象房地状况!G6,估价对象房地状况!C8)</f>
        <v>六通</v>
      </c>
      <c r="D18" s="509">
        <v>100</v>
      </c>
      <c r="E18" s="522"/>
      <c r="F18" s="521">
        <f>SUMIF(67:67,E19,68:68)-SUMIF(67:67,C19,68:68)+100</f>
        <v>100</v>
      </c>
      <c r="G18" s="522"/>
      <c r="H18" s="515">
        <f>SUMIF(67:67,G19,68:68)-SUMIF(67:67,C19,68:68)+100</f>
        <v>100</v>
      </c>
      <c r="I18" s="520"/>
      <c r="J18" s="515">
        <f>SUMIF(67:67,I19,68:68)-SUMIF(67:67,C19,68:68)+100</f>
        <v>100</v>
      </c>
      <c r="K18" s="822"/>
      <c r="L18" s="1749"/>
      <c r="M18" s="1742"/>
      <c r="N18" s="1742"/>
      <c r="O18" s="1748"/>
      <c r="P18" s="3597"/>
      <c r="Q18" s="1306" t="str">
        <f>B18</f>
        <v>基础设施水平</v>
      </c>
      <c r="R18" s="1307" t="s">
        <v>5</v>
      </c>
      <c r="S18" s="1308">
        <f>F18</f>
        <v>100</v>
      </c>
      <c r="T18" s="1307" t="s">
        <v>5</v>
      </c>
      <c r="U18" s="1308">
        <f>H18</f>
        <v>100</v>
      </c>
      <c r="V18" s="1307" t="s">
        <v>5</v>
      </c>
      <c r="W18" s="1308">
        <f>J18</f>
        <v>100</v>
      </c>
      <c r="X18" s="1302"/>
      <c r="Y18" s="3597"/>
      <c r="Z18" s="1309" t="str">
        <f>Q18</f>
        <v>基础设施水平</v>
      </c>
      <c r="AA18" s="1309">
        <f>D18/F18</f>
        <v>1</v>
      </c>
      <c r="AB18" s="1309">
        <f>D18/H18</f>
        <v>1</v>
      </c>
      <c r="AC18" s="1309">
        <f>D18/J18</f>
        <v>1</v>
      </c>
    </row>
    <row r="19" spans="1:29" ht="15">
      <c r="A19" s="466"/>
      <c r="B19" s="528"/>
      <c r="C19" s="802"/>
      <c r="D19" s="509"/>
      <c r="E19" s="526"/>
      <c r="F19" s="507"/>
      <c r="G19" s="526"/>
      <c r="H19" s="505"/>
      <c r="I19" s="526"/>
      <c r="J19" s="505"/>
      <c r="K19" s="2061"/>
      <c r="L19" s="1749"/>
      <c r="M19" s="1742"/>
      <c r="N19" s="1742"/>
      <c r="O19" s="1748"/>
      <c r="P19" s="3597"/>
      <c r="Q19" s="1306"/>
      <c r="R19" s="1307"/>
      <c r="S19" s="1308"/>
      <c r="T19" s="1307"/>
      <c r="U19" s="1308"/>
      <c r="V19" s="1307"/>
      <c r="W19" s="1308"/>
      <c r="X19" s="1302"/>
      <c r="Y19" s="3597"/>
      <c r="Z19" s="1309"/>
      <c r="AA19" s="1309">
        <v>1</v>
      </c>
      <c r="AB19" s="1309">
        <v>1</v>
      </c>
      <c r="AC19" s="1309">
        <v>1</v>
      </c>
    </row>
    <row r="20" spans="1:29" ht="57">
      <c r="A20" s="466"/>
      <c r="B20" s="510" t="s">
        <v>744</v>
      </c>
      <c r="C20" s="801" t="str">
        <f>IF(B1="工业",估价对象房地状况!G7,估价对象房地状况!C9)</f>
        <v>区域自然环境：；人文环境；综合评价环境状况较好</v>
      </c>
      <c r="D20" s="515">
        <v>100</v>
      </c>
      <c r="E20" s="512"/>
      <c r="F20" s="513">
        <f>SUMIF(69:69,E21,70:70)-SUMIF(69:69,C21,70:70)+100</f>
        <v>100</v>
      </c>
      <c r="G20" s="514"/>
      <c r="H20" s="509">
        <f>SUMIF(69:69,G21,70:70)-SUMIF(69:69,C21,70:70)+100</f>
        <v>100</v>
      </c>
      <c r="I20" s="512"/>
      <c r="J20" s="509">
        <f>SUMIF(69:69,I21,70:70)-SUMIF(69:69,C21,70:70)+100</f>
        <v>100</v>
      </c>
      <c r="K20" s="822"/>
      <c r="L20" s="1749"/>
      <c r="M20" s="1742"/>
      <c r="N20" s="1742"/>
      <c r="O20" s="1748"/>
      <c r="P20" s="3597"/>
      <c r="Q20" s="1306" t="str">
        <f>B20</f>
        <v>自然及人文环境</v>
      </c>
      <c r="R20" s="1307" t="s">
        <v>5</v>
      </c>
      <c r="S20" s="1308">
        <f>F20</f>
        <v>100</v>
      </c>
      <c r="T20" s="1307" t="s">
        <v>5</v>
      </c>
      <c r="U20" s="1308">
        <f>H20</f>
        <v>100</v>
      </c>
      <c r="V20" s="1307" t="s">
        <v>5</v>
      </c>
      <c r="W20" s="1308">
        <f>J20</f>
        <v>100</v>
      </c>
      <c r="X20" s="1302"/>
      <c r="Y20" s="3597"/>
      <c r="Z20" s="1309" t="str">
        <f>Q20</f>
        <v>自然及人文环境</v>
      </c>
      <c r="AA20" s="1309">
        <f t="shared" si="3"/>
        <v>1</v>
      </c>
      <c r="AB20" s="1309">
        <f t="shared" si="4"/>
        <v>1</v>
      </c>
      <c r="AC20" s="1309">
        <f t="shared" si="5"/>
        <v>1</v>
      </c>
    </row>
    <row r="21" spans="1:29" ht="15">
      <c r="A21" s="466"/>
      <c r="B21" s="516"/>
      <c r="C21" s="526"/>
      <c r="D21" s="505"/>
      <c r="E21" s="526"/>
      <c r="F21" s="507"/>
      <c r="G21" s="526"/>
      <c r="H21" s="505"/>
      <c r="I21" s="526"/>
      <c r="J21" s="505"/>
      <c r="K21" s="823"/>
      <c r="L21" s="1749"/>
      <c r="M21" s="1742"/>
      <c r="N21" s="1742"/>
      <c r="O21" s="1748"/>
      <c r="P21" s="3597"/>
      <c r="Q21" s="1306"/>
      <c r="R21" s="1307"/>
      <c r="S21" s="1308"/>
      <c r="T21" s="1307"/>
      <c r="U21" s="1308"/>
      <c r="V21" s="1307"/>
      <c r="W21" s="1308"/>
      <c r="X21" s="1302"/>
      <c r="Y21" s="3597"/>
      <c r="Z21" s="1309"/>
      <c r="AA21" s="1309">
        <v>1</v>
      </c>
      <c r="AB21" s="1309">
        <v>1</v>
      </c>
      <c r="AC21" s="1309">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9"/>
      <c r="M22" s="1742"/>
      <c r="N22" s="1742"/>
      <c r="O22" s="1748"/>
      <c r="P22" s="3597"/>
      <c r="Q22" s="1306" t="str">
        <f>B22</f>
        <v>楼层</v>
      </c>
      <c r="R22" s="1307" t="s">
        <v>5</v>
      </c>
      <c r="S22" s="1308">
        <f>F22</f>
        <v>100</v>
      </c>
      <c r="T22" s="1307" t="s">
        <v>5</v>
      </c>
      <c r="U22" s="1308">
        <f>H22</f>
        <v>100</v>
      </c>
      <c r="V22" s="1307" t="s">
        <v>5</v>
      </c>
      <c r="W22" s="1308">
        <f>J22</f>
        <v>100</v>
      </c>
      <c r="X22" s="1302"/>
      <c r="Y22" s="3597"/>
      <c r="Z22" s="1309" t="str">
        <f>Q22</f>
        <v>楼层</v>
      </c>
      <c r="AA22" s="1309">
        <f t="shared" si="3"/>
        <v>1</v>
      </c>
      <c r="AB22" s="1309">
        <f t="shared" si="4"/>
        <v>1</v>
      </c>
      <c r="AC22" s="1309">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9"/>
      <c r="M23" s="1742"/>
      <c r="N23" s="1742"/>
      <c r="O23" s="1748"/>
      <c r="P23" s="3597"/>
      <c r="Q23" s="1306">
        <f>B23</f>
        <v>111</v>
      </c>
      <c r="R23" s="1307" t="s">
        <v>5</v>
      </c>
      <c r="S23" s="1308">
        <f>F23</f>
        <v>100</v>
      </c>
      <c r="T23" s="1307" t="s">
        <v>5</v>
      </c>
      <c r="U23" s="1308">
        <f>H23</f>
        <v>100</v>
      </c>
      <c r="V23" s="1307" t="s">
        <v>5</v>
      </c>
      <c r="W23" s="1308">
        <f>J23</f>
        <v>100</v>
      </c>
      <c r="X23" s="1302"/>
      <c r="Y23" s="3597"/>
      <c r="Z23" s="1309">
        <f>Q23</f>
        <v>111</v>
      </c>
      <c r="AA23" s="1309">
        <f t="shared" si="3"/>
        <v>1</v>
      </c>
      <c r="AB23" s="1309">
        <f t="shared" si="4"/>
        <v>1</v>
      </c>
      <c r="AC23" s="1309">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9"/>
      <c r="M24" s="1742"/>
      <c r="N24" s="1742"/>
      <c r="O24" s="1748"/>
      <c r="P24" s="3597"/>
      <c r="Q24" s="1306">
        <f t="shared" ref="Q24:Q36" si="8">B24</f>
        <v>111</v>
      </c>
      <c r="R24" s="1307" t="s">
        <v>5</v>
      </c>
      <c r="S24" s="1308">
        <f>F24</f>
        <v>100</v>
      </c>
      <c r="T24" s="1307" t="s">
        <v>5</v>
      </c>
      <c r="U24" s="1308">
        <f>H24</f>
        <v>100</v>
      </c>
      <c r="V24" s="1307" t="s">
        <v>5</v>
      </c>
      <c r="W24" s="1308">
        <f>J24</f>
        <v>100</v>
      </c>
      <c r="X24" s="1302"/>
      <c r="Y24" s="3597"/>
      <c r="Z24" s="1309">
        <f>Q24</f>
        <v>111</v>
      </c>
      <c r="AA24" s="1309">
        <f t="shared" si="3"/>
        <v>1</v>
      </c>
      <c r="AB24" s="1309">
        <f t="shared" si="4"/>
        <v>1</v>
      </c>
      <c r="AC24" s="1309">
        <f t="shared" si="5"/>
        <v>1</v>
      </c>
    </row>
    <row r="25" spans="1:29" s="1059" customFormat="1" ht="15.75" thickBot="1">
      <c r="A25" s="527"/>
      <c r="B25" s="836">
        <v>111</v>
      </c>
      <c r="C25" s="495"/>
      <c r="D25" s="846">
        <v>100</v>
      </c>
      <c r="E25" s="833"/>
      <c r="F25" s="847">
        <f>SUMIF(77:77,E25,78:78)-SUMIF(77:77,C25,78:78)+100</f>
        <v>100</v>
      </c>
      <c r="G25" s="833"/>
      <c r="H25" s="846">
        <f>SUMIF(77:77,G25,78:78)-SUMIF(77:77,C25,78:78)+100</f>
        <v>100</v>
      </c>
      <c r="I25" s="833"/>
      <c r="J25" s="846">
        <f>SUMIF(77:77,I25,78:78)-SUMIF(77:77,C25,78:78)+100</f>
        <v>100</v>
      </c>
      <c r="K25" s="531"/>
      <c r="L25" s="1743"/>
      <c r="M25" s="1640"/>
      <c r="N25" s="1640"/>
      <c r="O25" s="1744"/>
      <c r="P25" s="3597"/>
      <c r="Q25" s="818">
        <f t="shared" si="8"/>
        <v>111</v>
      </c>
      <c r="R25" s="1303" t="s">
        <v>5</v>
      </c>
      <c r="S25" s="1304">
        <f>F25</f>
        <v>100</v>
      </c>
      <c r="T25" s="1303" t="s">
        <v>5</v>
      </c>
      <c r="U25" s="1304">
        <f>H25</f>
        <v>100</v>
      </c>
      <c r="V25" s="1303" t="s">
        <v>5</v>
      </c>
      <c r="W25" s="1304">
        <f>J25</f>
        <v>100</v>
      </c>
      <c r="X25" s="1305"/>
      <c r="Y25" s="3597"/>
      <c r="Z25" s="996">
        <f>Q25</f>
        <v>111</v>
      </c>
      <c r="AA25" s="1309">
        <f>D25/F25</f>
        <v>1</v>
      </c>
      <c r="AB25" s="1309">
        <f>D25/H25</f>
        <v>1</v>
      </c>
      <c r="AC25" s="1309">
        <f>D25/J25</f>
        <v>1</v>
      </c>
    </row>
    <row r="26" spans="1:29" ht="15">
      <c r="A26" s="2204" t="s">
        <v>2037</v>
      </c>
      <c r="B26" s="154" t="s">
        <v>746</v>
      </c>
      <c r="C26" s="848">
        <f>B1</f>
        <v>0</v>
      </c>
      <c r="D26" s="505">
        <v>100</v>
      </c>
      <c r="E26" s="526"/>
      <c r="F26" s="507">
        <f>SUMIF(79:79,E26,80:80)-SUMIF(79:79,C26,80:80)+100</f>
        <v>100</v>
      </c>
      <c r="G26" s="526"/>
      <c r="H26" s="505">
        <f>SUMIF(79:79,G26,80:80)-SUMIF(79:79,C26,80:80)+100</f>
        <v>100</v>
      </c>
      <c r="I26" s="526"/>
      <c r="J26" s="505">
        <f>SUMIF(79:79,I26,80:80)-SUMIF(79:79,C26,80:80)+100</f>
        <v>100</v>
      </c>
      <c r="K26" s="533"/>
      <c r="L26" s="1749"/>
      <c r="M26" s="1742"/>
      <c r="N26" s="1742"/>
      <c r="O26" s="1748"/>
      <c r="P26" s="3598" t="s">
        <v>499</v>
      </c>
      <c r="Q26" s="1306" t="str">
        <f t="shared" si="8"/>
        <v>配套类型</v>
      </c>
      <c r="R26" s="1307" t="s">
        <v>5</v>
      </c>
      <c r="S26" s="1308">
        <f t="shared" ref="S26:S36" si="9">F26</f>
        <v>100</v>
      </c>
      <c r="T26" s="1307" t="s">
        <v>5</v>
      </c>
      <c r="U26" s="1308">
        <f t="shared" ref="U26:U36" si="10">H26</f>
        <v>100</v>
      </c>
      <c r="V26" s="1307" t="s">
        <v>5</v>
      </c>
      <c r="W26" s="1308">
        <f t="shared" ref="W26:W36" si="11">J26</f>
        <v>100</v>
      </c>
      <c r="X26" s="1302"/>
      <c r="Y26" s="3599" t="s">
        <v>499</v>
      </c>
      <c r="Z26" s="1309" t="str">
        <f t="shared" ref="Z26:Z36" si="12">Q26</f>
        <v>配套类型</v>
      </c>
      <c r="AA26" s="1309">
        <f t="shared" si="3"/>
        <v>1</v>
      </c>
      <c r="AB26" s="1309">
        <f t="shared" si="4"/>
        <v>1</v>
      </c>
      <c r="AC26" s="1309">
        <f t="shared" si="5"/>
        <v>1</v>
      </c>
    </row>
    <row r="27" spans="1:29" s="1133" customFormat="1" ht="15">
      <c r="A27" s="849"/>
      <c r="B27" s="235" t="s">
        <v>747</v>
      </c>
      <c r="C27" s="850"/>
      <c r="D27" s="235">
        <v>100</v>
      </c>
      <c r="E27" s="850"/>
      <c r="F27" s="525">
        <f>SUMIF(81:81,E27,82:82)-SUMIF(81:81,C27,82:82)+100</f>
        <v>100</v>
      </c>
      <c r="G27" s="850"/>
      <c r="H27" s="490">
        <f>SUMIF(81:81,G27,82:82)-SUMIF(81:81,C27,82:82)+100</f>
        <v>100</v>
      </c>
      <c r="I27" s="850"/>
      <c r="J27" s="490">
        <f>SUMIF(81:81,I27,82:82)-SUMIF(81:81,C27,82:82)+100</f>
        <v>100</v>
      </c>
      <c r="K27" s="531"/>
      <c r="L27" s="1747"/>
      <c r="M27" s="1771"/>
      <c r="N27" s="1771"/>
      <c r="O27" s="1750"/>
      <c r="P27" s="3599"/>
      <c r="Q27" s="819" t="str">
        <f t="shared" si="8"/>
        <v>项目停车位配比</v>
      </c>
      <c r="R27" s="1310" t="s">
        <v>5</v>
      </c>
      <c r="S27" s="1311">
        <f t="shared" si="9"/>
        <v>100</v>
      </c>
      <c r="T27" s="1310" t="s">
        <v>5</v>
      </c>
      <c r="U27" s="1311">
        <f t="shared" si="10"/>
        <v>100</v>
      </c>
      <c r="V27" s="1310" t="s">
        <v>5</v>
      </c>
      <c r="W27" s="1311">
        <f t="shared" si="11"/>
        <v>100</v>
      </c>
      <c r="X27" s="1312"/>
      <c r="Y27" s="3599"/>
      <c r="Z27" s="1313" t="str">
        <f t="shared" si="12"/>
        <v>项目停车位配比</v>
      </c>
      <c r="AA27" s="1309">
        <f t="shared" si="3"/>
        <v>1</v>
      </c>
      <c r="AB27" s="1309">
        <f t="shared" si="4"/>
        <v>1</v>
      </c>
      <c r="AC27" s="1309">
        <f t="shared" si="5"/>
        <v>1</v>
      </c>
    </row>
    <row r="28" spans="1:29" ht="15">
      <c r="A28" s="851"/>
      <c r="B28" s="235" t="s">
        <v>748</v>
      </c>
      <c r="C28" s="524"/>
      <c r="D28" s="490">
        <v>100</v>
      </c>
      <c r="E28" s="524"/>
      <c r="F28" s="525">
        <f>SUMIF(83:83,E28,84:84)-SUMIF(83:83,C28,84:84)+100</f>
        <v>100</v>
      </c>
      <c r="G28" s="524"/>
      <c r="H28" s="490">
        <f>SUMIF(83:83,G28,84:84)-SUMIF(83:83,C28,84:84)+100</f>
        <v>100</v>
      </c>
      <c r="I28" s="524"/>
      <c r="J28" s="490">
        <f>SUMIF(83:83,I28,84:84)-SUMIF(83:83,C28,84:84)+100</f>
        <v>100</v>
      </c>
      <c r="K28" s="533"/>
      <c r="L28" s="1749"/>
      <c r="M28" s="1742"/>
      <c r="N28" s="1742"/>
      <c r="O28" s="1748"/>
      <c r="P28" s="3599"/>
      <c r="Q28" s="1306" t="str">
        <f t="shared" si="8"/>
        <v>公共部分装修</v>
      </c>
      <c r="R28" s="1307" t="s">
        <v>5</v>
      </c>
      <c r="S28" s="1308">
        <f t="shared" si="9"/>
        <v>100</v>
      </c>
      <c r="T28" s="1307" t="s">
        <v>5</v>
      </c>
      <c r="U28" s="1308">
        <f t="shared" si="10"/>
        <v>100</v>
      </c>
      <c r="V28" s="1307" t="s">
        <v>5</v>
      </c>
      <c r="W28" s="1308">
        <f t="shared" si="11"/>
        <v>100</v>
      </c>
      <c r="X28" s="1302"/>
      <c r="Y28" s="3599"/>
      <c r="Z28" s="1309" t="str">
        <f t="shared" si="12"/>
        <v>公共部分装修</v>
      </c>
      <c r="AA28" s="1309">
        <f t="shared" si="3"/>
        <v>1</v>
      </c>
      <c r="AB28" s="1309">
        <f t="shared" si="4"/>
        <v>1</v>
      </c>
      <c r="AC28" s="1309">
        <f t="shared" si="5"/>
        <v>1</v>
      </c>
    </row>
    <row r="29" spans="1:29" ht="15">
      <c r="A29" s="851"/>
      <c r="B29" s="235" t="s">
        <v>749</v>
      </c>
      <c r="C29" s="806"/>
      <c r="D29" s="490">
        <v>100</v>
      </c>
      <c r="E29" s="808"/>
      <c r="F29" s="525" t="e">
        <f>LOOKUP(E29,86:86,87:87)-LOOKUP(C29,86:86,87:87)+100</f>
        <v>#N/A</v>
      </c>
      <c r="G29" s="808"/>
      <c r="H29" s="525" t="e">
        <f>LOOKUP(G29,86:86,87:87)-LOOKUP(C29,86:86,87:87)+100</f>
        <v>#N/A</v>
      </c>
      <c r="I29" s="808"/>
      <c r="J29" s="490" t="e">
        <f>LOOKUP(I29,86:86,87:87)-LOOKUP(C29,86:86,87:87)+100</f>
        <v>#N/A</v>
      </c>
      <c r="K29" s="533"/>
      <c r="L29" s="1749"/>
      <c r="M29" s="1742"/>
      <c r="N29" s="1742"/>
      <c r="O29" s="1748"/>
      <c r="P29" s="3599"/>
      <c r="Q29" s="1306" t="str">
        <f t="shared" si="8"/>
        <v>成新率</v>
      </c>
      <c r="R29" s="1307" t="s">
        <v>5</v>
      </c>
      <c r="S29" s="1308" t="e">
        <f t="shared" si="9"/>
        <v>#N/A</v>
      </c>
      <c r="T29" s="1307" t="s">
        <v>5</v>
      </c>
      <c r="U29" s="1308" t="e">
        <f t="shared" si="10"/>
        <v>#N/A</v>
      </c>
      <c r="V29" s="1307" t="s">
        <v>5</v>
      </c>
      <c r="W29" s="1308" t="e">
        <f t="shared" si="11"/>
        <v>#N/A</v>
      </c>
      <c r="X29" s="1302"/>
      <c r="Y29" s="3599"/>
      <c r="Z29" s="1309" t="str">
        <f t="shared" si="12"/>
        <v>成新率</v>
      </c>
      <c r="AA29" s="1309" t="e">
        <f t="shared" si="3"/>
        <v>#N/A</v>
      </c>
      <c r="AB29" s="1309" t="e">
        <f t="shared" si="4"/>
        <v>#N/A</v>
      </c>
      <c r="AC29" s="1309" t="e">
        <f t="shared" si="5"/>
        <v>#N/A</v>
      </c>
    </row>
    <row r="30" spans="1:29" ht="15">
      <c r="A30" s="851"/>
      <c r="B30" s="235" t="s">
        <v>750</v>
      </c>
      <c r="C30" s="852"/>
      <c r="D30" s="490">
        <v>100</v>
      </c>
      <c r="E30" s="852"/>
      <c r="F30" s="525">
        <f>SUMIF(88:88,E30,89:89)-SUMIF(88:88,C30,89:89)+100</f>
        <v>100</v>
      </c>
      <c r="G30" s="852"/>
      <c r="H30" s="490">
        <f>SUMIF(88:88,E30,89:89)-SUMIF(88:88,C30,89:89)+100</f>
        <v>100</v>
      </c>
      <c r="I30" s="852"/>
      <c r="J30" s="490">
        <f>SUMIF(88:88,E30,89:89)-SUMIF(88:88,C30,89:89)+100</f>
        <v>100</v>
      </c>
      <c r="K30" s="533"/>
      <c r="L30" s="1749"/>
      <c r="M30" s="1742"/>
      <c r="N30" s="1742"/>
      <c r="O30" s="1748"/>
      <c r="P30" s="3599"/>
      <c r="Q30" s="1306" t="str">
        <f t="shared" si="8"/>
        <v>物业等级</v>
      </c>
      <c r="R30" s="1307" t="s">
        <v>5</v>
      </c>
      <c r="S30" s="1308">
        <f t="shared" si="9"/>
        <v>100</v>
      </c>
      <c r="T30" s="1307" t="s">
        <v>5</v>
      </c>
      <c r="U30" s="1308">
        <f t="shared" si="10"/>
        <v>100</v>
      </c>
      <c r="V30" s="1307" t="s">
        <v>5</v>
      </c>
      <c r="W30" s="1308">
        <f t="shared" si="11"/>
        <v>100</v>
      </c>
      <c r="X30" s="1302"/>
      <c r="Y30" s="3599"/>
      <c r="Z30" s="1309" t="str">
        <f t="shared" si="12"/>
        <v>物业等级</v>
      </c>
      <c r="AA30" s="1309">
        <f t="shared" si="3"/>
        <v>1</v>
      </c>
      <c r="AB30" s="1309">
        <f t="shared" si="4"/>
        <v>1</v>
      </c>
      <c r="AC30" s="1309">
        <f t="shared" si="5"/>
        <v>1</v>
      </c>
    </row>
    <row r="31" spans="1:29" s="1059" customFormat="1" ht="15">
      <c r="A31" s="853"/>
      <c r="B31" s="235" t="s">
        <v>751</v>
      </c>
      <c r="C31" s="806"/>
      <c r="D31" s="235">
        <v>100</v>
      </c>
      <c r="E31" s="806"/>
      <c r="F31" s="525" t="e">
        <f>LOOKUP(E31,91:91,92:92)-LOOKUP(C31,91:91,92:92)+100</f>
        <v>#N/A</v>
      </c>
      <c r="G31" s="806"/>
      <c r="H31" s="490" t="e">
        <f>LOOKUP(G31,91:91,92:92)-LOOKUP(C31,91:91,92:92)+100</f>
        <v>#N/A</v>
      </c>
      <c r="I31" s="806"/>
      <c r="J31" s="490" t="e">
        <f>LOOKUP(I31,91:91,92:92)-LOOKUP(C31,91:91,92:92)+100</f>
        <v>#N/A</v>
      </c>
      <c r="K31" s="533"/>
      <c r="L31" s="1743"/>
      <c r="M31" s="1640"/>
      <c r="N31" s="1640"/>
      <c r="O31" s="1744"/>
      <c r="P31" s="3599"/>
      <c r="Q31" s="818" t="str">
        <f t="shared" si="8"/>
        <v>停车位面积</v>
      </c>
      <c r="R31" s="1303" t="s">
        <v>5</v>
      </c>
      <c r="S31" s="1304" t="e">
        <f t="shared" si="9"/>
        <v>#N/A</v>
      </c>
      <c r="T31" s="1303" t="s">
        <v>5</v>
      </c>
      <c r="U31" s="1304" t="e">
        <f t="shared" si="10"/>
        <v>#N/A</v>
      </c>
      <c r="V31" s="1303" t="s">
        <v>5</v>
      </c>
      <c r="W31" s="1304" t="e">
        <f t="shared" si="11"/>
        <v>#N/A</v>
      </c>
      <c r="X31" s="1305"/>
      <c r="Y31" s="3599"/>
      <c r="Z31" s="996" t="str">
        <f t="shared" si="12"/>
        <v>停车位面积</v>
      </c>
      <c r="AA31" s="996" t="e">
        <f t="shared" si="3"/>
        <v>#N/A</v>
      </c>
      <c r="AB31" s="996" t="e">
        <f t="shared" si="4"/>
        <v>#N/A</v>
      </c>
      <c r="AC31" s="996" t="e">
        <f t="shared" si="5"/>
        <v>#N/A</v>
      </c>
    </row>
    <row r="32" spans="1:29" ht="15">
      <c r="A32" s="851"/>
      <c r="B32" s="235" t="s">
        <v>752</v>
      </c>
      <c r="C32" s="524"/>
      <c r="D32" s="490">
        <v>100</v>
      </c>
      <c r="E32" s="524"/>
      <c r="F32" s="525">
        <f>SUMIF(93:93,E32,94:94)-SUMIF(93:93,C32,94:94)+100</f>
        <v>100</v>
      </c>
      <c r="G32" s="524"/>
      <c r="H32" s="490">
        <f>SUMIF(93:93,G32,94:94)-SUMIF(93:93,C32,94:94)+100</f>
        <v>100</v>
      </c>
      <c r="I32" s="524"/>
      <c r="J32" s="490">
        <f>SUMIF(93:93,I32,94:94)-SUMIF(93:93,C32,94:94)+100</f>
        <v>100</v>
      </c>
      <c r="K32" s="533"/>
      <c r="L32" s="1749"/>
      <c r="M32" s="1742"/>
      <c r="N32" s="1742"/>
      <c r="O32" s="1748"/>
      <c r="P32" s="3599" t="s">
        <v>499</v>
      </c>
      <c r="Q32" s="1306" t="str">
        <f t="shared" si="8"/>
        <v>车位类型</v>
      </c>
      <c r="R32" s="1307" t="s">
        <v>5</v>
      </c>
      <c r="S32" s="1308">
        <f t="shared" si="9"/>
        <v>100</v>
      </c>
      <c r="T32" s="1307" t="s">
        <v>5</v>
      </c>
      <c r="U32" s="1308">
        <f t="shared" si="10"/>
        <v>100</v>
      </c>
      <c r="V32" s="1307" t="s">
        <v>5</v>
      </c>
      <c r="W32" s="1308">
        <f t="shared" si="11"/>
        <v>100</v>
      </c>
      <c r="X32" s="1302"/>
      <c r="Y32" s="3599" t="s">
        <v>499</v>
      </c>
      <c r="Z32" s="1309" t="str">
        <f t="shared" si="12"/>
        <v>车位类型</v>
      </c>
      <c r="AA32" s="1309">
        <f t="shared" si="3"/>
        <v>1</v>
      </c>
      <c r="AB32" s="1309">
        <f t="shared" si="4"/>
        <v>1</v>
      </c>
      <c r="AC32" s="1309">
        <f t="shared" si="5"/>
        <v>1</v>
      </c>
    </row>
    <row r="33" spans="1:29" ht="15">
      <c r="A33" s="851"/>
      <c r="B33" s="235" t="s">
        <v>753</v>
      </c>
      <c r="C33" s="524"/>
      <c r="D33" s="490">
        <v>100</v>
      </c>
      <c r="E33" s="524"/>
      <c r="F33" s="525">
        <f>SUMIF(95:95,E33,96:96)-SUMIF(95:95,C33,96:96)+100</f>
        <v>100</v>
      </c>
      <c r="G33" s="524"/>
      <c r="H33" s="490">
        <f>SUMIF(95:95,G33,96:96)-SUMIF(95:95,C33,96:96)+100</f>
        <v>100</v>
      </c>
      <c r="I33" s="524"/>
      <c r="J33" s="490">
        <f>SUMIF(95:95,I33,96:96)-SUMIF(95:95,C33,96:96)+100</f>
        <v>100</v>
      </c>
      <c r="K33" s="533"/>
      <c r="L33" s="1749"/>
      <c r="M33" s="1742"/>
      <c r="N33" s="1742"/>
      <c r="O33" s="1748"/>
      <c r="P33" s="3599"/>
      <c r="Q33" s="1306" t="str">
        <f t="shared" si="8"/>
        <v>是否直接入户</v>
      </c>
      <c r="R33" s="1307" t="s">
        <v>5</v>
      </c>
      <c r="S33" s="1308">
        <f t="shared" si="9"/>
        <v>100</v>
      </c>
      <c r="T33" s="1307" t="s">
        <v>5</v>
      </c>
      <c r="U33" s="1308">
        <f t="shared" si="10"/>
        <v>100</v>
      </c>
      <c r="V33" s="1307" t="s">
        <v>5</v>
      </c>
      <c r="W33" s="1308">
        <f t="shared" si="11"/>
        <v>100</v>
      </c>
      <c r="X33" s="1302"/>
      <c r="Y33" s="3599"/>
      <c r="Z33" s="1309" t="str">
        <f t="shared" si="12"/>
        <v>是否直接入户</v>
      </c>
      <c r="AA33" s="1309">
        <f t="shared" si="3"/>
        <v>1</v>
      </c>
      <c r="AB33" s="1309">
        <f t="shared" si="4"/>
        <v>1</v>
      </c>
      <c r="AC33" s="1309">
        <f t="shared" si="5"/>
        <v>1</v>
      </c>
    </row>
    <row r="34" spans="1:29" ht="15">
      <c r="A34" s="851"/>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9"/>
      <c r="M34" s="1742"/>
      <c r="N34" s="1742"/>
      <c r="O34" s="1748"/>
      <c r="P34" s="3599"/>
      <c r="Q34" s="1306">
        <f t="shared" si="8"/>
        <v>111</v>
      </c>
      <c r="R34" s="1307" t="s">
        <v>5</v>
      </c>
      <c r="S34" s="1308">
        <f t="shared" si="9"/>
        <v>100</v>
      </c>
      <c r="T34" s="1307" t="s">
        <v>5</v>
      </c>
      <c r="U34" s="1308">
        <f t="shared" si="10"/>
        <v>100</v>
      </c>
      <c r="V34" s="1307" t="s">
        <v>5</v>
      </c>
      <c r="W34" s="1308">
        <f t="shared" si="11"/>
        <v>100</v>
      </c>
      <c r="X34" s="1302"/>
      <c r="Y34" s="3599"/>
      <c r="Z34" s="1309">
        <f t="shared" si="12"/>
        <v>111</v>
      </c>
      <c r="AA34" s="1309">
        <f t="shared" si="3"/>
        <v>1</v>
      </c>
      <c r="AB34" s="1309">
        <f t="shared" si="4"/>
        <v>1</v>
      </c>
      <c r="AC34" s="1309">
        <f t="shared" si="5"/>
        <v>1</v>
      </c>
    </row>
    <row r="35" spans="1:29" s="1133" customFormat="1" ht="15">
      <c r="A35" s="849"/>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7"/>
      <c r="M35" s="1771"/>
      <c r="N35" s="1771"/>
      <c r="O35" s="1750"/>
      <c r="P35" s="3599"/>
      <c r="Q35" s="819">
        <f t="shared" si="8"/>
        <v>111</v>
      </c>
      <c r="R35" s="1310" t="s">
        <v>5</v>
      </c>
      <c r="S35" s="1311">
        <f t="shared" si="9"/>
        <v>100</v>
      </c>
      <c r="T35" s="1310" t="s">
        <v>5</v>
      </c>
      <c r="U35" s="1311">
        <f t="shared" si="10"/>
        <v>100</v>
      </c>
      <c r="V35" s="1310" t="s">
        <v>5</v>
      </c>
      <c r="W35" s="1311">
        <f t="shared" si="11"/>
        <v>100</v>
      </c>
      <c r="X35" s="1312"/>
      <c r="Y35" s="3599"/>
      <c r="Z35" s="1313">
        <f t="shared" si="12"/>
        <v>111</v>
      </c>
      <c r="AA35" s="1309">
        <f t="shared" si="3"/>
        <v>1</v>
      </c>
      <c r="AB35" s="1309">
        <f t="shared" si="4"/>
        <v>1</v>
      </c>
      <c r="AC35" s="1309">
        <f t="shared" si="5"/>
        <v>1</v>
      </c>
    </row>
    <row r="36" spans="1:29" ht="15.75" thickBot="1">
      <c r="A36" s="854"/>
      <c r="B36" s="836">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9"/>
      <c r="M36" s="1742"/>
      <c r="N36" s="1742"/>
      <c r="O36" s="1748"/>
      <c r="P36" s="3599"/>
      <c r="Q36" s="1306">
        <f t="shared" si="8"/>
        <v>111</v>
      </c>
      <c r="R36" s="1307" t="s">
        <v>5</v>
      </c>
      <c r="S36" s="1308">
        <f t="shared" si="9"/>
        <v>100</v>
      </c>
      <c r="T36" s="1307" t="s">
        <v>5</v>
      </c>
      <c r="U36" s="1308">
        <f t="shared" si="10"/>
        <v>100</v>
      </c>
      <c r="V36" s="1307" t="s">
        <v>5</v>
      </c>
      <c r="W36" s="1308">
        <f t="shared" si="11"/>
        <v>100</v>
      </c>
      <c r="X36" s="1302"/>
      <c r="Y36" s="3599"/>
      <c r="Z36" s="1309">
        <f t="shared" si="12"/>
        <v>111</v>
      </c>
      <c r="AA36" s="1309">
        <f t="shared" si="3"/>
        <v>1</v>
      </c>
      <c r="AB36" s="1309">
        <f t="shared" si="4"/>
        <v>1</v>
      </c>
      <c r="AC36" s="1309">
        <f t="shared" si="5"/>
        <v>1</v>
      </c>
    </row>
    <row r="37" spans="1:29" ht="15">
      <c r="A37" s="1535" t="s">
        <v>1595</v>
      </c>
      <c r="B37" s="1536" t="s">
        <v>1596</v>
      </c>
      <c r="C37" s="2081" t="s">
        <v>0</v>
      </c>
      <c r="D37" s="559"/>
      <c r="E37" s="560"/>
      <c r="F37" s="561"/>
      <c r="G37" s="562"/>
      <c r="H37" s="563"/>
      <c r="I37" s="560"/>
      <c r="J37" s="563"/>
      <c r="K37" s="1335"/>
      <c r="L37" s="1751"/>
      <c r="M37" s="1742"/>
      <c r="N37" s="1742"/>
      <c r="O37" s="1742"/>
      <c r="P37" s="3594" t="str">
        <f>A37</f>
        <v>成交单价</v>
      </c>
      <c r="Q37" s="3594"/>
      <c r="R37" s="3610">
        <f>E37</f>
        <v>0</v>
      </c>
      <c r="S37" s="3610"/>
      <c r="T37" s="3610">
        <f>G37</f>
        <v>0</v>
      </c>
      <c r="U37" s="3610"/>
      <c r="V37" s="3610">
        <f>I37</f>
        <v>0</v>
      </c>
      <c r="W37" s="3610"/>
      <c r="X37" s="799"/>
      <c r="Y37" s="1314"/>
      <c r="Z37" s="799"/>
      <c r="AA37" s="799"/>
      <c r="AB37" s="799"/>
      <c r="AC37" s="799"/>
    </row>
    <row r="38" spans="1:29" ht="15.75" thickBot="1">
      <c r="A38" s="564" t="s">
        <v>2042</v>
      </c>
      <c r="B38" s="813"/>
      <c r="C38" s="2082" t="e">
        <f>R39</f>
        <v>#DIV/0!</v>
      </c>
      <c r="D38" s="2550" t="s">
        <v>2256</v>
      </c>
      <c r="E38" s="2083" t="e">
        <f>R38</f>
        <v>#DIV/0!</v>
      </c>
      <c r="F38" s="2551"/>
      <c r="G38" s="2082" t="e">
        <f>T38</f>
        <v>#DIV/0!</v>
      </c>
      <c r="H38" s="2551"/>
      <c r="I38" s="2083" t="e">
        <f>V38</f>
        <v>#DIV/0!</v>
      </c>
      <c r="J38" s="2551"/>
      <c r="K38" s="2558">
        <f>F38+H38+J38</f>
        <v>0</v>
      </c>
      <c r="L38" s="1751"/>
      <c r="M38" s="1742"/>
      <c r="N38" s="1742"/>
      <c r="O38" s="1742"/>
      <c r="P38" s="3594" t="str">
        <f>A38</f>
        <v>比较价格（元/平方米）</v>
      </c>
      <c r="Q38" s="3594"/>
      <c r="R38" s="3610" t="e">
        <f>IF(F1="售价",ROUND(PRODUCT(R37,AA7:AA36),0),ROUND(PRODUCT(R37,AA7:AA36),1))</f>
        <v>#DIV/0!</v>
      </c>
      <c r="S38" s="3610"/>
      <c r="T38" s="3610" t="e">
        <f>IF(F1="售价",ROUND(PRODUCT(T37,AB7:AB36),0),ROUND(PRODUCT(T37,AB7:AB36),1))</f>
        <v>#DIV/0!</v>
      </c>
      <c r="U38" s="3610"/>
      <c r="V38" s="3610" t="e">
        <f>IF(F1="售价",ROUND(PRODUCT(V37,AC7:AC36),0),ROUND(PRODUCT(V37,AC7:AC36),1))</f>
        <v>#DIV/0!</v>
      </c>
      <c r="W38" s="3610"/>
      <c r="X38" s="799"/>
      <c r="Y38" s="799"/>
      <c r="Z38" s="799"/>
      <c r="AA38" s="799"/>
      <c r="AB38" s="799"/>
      <c r="AC38" s="799"/>
    </row>
    <row r="39" spans="1:29" ht="15.75" thickBot="1">
      <c r="A39" s="568" t="s">
        <v>2193</v>
      </c>
      <c r="B39" s="569"/>
      <c r="C39" s="469" t="e">
        <f>R39</f>
        <v>#DIV/0!</v>
      </c>
      <c r="D39" s="469"/>
      <c r="E39" s="469"/>
      <c r="F39" s="469"/>
      <c r="G39" s="469"/>
      <c r="H39" s="469"/>
      <c r="I39" s="469"/>
      <c r="J39" s="469"/>
      <c r="K39" s="1336"/>
      <c r="L39" s="1751"/>
      <c r="M39" s="1742"/>
      <c r="N39" s="1742"/>
      <c r="O39" s="1742"/>
      <c r="P39" s="3600" t="str">
        <f>A39</f>
        <v>估价对象XX用房的比较价格（楼面单价，元/平方米）</v>
      </c>
      <c r="Q39" s="3601"/>
      <c r="R39" s="3709" t="e">
        <f>IF(F1="售价",ROUND(IF(D38="简单平均",AVERAGE(R38:W38),R38*F38+T38*H38+V38*J38),0),ROUND(IF(D38="简单平均",AVERAGE(R38:V38),R38*F38+T38*H38+V38*J38),1))</f>
        <v>#DIV/0!</v>
      </c>
      <c r="S39" s="3709"/>
      <c r="T39" s="3709"/>
      <c r="U39" s="3709"/>
      <c r="V39" s="3709"/>
      <c r="W39" s="3709"/>
      <c r="X39" s="799"/>
      <c r="Y39" s="799"/>
      <c r="Z39" s="799"/>
      <c r="AA39" s="799"/>
      <c r="AB39" s="799"/>
      <c r="AC39" s="799"/>
    </row>
    <row r="40" spans="1:29">
      <c r="A40" s="2721"/>
      <c r="B40" s="2721"/>
      <c r="C40" s="2721"/>
      <c r="D40" s="2721"/>
      <c r="E40" s="2721"/>
      <c r="F40" s="2721"/>
      <c r="G40" s="2723"/>
      <c r="H40" s="2721"/>
      <c r="I40" s="2721"/>
      <c r="J40" s="2721"/>
      <c r="K40" s="2724"/>
      <c r="L40" s="1755"/>
      <c r="M40" s="1742"/>
      <c r="N40" s="1742"/>
      <c r="O40" s="1742"/>
      <c r="P40" s="1742"/>
      <c r="Q40" s="1742"/>
      <c r="R40" s="1742"/>
      <c r="S40" s="1742"/>
      <c r="T40" s="1742"/>
      <c r="U40" s="1742"/>
      <c r="V40" s="1742"/>
      <c r="W40" s="1742"/>
      <c r="X40" s="1742"/>
      <c r="Y40" s="1742"/>
      <c r="Z40" s="1742"/>
      <c r="AA40" s="1742"/>
      <c r="AB40" s="1742"/>
      <c r="AC40" s="1742"/>
    </row>
    <row r="41" spans="1:29">
      <c r="A41" s="2721"/>
      <c r="B41" s="2721"/>
      <c r="C41" s="2721"/>
      <c r="D41" s="2721"/>
      <c r="E41" s="2721"/>
      <c r="F41" s="2721"/>
      <c r="G41" s="2721"/>
      <c r="H41" s="2721"/>
      <c r="I41" s="2721"/>
      <c r="J41" s="2721"/>
      <c r="K41" s="2724"/>
      <c r="L41" s="1755"/>
      <c r="M41" s="1742"/>
      <c r="N41" s="1742"/>
      <c r="O41" s="1742"/>
      <c r="P41" s="1742"/>
      <c r="Q41" s="1742"/>
      <c r="R41" s="1742"/>
      <c r="S41" s="1742"/>
      <c r="T41" s="1742"/>
      <c r="U41" s="1742"/>
      <c r="V41" s="1742"/>
      <c r="W41" s="1742"/>
      <c r="X41" s="1742"/>
      <c r="Y41" s="1742"/>
      <c r="Z41" s="1742"/>
      <c r="AA41" s="1742"/>
      <c r="AB41" s="1742"/>
      <c r="AC41" s="1742"/>
    </row>
    <row r="42" spans="1:29" ht="13.5" customHeight="1">
      <c r="A42" s="2721"/>
      <c r="B42" s="2721"/>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4"/>
      <c r="L42" s="1755"/>
      <c r="M42" s="1742"/>
      <c r="N42" s="1742"/>
      <c r="O42" s="1742"/>
      <c r="P42" s="1742"/>
      <c r="Q42" s="1742"/>
      <c r="R42" s="1742"/>
      <c r="S42" s="1742"/>
      <c r="T42" s="1742"/>
      <c r="U42" s="1742"/>
      <c r="V42" s="1742"/>
      <c r="W42" s="1742"/>
      <c r="X42" s="1742"/>
      <c r="Y42" s="1742"/>
      <c r="Z42" s="1742"/>
      <c r="AA42" s="1742"/>
      <c r="AB42" s="1742"/>
      <c r="AC42" s="1742"/>
    </row>
    <row r="43" spans="1:29" ht="13.5" customHeight="1">
      <c r="A43" s="2721"/>
      <c r="B43" s="2721"/>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4"/>
      <c r="L43" s="1755"/>
      <c r="M43" s="1742"/>
      <c r="N43" s="1742"/>
      <c r="O43" s="1742"/>
      <c r="P43" s="1742"/>
      <c r="Q43" s="1742"/>
      <c r="R43" s="1742"/>
      <c r="S43" s="1742"/>
      <c r="T43" s="1742"/>
      <c r="U43" s="1742"/>
      <c r="V43" s="1742"/>
      <c r="W43" s="1742"/>
      <c r="X43" s="1742"/>
      <c r="Y43" s="1742"/>
      <c r="Z43" s="1742"/>
      <c r="AA43" s="1742"/>
      <c r="AB43" s="1742"/>
      <c r="AC43" s="1742"/>
    </row>
    <row r="44" spans="1:29" s="1138" customFormat="1" ht="13.5" customHeight="1">
      <c r="A44" s="2722"/>
      <c r="B44" s="2722"/>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5"/>
      <c r="L44" s="1758"/>
      <c r="M44" s="1752"/>
      <c r="N44" s="1752"/>
      <c r="O44" s="1752"/>
      <c r="P44" s="1752"/>
      <c r="Q44" s="1752"/>
      <c r="R44" s="1752"/>
      <c r="S44" s="1752"/>
      <c r="T44" s="1752"/>
      <c r="U44" s="1752"/>
      <c r="V44" s="1752"/>
      <c r="W44" s="1752"/>
      <c r="X44" s="1752"/>
      <c r="Y44" s="1752"/>
      <c r="Z44" s="1752"/>
      <c r="AA44" s="1752"/>
      <c r="AB44" s="1752"/>
      <c r="AC44" s="1752"/>
    </row>
    <row r="45" spans="1:29" s="1138" customFormat="1">
      <c r="A45" s="1752"/>
      <c r="B45" s="1753"/>
      <c r="C45" s="1756"/>
      <c r="D45" s="1752"/>
      <c r="E45" s="1752"/>
      <c r="F45" s="1752"/>
      <c r="G45" s="1752"/>
      <c r="H45" s="1752"/>
      <c r="I45" s="1752"/>
      <c r="J45" s="1752"/>
      <c r="K45" s="1757"/>
      <c r="L45" s="1758"/>
      <c r="M45" s="1752"/>
      <c r="N45" s="1752"/>
      <c r="O45" s="1752"/>
      <c r="P45" s="1752"/>
      <c r="Q45" s="1752"/>
      <c r="R45" s="1752"/>
      <c r="S45" s="1752"/>
      <c r="T45" s="1752"/>
      <c r="U45" s="1752"/>
      <c r="V45" s="1752"/>
      <c r="W45" s="1752"/>
      <c r="X45" s="1752"/>
      <c r="Y45" s="1752"/>
      <c r="Z45" s="1752"/>
      <c r="AA45" s="1752"/>
      <c r="AB45" s="1752"/>
      <c r="AC45" s="1752"/>
    </row>
    <row r="46" spans="1:29">
      <c r="A46" s="1742"/>
      <c r="B46" s="1753"/>
      <c r="C46" s="1756"/>
      <c r="D46" s="1742"/>
      <c r="E46" s="1742"/>
      <c r="F46" s="1742"/>
      <c r="G46" s="1742"/>
      <c r="H46" s="1742"/>
      <c r="I46" s="1742"/>
      <c r="J46" s="1742"/>
      <c r="K46" s="1754"/>
      <c r="L46" s="1755"/>
      <c r="M46" s="1742"/>
      <c r="N46" s="1742"/>
      <c r="O46" s="1742"/>
      <c r="P46" s="1742"/>
      <c r="Q46" s="1742"/>
      <c r="R46" s="1742"/>
      <c r="S46" s="1742"/>
      <c r="T46" s="1742"/>
      <c r="U46" s="1742"/>
      <c r="V46" s="1742"/>
      <c r="W46" s="1742"/>
      <c r="X46" s="1742"/>
      <c r="Y46" s="1742"/>
      <c r="Z46" s="1742"/>
      <c r="AA46" s="1742"/>
      <c r="AB46" s="1742"/>
      <c r="AC46" s="1742"/>
    </row>
    <row r="47" spans="1:29" ht="21.75" thickBot="1">
      <c r="A47" s="1317" t="s">
        <v>522</v>
      </c>
      <c r="B47" s="799"/>
      <c r="C47" s="1762"/>
      <c r="D47" s="1762"/>
      <c r="E47" s="1762"/>
      <c r="F47" s="1818"/>
      <c r="G47" s="1818"/>
      <c r="H47" s="1762"/>
      <c r="I47" s="1762"/>
      <c r="J47" s="1762"/>
      <c r="K47" s="1819"/>
      <c r="L47" s="1820"/>
      <c r="M47" s="1762"/>
      <c r="N47" s="1762"/>
      <c r="O47" s="1762"/>
      <c r="P47" s="1762"/>
      <c r="Q47" s="1763"/>
      <c r="R47" s="1742"/>
      <c r="S47" s="1742"/>
      <c r="T47" s="1742"/>
      <c r="U47" s="1742"/>
      <c r="V47" s="1742"/>
      <c r="W47" s="1742"/>
      <c r="X47" s="1742"/>
      <c r="Y47" s="1742"/>
      <c r="Z47" s="1742"/>
      <c r="AA47" s="1742"/>
      <c r="AB47" s="1742"/>
      <c r="AC47" s="1742"/>
    </row>
    <row r="48" spans="1:29" s="1140" customFormat="1" ht="15">
      <c r="A48" s="592" t="s">
        <v>478</v>
      </c>
      <c r="B48" s="593"/>
      <c r="C48" s="2113" t="str">
        <f>YEAR(C7)&amp;"-"&amp;MONTH(C7)</f>
        <v>2023-5</v>
      </c>
      <c r="D48" s="2115">
        <f>EDATE(C48,-1)</f>
        <v>45017</v>
      </c>
      <c r="E48" s="2115">
        <f t="shared" ref="E48:O48" si="13">EDATE(D48,-1)</f>
        <v>44986</v>
      </c>
      <c r="F48" s="2115">
        <f t="shared" si="13"/>
        <v>44958</v>
      </c>
      <c r="G48" s="2115">
        <f t="shared" si="13"/>
        <v>44927</v>
      </c>
      <c r="H48" s="2115">
        <f t="shared" si="13"/>
        <v>44896</v>
      </c>
      <c r="I48" s="2115">
        <f t="shared" si="13"/>
        <v>44866</v>
      </c>
      <c r="J48" s="2115">
        <f t="shared" si="13"/>
        <v>44835</v>
      </c>
      <c r="K48" s="2115">
        <f t="shared" si="13"/>
        <v>44805</v>
      </c>
      <c r="L48" s="2115">
        <f t="shared" si="13"/>
        <v>44774</v>
      </c>
      <c r="M48" s="2115">
        <f t="shared" si="13"/>
        <v>44743</v>
      </c>
      <c r="N48" s="2115">
        <f t="shared" si="13"/>
        <v>44713</v>
      </c>
      <c r="O48" s="2115">
        <f t="shared" si="13"/>
        <v>44682</v>
      </c>
      <c r="P48" s="1765"/>
      <c r="Q48" s="1765"/>
      <c r="R48" s="1765"/>
      <c r="S48" s="1765"/>
      <c r="T48" s="1765"/>
      <c r="U48" s="1765"/>
      <c r="V48" s="1765"/>
      <c r="W48" s="1765"/>
      <c r="X48" s="1765"/>
      <c r="Y48" s="1765"/>
      <c r="Z48" s="1765"/>
      <c r="AA48" s="1765"/>
      <c r="AB48" s="1765"/>
      <c r="AC48" s="1765"/>
    </row>
    <row r="49" spans="1:29" s="1059" customFormat="1" ht="15">
      <c r="A49" s="527"/>
      <c r="B49" s="594"/>
      <c r="C49" s="2114">
        <v>100</v>
      </c>
      <c r="D49" s="596"/>
      <c r="E49" s="596"/>
      <c r="F49" s="596"/>
      <c r="G49" s="596"/>
      <c r="H49" s="596"/>
      <c r="I49" s="596"/>
      <c r="J49" s="596"/>
      <c r="K49" s="596"/>
      <c r="L49" s="596"/>
      <c r="M49" s="487"/>
      <c r="N49" s="596"/>
      <c r="O49" s="597"/>
      <c r="P49" s="1763"/>
      <c r="Q49" s="1640"/>
      <c r="R49" s="1640"/>
      <c r="S49" s="1640"/>
      <c r="T49" s="1640"/>
      <c r="U49" s="1640"/>
      <c r="V49" s="1640"/>
      <c r="W49" s="1640"/>
      <c r="X49" s="1640"/>
      <c r="Y49" s="1640"/>
      <c r="Z49" s="1640"/>
      <c r="AA49" s="1640"/>
      <c r="AB49" s="1640"/>
      <c r="AC49" s="1640"/>
    </row>
    <row r="50" spans="1:29" s="1059" customFormat="1" ht="15.75" thickBot="1">
      <c r="A50" s="262" t="s">
        <v>523</v>
      </c>
      <c r="B50" s="598"/>
      <c r="C50" s="599"/>
      <c r="D50" s="600"/>
      <c r="E50" s="600"/>
      <c r="F50" s="600"/>
      <c r="G50" s="600"/>
      <c r="H50" s="600"/>
      <c r="I50" s="600"/>
      <c r="J50" s="600"/>
      <c r="K50" s="600"/>
      <c r="L50" s="600"/>
      <c r="M50" s="601"/>
      <c r="N50" s="600"/>
      <c r="O50" s="602"/>
      <c r="P50" s="1763"/>
      <c r="Q50" s="1763"/>
      <c r="R50" s="1640"/>
      <c r="S50" s="1640"/>
      <c r="T50" s="1640"/>
      <c r="U50" s="1640"/>
      <c r="V50" s="1640"/>
      <c r="W50" s="1640"/>
      <c r="X50" s="1640"/>
      <c r="Y50" s="1640"/>
      <c r="Z50" s="1640"/>
      <c r="AA50" s="1640"/>
      <c r="AB50" s="1640"/>
      <c r="AC50" s="1640"/>
    </row>
    <row r="51" spans="1:29" s="1059" customFormat="1" ht="15">
      <c r="A51" s="603" t="s">
        <v>480</v>
      </c>
      <c r="B51" s="594"/>
      <c r="C51" s="604" t="s">
        <v>524</v>
      </c>
      <c r="D51" s="80"/>
      <c r="E51" s="80"/>
      <c r="F51" s="80"/>
      <c r="G51" s="80"/>
      <c r="H51" s="80"/>
      <c r="I51" s="80"/>
      <c r="J51" s="80"/>
      <c r="K51" s="80"/>
      <c r="L51" s="605"/>
      <c r="M51" s="606"/>
      <c r="N51" s="1766"/>
      <c r="O51" s="1766"/>
      <c r="P51" s="1647"/>
      <c r="Q51" s="1763"/>
      <c r="R51" s="1640"/>
      <c r="S51" s="1640"/>
      <c r="T51" s="1640"/>
      <c r="U51" s="1640"/>
      <c r="V51" s="1640"/>
      <c r="W51" s="1640"/>
      <c r="X51" s="1640"/>
      <c r="Y51" s="1640"/>
      <c r="Z51" s="1640"/>
      <c r="AA51" s="1640"/>
      <c r="AB51" s="1640"/>
      <c r="AC51" s="1640"/>
    </row>
    <row r="52" spans="1:29" s="1059" customFormat="1" ht="15.75" thickBot="1">
      <c r="A52" s="603"/>
      <c r="B52" s="594"/>
      <c r="C52" s="595">
        <v>100</v>
      </c>
      <c r="D52" s="596"/>
      <c r="E52" s="596"/>
      <c r="F52" s="596"/>
      <c r="G52" s="596"/>
      <c r="H52" s="596"/>
      <c r="I52" s="596"/>
      <c r="J52" s="596"/>
      <c r="K52" s="596"/>
      <c r="L52" s="596"/>
      <c r="M52" s="597"/>
      <c r="N52" s="1766"/>
      <c r="O52" s="1766"/>
      <c r="P52" s="1763"/>
      <c r="Q52" s="1763"/>
      <c r="R52" s="1640"/>
      <c r="S52" s="1640"/>
      <c r="T52" s="1640"/>
      <c r="U52" s="1640"/>
      <c r="V52" s="1640"/>
      <c r="W52" s="1640"/>
      <c r="X52" s="1640"/>
      <c r="Y52" s="1640"/>
      <c r="Z52" s="1640"/>
      <c r="AA52" s="1640"/>
      <c r="AB52" s="1640"/>
      <c r="AC52" s="1640"/>
    </row>
    <row r="53" spans="1:29">
      <c r="A53" s="607" t="s">
        <v>525</v>
      </c>
      <c r="B53" s="608" t="s">
        <v>483</v>
      </c>
      <c r="C53" s="645">
        <f>C9</f>
        <v>0</v>
      </c>
      <c r="D53" s="547"/>
      <c r="E53" s="547"/>
      <c r="F53" s="547"/>
      <c r="G53" s="547"/>
      <c r="H53" s="547"/>
      <c r="I53" s="547"/>
      <c r="J53" s="547"/>
      <c r="K53" s="609"/>
      <c r="L53" s="610"/>
      <c r="M53" s="611"/>
      <c r="N53" s="1767"/>
      <c r="O53" s="1767"/>
      <c r="P53" s="1766"/>
      <c r="Q53" s="1763"/>
      <c r="R53" s="1742"/>
      <c r="S53" s="1742"/>
      <c r="T53" s="1742"/>
      <c r="U53" s="1742"/>
      <c r="V53" s="1742"/>
      <c r="W53" s="1742"/>
      <c r="X53" s="1742"/>
      <c r="Y53" s="1742"/>
      <c r="Z53" s="1742"/>
      <c r="AA53" s="1742"/>
      <c r="AB53" s="1742"/>
      <c r="AC53" s="1742"/>
    </row>
    <row r="54" spans="1:29" ht="15.75" thickBot="1">
      <c r="A54" s="482"/>
      <c r="B54" s="612"/>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27.75" thickTop="1">
      <c r="A55" s="482"/>
      <c r="B55" s="615" t="s">
        <v>486</v>
      </c>
      <c r="C55" s="658"/>
      <c r="D55" s="658"/>
      <c r="E55" s="658"/>
      <c r="F55" s="658"/>
      <c r="G55" s="658"/>
      <c r="H55" s="658"/>
      <c r="I55" s="658"/>
      <c r="J55" s="658"/>
      <c r="K55" s="659"/>
      <c r="L55" s="660"/>
      <c r="M55" s="661"/>
      <c r="N55" s="1767"/>
      <c r="O55" s="1767"/>
      <c r="P55" s="1766"/>
      <c r="Q55" s="1763"/>
      <c r="R55" s="1742"/>
      <c r="S55" s="1742"/>
      <c r="T55" s="1742"/>
      <c r="U55" s="1742"/>
      <c r="V55" s="1742"/>
      <c r="W55" s="1742"/>
      <c r="X55" s="1742"/>
      <c r="Y55" s="1742"/>
      <c r="Z55" s="1742"/>
      <c r="AA55" s="1742"/>
      <c r="AB55" s="1742"/>
      <c r="AC55" s="1742"/>
    </row>
    <row r="56" spans="1:29" ht="15.75" thickBot="1">
      <c r="A56" s="482"/>
      <c r="B56" s="620"/>
      <c r="C56" s="613"/>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ht="15.75" thickTop="1">
      <c r="A57" s="482"/>
      <c r="B57" s="855">
        <f>B11</f>
        <v>111</v>
      </c>
      <c r="C57" s="491"/>
      <c r="D57" s="491"/>
      <c r="E57" s="491"/>
      <c r="F57" s="491"/>
      <c r="G57" s="491"/>
      <c r="H57" s="491"/>
      <c r="I57" s="491"/>
      <c r="J57" s="491"/>
      <c r="K57" s="626"/>
      <c r="L57" s="627"/>
      <c r="M57" s="628"/>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34"/>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s="1133" customFormat="1" ht="15.75" thickTop="1">
      <c r="A59" s="629"/>
      <c r="B59" s="615">
        <f>B12</f>
        <v>111</v>
      </c>
      <c r="C59" s="491"/>
      <c r="D59" s="491"/>
      <c r="E59" s="491"/>
      <c r="F59" s="491"/>
      <c r="G59" s="630"/>
      <c r="H59" s="631"/>
      <c r="I59" s="631"/>
      <c r="J59" s="631"/>
      <c r="K59" s="631"/>
      <c r="L59" s="632"/>
      <c r="M59" s="633"/>
      <c r="N59" s="1769"/>
      <c r="O59" s="1769"/>
      <c r="P59" s="1769"/>
      <c r="Q59" s="1770"/>
      <c r="R59" s="1771"/>
      <c r="S59" s="1771"/>
      <c r="T59" s="1771"/>
      <c r="U59" s="1771"/>
      <c r="V59" s="1771"/>
      <c r="W59" s="1771"/>
      <c r="X59" s="1771"/>
      <c r="Y59" s="1771"/>
      <c r="Z59" s="1771"/>
      <c r="AA59" s="1771"/>
      <c r="AB59" s="1771"/>
      <c r="AC59" s="1771"/>
    </row>
    <row r="60" spans="1:29" s="1133" customFormat="1" ht="15.75" thickBot="1">
      <c r="A60" s="629"/>
      <c r="B60" s="620"/>
      <c r="C60" s="634"/>
      <c r="D60" s="613"/>
      <c r="E60" s="613"/>
      <c r="F60" s="613"/>
      <c r="G60" s="613"/>
      <c r="H60" s="613"/>
      <c r="I60" s="613"/>
      <c r="J60" s="613"/>
      <c r="K60" s="613"/>
      <c r="L60" s="613"/>
      <c r="M60" s="614"/>
      <c r="N60" s="1768"/>
      <c r="O60" s="1768"/>
      <c r="P60" s="1769"/>
      <c r="Q60" s="1770"/>
      <c r="R60" s="1771"/>
      <c r="S60" s="1771"/>
      <c r="T60" s="1771"/>
      <c r="U60" s="1771"/>
      <c r="V60" s="1771"/>
      <c r="W60" s="1771"/>
      <c r="X60" s="1771"/>
      <c r="Y60" s="1771"/>
      <c r="Z60" s="1771"/>
      <c r="AA60" s="1771"/>
      <c r="AB60" s="1771"/>
      <c r="AC60" s="1771"/>
    </row>
    <row r="61" spans="1:29" s="1133" customFormat="1" ht="15.75" thickTop="1">
      <c r="A61" s="629"/>
      <c r="B61" s="615">
        <f>B13</f>
        <v>111</v>
      </c>
      <c r="C61" s="630"/>
      <c r="D61" s="630"/>
      <c r="E61" s="630"/>
      <c r="F61" s="630"/>
      <c r="G61" s="630"/>
      <c r="H61" s="631"/>
      <c r="I61" s="631"/>
      <c r="J61" s="631"/>
      <c r="K61" s="631"/>
      <c r="L61" s="632"/>
      <c r="M61" s="633"/>
      <c r="N61" s="1769"/>
      <c r="O61" s="1769"/>
      <c r="P61" s="1771"/>
      <c r="Q61" s="1772"/>
      <c r="R61" s="1771"/>
      <c r="S61" s="1771"/>
      <c r="T61" s="1771"/>
      <c r="U61" s="1771"/>
      <c r="V61" s="1771"/>
      <c r="W61" s="1771"/>
      <c r="X61" s="1771"/>
      <c r="Y61" s="1771"/>
      <c r="Z61" s="1771"/>
      <c r="AA61" s="1771"/>
      <c r="AB61" s="1771"/>
      <c r="AC61" s="1771"/>
    </row>
    <row r="62" spans="1:29" s="1133" customFormat="1" ht="15.75" thickBot="1">
      <c r="A62" s="629"/>
      <c r="B62" s="620"/>
      <c r="C62" s="634"/>
      <c r="D62" s="634"/>
      <c r="E62" s="634"/>
      <c r="F62" s="634"/>
      <c r="G62" s="634"/>
      <c r="H62" s="635"/>
      <c r="I62" s="635"/>
      <c r="J62" s="635"/>
      <c r="K62" s="635"/>
      <c r="L62" s="635"/>
      <c r="M62" s="636"/>
      <c r="N62" s="1769"/>
      <c r="O62" s="1769"/>
      <c r="P62" s="1769"/>
      <c r="Q62" s="1770"/>
      <c r="R62" s="1771"/>
      <c r="S62" s="1771"/>
      <c r="T62" s="1771"/>
      <c r="U62" s="1771"/>
      <c r="V62" s="1771"/>
      <c r="W62" s="1771"/>
      <c r="X62" s="1771"/>
      <c r="Y62" s="1771"/>
      <c r="Z62" s="1771"/>
      <c r="AA62" s="1771"/>
      <c r="AB62" s="1771"/>
      <c r="AC62" s="1771"/>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7"/>
      <c r="O63" s="1767"/>
      <c r="P63" s="1774"/>
      <c r="Q63" s="1763"/>
      <c r="R63" s="1742"/>
      <c r="S63" s="1742"/>
      <c r="T63" s="1742"/>
      <c r="U63" s="1742"/>
      <c r="V63" s="1742"/>
      <c r="W63" s="1742"/>
      <c r="X63" s="1742"/>
      <c r="Y63" s="1742"/>
      <c r="Z63" s="1742"/>
      <c r="AA63" s="1742"/>
      <c r="AB63" s="1742"/>
      <c r="AC63" s="1742"/>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1555" t="s">
        <v>1840</v>
      </c>
      <c r="C65" s="649" t="s">
        <v>527</v>
      </c>
      <c r="D65" s="649" t="s">
        <v>528</v>
      </c>
      <c r="E65" s="649" t="s">
        <v>529</v>
      </c>
      <c r="F65" s="649" t="s">
        <v>530</v>
      </c>
      <c r="G65" s="649" t="s">
        <v>531</v>
      </c>
      <c r="H65" s="616"/>
      <c r="I65" s="616"/>
      <c r="J65" s="616"/>
      <c r="K65" s="617"/>
      <c r="L65" s="618"/>
      <c r="M65" s="619"/>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768"/>
      <c r="O66" s="1768"/>
      <c r="P66" s="1766"/>
      <c r="Q66" s="1763"/>
      <c r="R66" s="1742"/>
      <c r="S66" s="1742"/>
      <c r="T66" s="1742"/>
      <c r="U66" s="1742"/>
      <c r="V66" s="1742"/>
      <c r="W66" s="1742"/>
      <c r="X66" s="1742"/>
      <c r="Y66" s="1742"/>
      <c r="Z66" s="1742"/>
      <c r="AA66" s="1742"/>
      <c r="AB66" s="1742"/>
      <c r="AC66" s="1742"/>
    </row>
    <row r="67" spans="1:29" ht="15.75" thickTop="1">
      <c r="A67" s="482"/>
      <c r="B67" s="2056" t="s">
        <v>1841</v>
      </c>
      <c r="C67" s="2057" t="s">
        <v>1842</v>
      </c>
      <c r="D67" s="2057" t="s">
        <v>1843</v>
      </c>
      <c r="E67" s="2057" t="s">
        <v>1844</v>
      </c>
      <c r="F67" s="2057" t="s">
        <v>1845</v>
      </c>
      <c r="G67" s="2057" t="s">
        <v>1846</v>
      </c>
      <c r="H67" s="616"/>
      <c r="I67" s="616"/>
      <c r="J67" s="616"/>
      <c r="K67" s="616"/>
      <c r="L67" s="616"/>
      <c r="M67" s="2060"/>
      <c r="N67" s="1768"/>
      <c r="O67" s="1768"/>
      <c r="P67" s="1766"/>
      <c r="Q67" s="1763"/>
      <c r="R67" s="1742"/>
      <c r="S67" s="1742"/>
      <c r="T67" s="1742"/>
      <c r="U67" s="1742"/>
      <c r="V67" s="1742"/>
      <c r="W67" s="1742"/>
      <c r="X67" s="1742"/>
      <c r="Y67" s="1742"/>
      <c r="Z67" s="1742"/>
      <c r="AA67" s="1742"/>
      <c r="AB67" s="1742"/>
      <c r="AC67" s="1742"/>
    </row>
    <row r="68" spans="1:29" ht="15.75" thickBot="1">
      <c r="A68" s="482"/>
      <c r="B68" s="623"/>
      <c r="C68" s="621">
        <v>100</v>
      </c>
      <c r="D68" s="621">
        <f>C68-$K18</f>
        <v>100</v>
      </c>
      <c r="E68" s="621">
        <f>D68-$K18</f>
        <v>100</v>
      </c>
      <c r="F68" s="621">
        <f>E68-$K18</f>
        <v>100</v>
      </c>
      <c r="G68" s="621">
        <f>F68-$K18</f>
        <v>100</v>
      </c>
      <c r="H68" s="855"/>
      <c r="I68" s="855"/>
      <c r="J68" s="855"/>
      <c r="K68" s="855"/>
      <c r="L68" s="855"/>
      <c r="M68" s="509"/>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684</v>
      </c>
      <c r="C69" s="649" t="s">
        <v>527</v>
      </c>
      <c r="D69" s="649" t="s">
        <v>528</v>
      </c>
      <c r="E69" s="649" t="s">
        <v>529</v>
      </c>
      <c r="F69" s="649" t="s">
        <v>530</v>
      </c>
      <c r="G69" s="649" t="s">
        <v>531</v>
      </c>
      <c r="H69" s="616"/>
      <c r="I69" s="616"/>
      <c r="J69" s="616"/>
      <c r="K69" s="617"/>
      <c r="L69" s="618"/>
      <c r="M69" s="619"/>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ht="15.75" thickTop="1">
      <c r="A71" s="482"/>
      <c r="B71" s="615" t="s">
        <v>685</v>
      </c>
      <c r="C71" s="630"/>
      <c r="D71" s="630"/>
      <c r="E71" s="630"/>
      <c r="F71" s="630"/>
      <c r="G71" s="630"/>
      <c r="H71" s="658"/>
      <c r="I71" s="658"/>
      <c r="J71" s="658"/>
      <c r="K71" s="659"/>
      <c r="L71" s="660"/>
      <c r="M71" s="661"/>
      <c r="N71" s="1767"/>
      <c r="O71" s="1767"/>
      <c r="P71" s="1766"/>
      <c r="Q71" s="1763"/>
      <c r="R71" s="1742"/>
      <c r="S71" s="1742"/>
      <c r="T71" s="1742"/>
      <c r="U71" s="1742"/>
      <c r="V71" s="1742"/>
      <c r="W71" s="1742"/>
      <c r="X71" s="1742"/>
      <c r="Y71" s="1742"/>
      <c r="Z71" s="1742"/>
      <c r="AA71" s="1742"/>
      <c r="AB71" s="1742"/>
      <c r="AC71" s="1742"/>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8"/>
      <c r="O72" s="1768"/>
      <c r="P72" s="1766"/>
      <c r="Q72" s="1763"/>
      <c r="R72" s="1742"/>
      <c r="S72" s="1742"/>
      <c r="T72" s="1742"/>
      <c r="U72" s="1742"/>
      <c r="V72" s="1742"/>
      <c r="W72" s="1742"/>
      <c r="X72" s="1742"/>
      <c r="Y72" s="1742"/>
      <c r="Z72" s="1742"/>
      <c r="AA72" s="1742"/>
      <c r="AB72" s="1742"/>
      <c r="AC72" s="1742"/>
    </row>
    <row r="73" spans="1:29" s="1059" customFormat="1" ht="15.75" thickTop="1">
      <c r="A73" s="486"/>
      <c r="B73" s="615">
        <f>B23</f>
        <v>111</v>
      </c>
      <c r="C73" s="491"/>
      <c r="D73" s="491"/>
      <c r="E73" s="491"/>
      <c r="F73" s="491"/>
      <c r="G73" s="630"/>
      <c r="H73" s="630"/>
      <c r="I73" s="630"/>
      <c r="J73" s="630"/>
      <c r="K73" s="630"/>
      <c r="L73" s="815"/>
      <c r="M73" s="816"/>
      <c r="N73" s="1766"/>
      <c r="O73" s="1766"/>
      <c r="P73" s="1766"/>
      <c r="Q73" s="1763"/>
      <c r="R73" s="1640"/>
      <c r="S73" s="1640"/>
      <c r="T73" s="1640"/>
      <c r="U73" s="1640"/>
      <c r="V73" s="1640"/>
      <c r="W73" s="1640"/>
      <c r="X73" s="1640"/>
      <c r="Y73" s="1640"/>
      <c r="Z73" s="1640"/>
      <c r="AA73" s="1640"/>
      <c r="AB73" s="1640"/>
      <c r="AC73" s="1640"/>
    </row>
    <row r="74" spans="1:29" s="1059"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059" customFormat="1" ht="15.75" thickTop="1">
      <c r="A75" s="486"/>
      <c r="B75" s="615">
        <f>B24</f>
        <v>111</v>
      </c>
      <c r="C75" s="491"/>
      <c r="D75" s="491"/>
      <c r="E75" s="491"/>
      <c r="F75" s="491"/>
      <c r="G75" s="630"/>
      <c r="H75" s="630"/>
      <c r="I75" s="630"/>
      <c r="J75" s="630"/>
      <c r="K75" s="630"/>
      <c r="L75" s="630"/>
      <c r="M75" s="816"/>
      <c r="N75" s="1766"/>
      <c r="O75" s="1766"/>
      <c r="P75" s="1766"/>
      <c r="Q75" s="1763"/>
      <c r="R75" s="1640"/>
      <c r="S75" s="1640"/>
      <c r="T75" s="1640"/>
      <c r="U75" s="1640"/>
      <c r="V75" s="1640"/>
      <c r="W75" s="1640"/>
      <c r="X75" s="1640"/>
      <c r="Y75" s="1640"/>
      <c r="Z75" s="1640"/>
      <c r="AA75" s="1640"/>
      <c r="AB75" s="1640"/>
      <c r="AC75" s="1640"/>
    </row>
    <row r="76" spans="1:29" s="1059" customFormat="1" ht="15.75" thickBot="1">
      <c r="A76" s="486"/>
      <c r="B76" s="620"/>
      <c r="C76" s="634"/>
      <c r="D76" s="613"/>
      <c r="E76" s="613"/>
      <c r="F76" s="613"/>
      <c r="G76" s="613"/>
      <c r="H76" s="613"/>
      <c r="I76" s="613"/>
      <c r="J76" s="613"/>
      <c r="K76" s="613"/>
      <c r="L76" s="613"/>
      <c r="M76" s="614"/>
      <c r="N76" s="1768"/>
      <c r="O76" s="1768"/>
      <c r="P76" s="1766"/>
      <c r="Q76" s="1763"/>
      <c r="R76" s="1640"/>
      <c r="S76" s="1640"/>
      <c r="T76" s="1640"/>
      <c r="U76" s="1640"/>
      <c r="V76" s="1640"/>
      <c r="W76" s="1640"/>
      <c r="X76" s="1640"/>
      <c r="Y76" s="1640"/>
      <c r="Z76" s="1640"/>
      <c r="AA76" s="1640"/>
      <c r="AB76" s="1640"/>
      <c r="AC76" s="1640"/>
    </row>
    <row r="77" spans="1:29" s="1133" customFormat="1" ht="15.75" thickTop="1">
      <c r="A77" s="629"/>
      <c r="B77" s="615">
        <f>B25</f>
        <v>111</v>
      </c>
      <c r="C77" s="630"/>
      <c r="D77" s="630"/>
      <c r="E77" s="630"/>
      <c r="F77" s="630"/>
      <c r="G77" s="630"/>
      <c r="H77" s="631"/>
      <c r="I77" s="631"/>
      <c r="J77" s="631"/>
      <c r="K77" s="631"/>
      <c r="L77" s="632"/>
      <c r="M77" s="633"/>
      <c r="N77" s="1769"/>
      <c r="O77" s="1769"/>
      <c r="P77" s="1769"/>
      <c r="Q77" s="1770"/>
      <c r="R77" s="1771"/>
      <c r="S77" s="1771"/>
      <c r="T77" s="1771"/>
      <c r="U77" s="1771"/>
      <c r="V77" s="1771"/>
      <c r="W77" s="1771"/>
      <c r="X77" s="1771"/>
      <c r="Y77" s="1771"/>
      <c r="Z77" s="1771"/>
      <c r="AA77" s="1771"/>
      <c r="AB77" s="1771"/>
      <c r="AC77" s="1771"/>
    </row>
    <row r="78" spans="1:29" s="1133" customFormat="1" ht="15.75" thickBot="1">
      <c r="A78" s="629"/>
      <c r="B78" s="620"/>
      <c r="C78" s="634"/>
      <c r="D78" s="634"/>
      <c r="E78" s="634"/>
      <c r="F78" s="634"/>
      <c r="G78" s="613"/>
      <c r="H78" s="613"/>
      <c r="I78" s="613"/>
      <c r="J78" s="613"/>
      <c r="K78" s="613"/>
      <c r="L78" s="613"/>
      <c r="M78" s="614"/>
      <c r="N78" s="1769"/>
      <c r="O78" s="1769"/>
      <c r="P78" s="1769"/>
      <c r="Q78" s="1770"/>
      <c r="R78" s="1771"/>
      <c r="S78" s="1771"/>
      <c r="T78" s="1771"/>
      <c r="U78" s="1771"/>
      <c r="V78" s="1771"/>
      <c r="W78" s="1771"/>
      <c r="X78" s="1771"/>
      <c r="Y78" s="1771"/>
      <c r="Z78" s="1771"/>
      <c r="AA78" s="1771"/>
      <c r="AB78" s="1771"/>
      <c r="AC78" s="1771"/>
    </row>
    <row r="79" spans="1:29" ht="27.75" thickTop="1">
      <c r="A79" s="607" t="s">
        <v>500</v>
      </c>
      <c r="B79" s="608" t="s">
        <v>754</v>
      </c>
      <c r="C79" s="645">
        <f>C26</f>
        <v>0</v>
      </c>
      <c r="D79" s="547"/>
      <c r="E79" s="547"/>
      <c r="F79" s="547"/>
      <c r="G79" s="547"/>
      <c r="H79" s="547"/>
      <c r="I79" s="547"/>
      <c r="J79" s="547"/>
      <c r="K79" s="609"/>
      <c r="L79" s="610"/>
      <c r="M79" s="611"/>
      <c r="N79" s="1767"/>
      <c r="O79" s="1767"/>
      <c r="P79" s="1766"/>
      <c r="Q79" s="1763"/>
      <c r="R79" s="1742"/>
      <c r="S79" s="1742"/>
      <c r="T79" s="1742"/>
      <c r="U79" s="1742"/>
      <c r="V79" s="1742"/>
      <c r="W79" s="1742"/>
      <c r="X79" s="1742"/>
      <c r="Y79" s="1742"/>
      <c r="Z79" s="1742"/>
      <c r="AA79" s="1742"/>
      <c r="AB79" s="1742"/>
      <c r="AC79" s="1742"/>
    </row>
    <row r="80" spans="1:29" ht="15.75"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8"/>
      <c r="O80" s="1768"/>
      <c r="P80" s="1766"/>
      <c r="Q80" s="1763"/>
      <c r="R80" s="1742"/>
      <c r="S80" s="1742"/>
      <c r="T80" s="1742"/>
      <c r="U80" s="1742"/>
      <c r="V80" s="1742"/>
      <c r="W80" s="1742"/>
      <c r="X80" s="1742"/>
      <c r="Y80" s="1742"/>
      <c r="Z80" s="1742"/>
      <c r="AA80" s="1742"/>
      <c r="AB80" s="1742"/>
      <c r="AC80" s="1742"/>
    </row>
    <row r="81" spans="1:29" ht="15.75" thickTop="1">
      <c r="A81" s="482"/>
      <c r="B81" s="615" t="s">
        <v>755</v>
      </c>
      <c r="C81" s="856"/>
      <c r="D81" s="856"/>
      <c r="E81" s="856"/>
      <c r="F81" s="856"/>
      <c r="G81" s="856"/>
      <c r="H81" s="856"/>
      <c r="I81" s="856"/>
      <c r="J81" s="856"/>
      <c r="K81" s="857"/>
      <c r="L81" s="858"/>
      <c r="M81" s="859"/>
      <c r="N81" s="1766"/>
      <c r="O81" s="1766"/>
      <c r="P81" s="1766"/>
      <c r="Q81" s="1763"/>
      <c r="R81" s="1742"/>
      <c r="S81" s="1742"/>
      <c r="T81" s="1742"/>
      <c r="U81" s="1742"/>
      <c r="V81" s="1742"/>
      <c r="W81" s="1742"/>
      <c r="X81" s="1742"/>
      <c r="Y81" s="1742"/>
      <c r="Z81" s="1742"/>
      <c r="AA81" s="1742"/>
      <c r="AB81" s="1742"/>
      <c r="AC81" s="1742"/>
    </row>
    <row r="82" spans="1:29" s="1133" customFormat="1" ht="15.75" thickBot="1">
      <c r="A82" s="629"/>
      <c r="B82" s="620"/>
      <c r="C82" s="634"/>
      <c r="D82" s="613"/>
      <c r="E82" s="613"/>
      <c r="F82" s="613"/>
      <c r="G82" s="613"/>
      <c r="H82" s="613"/>
      <c r="I82" s="613"/>
      <c r="J82" s="613"/>
      <c r="K82" s="613"/>
      <c r="L82" s="613"/>
      <c r="M82" s="614"/>
      <c r="N82" s="1768"/>
      <c r="O82" s="1768"/>
      <c r="P82" s="1769"/>
      <c r="Q82" s="1770"/>
      <c r="R82" s="1771"/>
      <c r="S82" s="1771"/>
      <c r="T82" s="1771"/>
      <c r="U82" s="1771"/>
      <c r="V82" s="1771"/>
      <c r="W82" s="1771"/>
      <c r="X82" s="1771"/>
      <c r="Y82" s="1771"/>
      <c r="Z82" s="1771"/>
      <c r="AA82" s="1771"/>
      <c r="AB82" s="1771"/>
      <c r="AC82" s="1771"/>
    </row>
    <row r="83" spans="1:29" ht="15" thickTop="1">
      <c r="A83" s="543"/>
      <c r="B83" s="615" t="s">
        <v>691</v>
      </c>
      <c r="C83" s="630"/>
      <c r="D83" s="630"/>
      <c r="E83" s="658"/>
      <c r="F83" s="658"/>
      <c r="G83" s="658"/>
      <c r="H83" s="658"/>
      <c r="I83" s="658"/>
      <c r="J83" s="658"/>
      <c r="K83" s="659"/>
      <c r="L83" s="660"/>
      <c r="M83" s="661"/>
      <c r="N83" s="1767"/>
      <c r="O83" s="1767"/>
      <c r="P83" s="1766"/>
      <c r="Q83" s="1763"/>
      <c r="R83" s="1742"/>
      <c r="S83" s="1742"/>
      <c r="T83" s="1742"/>
      <c r="U83" s="1742"/>
      <c r="V83" s="1742"/>
      <c r="W83" s="1742"/>
      <c r="X83" s="1742"/>
      <c r="Y83" s="1742"/>
      <c r="Z83" s="1742"/>
      <c r="AA83" s="1742"/>
      <c r="AB83" s="1742"/>
      <c r="AC83" s="1742"/>
    </row>
    <row r="84" spans="1:29" ht="15.75"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8"/>
      <c r="O84" s="1768"/>
      <c r="P84" s="1766"/>
      <c r="Q84" s="1763"/>
      <c r="R84" s="1742"/>
      <c r="S84" s="1742"/>
      <c r="T84" s="1742"/>
      <c r="U84" s="1742"/>
      <c r="V84" s="1742"/>
      <c r="W84" s="1742"/>
      <c r="X84" s="1742"/>
      <c r="Y84" s="1742"/>
      <c r="Z84" s="1742"/>
      <c r="AA84" s="1742"/>
      <c r="AB84" s="1742"/>
      <c r="AC84" s="1742"/>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7"/>
      <c r="O85" s="1767"/>
      <c r="P85" s="1766"/>
      <c r="Q85" s="1763"/>
      <c r="R85" s="1742"/>
      <c r="S85" s="1742"/>
      <c r="T85" s="1742"/>
      <c r="U85" s="1742"/>
      <c r="V85" s="1742"/>
      <c r="W85" s="1742"/>
      <c r="X85" s="1742"/>
      <c r="Y85" s="1742"/>
      <c r="Z85" s="1742"/>
      <c r="AA85" s="1742"/>
      <c r="AB85" s="1742"/>
      <c r="AC85" s="1742"/>
    </row>
    <row r="86" spans="1:29">
      <c r="A86" s="543"/>
      <c r="B86" s="623"/>
      <c r="C86" s="818">
        <v>0.5</v>
      </c>
      <c r="D86" s="818">
        <v>0.6</v>
      </c>
      <c r="E86" s="818">
        <v>0.7</v>
      </c>
      <c r="F86" s="818">
        <v>0.8</v>
      </c>
      <c r="G86" s="818">
        <v>0.9</v>
      </c>
      <c r="H86" s="818">
        <v>1.0001</v>
      </c>
      <c r="I86" s="827"/>
      <c r="J86" s="827"/>
      <c r="K86" s="828"/>
      <c r="L86" s="829"/>
      <c r="M86" s="830"/>
      <c r="N86" s="1767"/>
      <c r="O86" s="1767"/>
      <c r="P86" s="1766"/>
      <c r="Q86" s="1763"/>
      <c r="R86" s="1742"/>
      <c r="S86" s="1742"/>
      <c r="T86" s="1742"/>
      <c r="U86" s="1742"/>
      <c r="V86" s="1742"/>
      <c r="W86" s="1742"/>
      <c r="X86" s="1742"/>
      <c r="Y86" s="1742"/>
      <c r="Z86" s="1742"/>
      <c r="AA86" s="1742"/>
      <c r="AB86" s="1742"/>
      <c r="AC86" s="1742"/>
    </row>
    <row r="87" spans="1:29" ht="15.75"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742"/>
      <c r="S87" s="1742"/>
      <c r="T87" s="1742"/>
      <c r="U87" s="1742"/>
      <c r="V87" s="1742"/>
      <c r="W87" s="1742"/>
      <c r="X87" s="1742"/>
      <c r="Y87" s="1742"/>
      <c r="Z87" s="1742"/>
      <c r="AA87" s="1742"/>
      <c r="AB87" s="1742"/>
      <c r="AC87" s="1742"/>
    </row>
    <row r="88" spans="1:29" ht="15" thickTop="1">
      <c r="A88" s="543"/>
      <c r="B88" s="623" t="s">
        <v>757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742"/>
      <c r="S89" s="1742"/>
      <c r="T89" s="1742"/>
      <c r="U89" s="1742"/>
      <c r="V89" s="1742"/>
      <c r="W89" s="1742"/>
      <c r="X89" s="1742"/>
      <c r="Y89" s="1742"/>
      <c r="Z89" s="1742"/>
      <c r="AA89" s="1742"/>
      <c r="AB89" s="1742"/>
      <c r="AC89" s="1742"/>
    </row>
    <row r="90" spans="1:29" s="1133" customFormat="1" ht="15" thickTop="1">
      <c r="A90" s="552"/>
      <c r="B90" s="615" t="s">
        <v>758</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9"/>
      <c r="O90" s="1769"/>
      <c r="P90" s="1769"/>
      <c r="Q90" s="1770"/>
      <c r="R90" s="1771"/>
      <c r="S90" s="1771"/>
      <c r="T90" s="1771"/>
      <c r="U90" s="1771"/>
      <c r="V90" s="1771"/>
      <c r="W90" s="1771"/>
      <c r="X90" s="1771"/>
      <c r="Y90" s="1771"/>
      <c r="Z90" s="1771"/>
      <c r="AA90" s="1771"/>
      <c r="AB90" s="1771"/>
      <c r="AC90" s="1771"/>
    </row>
    <row r="91" spans="1:29" s="1133" customFormat="1">
      <c r="A91" s="552"/>
      <c r="B91" s="623"/>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3" customFormat="1" ht="15.75" thickBot="1">
      <c r="A92" s="629"/>
      <c r="B92" s="620"/>
      <c r="C92" s="634"/>
      <c r="D92" s="613"/>
      <c r="E92" s="613"/>
      <c r="F92" s="613"/>
      <c r="G92" s="613"/>
      <c r="H92" s="613"/>
      <c r="I92" s="613"/>
      <c r="J92" s="613"/>
      <c r="K92" s="613"/>
      <c r="L92" s="613"/>
      <c r="M92" s="614"/>
      <c r="N92" s="1769"/>
      <c r="O92" s="1769"/>
      <c r="P92" s="1769"/>
      <c r="Q92" s="1770"/>
      <c r="R92" s="1771"/>
      <c r="S92" s="1771"/>
      <c r="T92" s="1771"/>
      <c r="U92" s="1771"/>
      <c r="V92" s="1771"/>
      <c r="W92" s="1771"/>
      <c r="X92" s="1771"/>
      <c r="Y92" s="1771"/>
      <c r="Z92" s="1771"/>
      <c r="AA92" s="1771"/>
      <c r="AB92" s="1771"/>
      <c r="AC92" s="1771"/>
    </row>
    <row r="93" spans="1:29" ht="15" thickTop="1">
      <c r="A93" s="543"/>
      <c r="B93" s="615" t="s">
        <v>759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760</v>
      </c>
      <c r="C95" s="547"/>
      <c r="D95" s="547"/>
      <c r="E95" s="547"/>
      <c r="F95" s="547"/>
      <c r="G95" s="547"/>
      <c r="H95" s="547"/>
      <c r="I95" s="547"/>
      <c r="J95" s="547"/>
      <c r="K95" s="609"/>
      <c r="L95" s="610"/>
      <c r="M95" s="61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C96-$K33</f>
        <v>100</v>
      </c>
      <c r="E96" s="621">
        <f>D96-$K33</f>
        <v>100</v>
      </c>
      <c r="F96" s="621">
        <f>E96-$K33</f>
        <v>100</v>
      </c>
      <c r="G96" s="621">
        <f>F96-$K33</f>
        <v>100</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ht="15" thickTop="1">
      <c r="A97" s="543"/>
      <c r="B97" s="838">
        <f>B34</f>
        <v>111</v>
      </c>
      <c r="C97" s="491"/>
      <c r="D97" s="491"/>
      <c r="E97" s="491"/>
      <c r="F97" s="491"/>
      <c r="G97" s="630"/>
      <c r="H97" s="631"/>
      <c r="I97" s="631"/>
      <c r="J97" s="631"/>
      <c r="K97" s="631"/>
      <c r="L97" s="632"/>
      <c r="M97" s="633"/>
      <c r="N97" s="1768"/>
      <c r="O97" s="1768"/>
      <c r="P97" s="1768"/>
      <c r="Q97" s="180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34"/>
      <c r="H98" s="635"/>
      <c r="I98" s="635"/>
      <c r="J98" s="635"/>
      <c r="K98" s="635"/>
      <c r="L98" s="635"/>
      <c r="M98" s="636"/>
      <c r="N98" s="1768"/>
      <c r="O98" s="1768"/>
      <c r="P98" s="1766"/>
      <c r="Q98" s="1763"/>
      <c r="R98" s="1742"/>
      <c r="S98" s="1742"/>
      <c r="T98" s="1742"/>
      <c r="U98" s="1742"/>
      <c r="V98" s="1742"/>
      <c r="W98" s="1742"/>
      <c r="X98" s="1742"/>
      <c r="Y98" s="1742"/>
      <c r="Z98" s="1742"/>
      <c r="AA98" s="1742"/>
      <c r="AB98" s="1742"/>
      <c r="AC98" s="1742"/>
    </row>
    <row r="99" spans="1:29" s="1133" customFormat="1" ht="15" thickTop="1">
      <c r="A99" s="552"/>
      <c r="B99" s="615">
        <f>B35</f>
        <v>111</v>
      </c>
      <c r="C99" s="491"/>
      <c r="D99" s="491"/>
      <c r="E99" s="491"/>
      <c r="F99" s="491"/>
      <c r="G99" s="630"/>
      <c r="H99" s="631"/>
      <c r="I99" s="631"/>
      <c r="J99" s="631"/>
      <c r="K99" s="631"/>
      <c r="L99" s="632"/>
      <c r="M99" s="633"/>
      <c r="N99" s="1769"/>
      <c r="O99" s="1769"/>
      <c r="P99" s="1769"/>
      <c r="Q99" s="1770"/>
      <c r="R99" s="1771"/>
      <c r="S99" s="1771"/>
      <c r="T99" s="1771"/>
      <c r="U99" s="1771"/>
      <c r="V99" s="1771"/>
      <c r="W99" s="1771"/>
      <c r="X99" s="1771"/>
      <c r="Y99" s="1771"/>
      <c r="Z99" s="1771"/>
      <c r="AA99" s="1771"/>
      <c r="AB99" s="1771"/>
      <c r="AC99" s="1771"/>
    </row>
    <row r="100" spans="1:29" s="1133" customFormat="1" ht="15.75" thickBot="1">
      <c r="A100" s="629"/>
      <c r="B100" s="612"/>
      <c r="C100" s="634"/>
      <c r="D100" s="613"/>
      <c r="E100" s="613"/>
      <c r="F100" s="613"/>
      <c r="G100" s="634"/>
      <c r="H100" s="635"/>
      <c r="I100" s="635"/>
      <c r="J100" s="635"/>
      <c r="K100" s="635"/>
      <c r="L100" s="635"/>
      <c r="M100" s="636"/>
      <c r="N100" s="1769"/>
      <c r="O100" s="1769"/>
      <c r="P100" s="1769"/>
      <c r="Q100" s="1770"/>
      <c r="R100" s="1771"/>
      <c r="S100" s="1771"/>
      <c r="T100" s="1771"/>
      <c r="U100" s="1771"/>
      <c r="V100" s="1771"/>
      <c r="W100" s="1771"/>
      <c r="X100" s="1771"/>
      <c r="Y100" s="1771"/>
      <c r="Z100" s="1771"/>
      <c r="AA100" s="1771"/>
      <c r="AB100" s="1771"/>
      <c r="AC100" s="1771"/>
    </row>
    <row r="101" spans="1:29" ht="15" thickTop="1">
      <c r="A101" s="543"/>
      <c r="B101" s="615">
        <f>B36</f>
        <v>111</v>
      </c>
      <c r="C101" s="630"/>
      <c r="D101" s="630"/>
      <c r="E101" s="630"/>
      <c r="F101" s="630"/>
      <c r="G101" s="630"/>
      <c r="H101" s="631"/>
      <c r="I101" s="631"/>
      <c r="J101" s="631"/>
      <c r="K101" s="631"/>
      <c r="L101" s="632"/>
      <c r="M101" s="633"/>
      <c r="N101" s="1767"/>
      <c r="O101" s="1767"/>
      <c r="P101" s="1766"/>
      <c r="Q101" s="1763"/>
      <c r="R101" s="1742"/>
      <c r="S101" s="1742"/>
      <c r="T101" s="1742"/>
      <c r="U101" s="1742"/>
      <c r="V101" s="1742"/>
      <c r="W101" s="1742"/>
      <c r="X101" s="1742"/>
      <c r="Y101" s="1742"/>
      <c r="Z101" s="1742"/>
      <c r="AA101" s="1742"/>
      <c r="AB101" s="1742"/>
      <c r="AC101" s="1742"/>
    </row>
    <row r="102" spans="1:29" ht="15.75" thickBot="1">
      <c r="A102" s="482"/>
      <c r="B102" s="620"/>
      <c r="C102" s="634"/>
      <c r="D102" s="634"/>
      <c r="E102" s="634"/>
      <c r="F102" s="634"/>
      <c r="G102" s="634"/>
      <c r="H102" s="635"/>
      <c r="I102" s="635"/>
      <c r="J102" s="635"/>
      <c r="K102" s="635"/>
      <c r="L102" s="635"/>
      <c r="M102" s="636"/>
      <c r="N102" s="1768"/>
      <c r="O102" s="1768"/>
      <c r="P102" s="1766"/>
      <c r="Q102" s="1763"/>
      <c r="R102" s="1742"/>
      <c r="S102" s="1742"/>
      <c r="T102" s="1742"/>
      <c r="U102" s="1742"/>
      <c r="V102" s="1742"/>
      <c r="W102" s="1742"/>
      <c r="X102" s="1742"/>
      <c r="Y102" s="1742"/>
      <c r="Z102" s="1742"/>
      <c r="AA102" s="1742"/>
      <c r="AB102" s="1742"/>
      <c r="AC102" s="1742"/>
    </row>
    <row r="103" spans="1:29" ht="15" thickTop="1">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700-000000000000}">
      <formula1>项目类型</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G15 E15 C15 I15" xr:uid="{00000000-0002-0000-2700-000002000000}">
      <formula1>交通便捷度</formula1>
    </dataValidation>
    <dataValidation type="list" allowBlank="1" showInputMessage="1" showErrorMessage="1" sqref="C8 E8 G8 I8" xr:uid="{00000000-0002-0000-2700-000003000000}">
      <formula1>车位交易情况</formula1>
    </dataValidation>
    <dataValidation type="list" allowBlank="1" showInputMessage="1" showErrorMessage="1" sqref="E9 G9 I9" xr:uid="{00000000-0002-0000-2700-000004000000}">
      <formula1>车位用途</formula1>
    </dataValidation>
    <dataValidation type="list" allowBlank="1" showInputMessage="1" showErrorMessage="1" sqref="C22 E22 G22 I22" xr:uid="{00000000-0002-0000-2700-000005000000}">
      <formula1>车位楼层</formula1>
    </dataValidation>
    <dataValidation type="list" allowBlank="1" showInputMessage="1" showErrorMessage="1" sqref="C30 E30 G30 I30" xr:uid="{00000000-0002-0000-2700-000006000000}">
      <formula1>车位物业等级</formula1>
    </dataValidation>
    <dataValidation type="list" allowBlank="1" showInputMessage="1" showErrorMessage="1" sqref="C32 E32 G32 I32" xr:uid="{00000000-0002-0000-2700-000007000000}">
      <formula1>车位类型</formula1>
    </dataValidation>
    <dataValidation type="list" allowBlank="1" showInputMessage="1" showErrorMessage="1" sqref="C33 E33 G33 I33" xr:uid="{00000000-0002-0000-2700-000008000000}">
      <formula1>是否直接入户</formula1>
    </dataValidation>
    <dataValidation type="list" allowBlank="1" showInputMessage="1" showErrorMessage="1" sqref="B1" xr:uid="{00000000-0002-0000-2700-000009000000}">
      <formula1>地类判定</formula1>
    </dataValidation>
    <dataValidation type="list" allowBlank="1" showInputMessage="1" showErrorMessage="1" sqref="I26 E26 G26" xr:uid="{00000000-0002-0000-2700-00000A000000}">
      <formula1>车位配套类型</formula1>
    </dataValidation>
    <dataValidation type="list" allowBlank="1" showInputMessage="1" showErrorMessage="1" sqref="C28 E28 G28 I28" xr:uid="{00000000-0002-0000-2700-00000B000000}">
      <formula1>车位公共部分装修</formula1>
    </dataValidation>
    <dataValidation type="list" allowBlank="1" showInputMessage="1" showErrorMessage="1" sqref="B37" xr:uid="{00000000-0002-0000-2700-00000C000000}">
      <formula1>"元/平方米,元/车位"</formula1>
    </dataValidation>
    <dataValidation type="list" allowBlank="1" showInputMessage="1" showErrorMessage="1" sqref="C21 E21 G21 I21" xr:uid="{00000000-0002-0000-2700-00000D000000}">
      <formula1>环境</formula1>
    </dataValidation>
    <dataValidation type="list" allowBlank="1" showInputMessage="1" showErrorMessage="1" sqref="C19 E19 G19 I19" xr:uid="{00000000-0002-0000-2700-00000E000000}">
      <formula1>基础设施水平</formula1>
    </dataValidation>
    <dataValidation type="list" allowBlank="1" showInputMessage="1" showErrorMessage="1" sqref="F1" xr:uid="{00000000-0002-0000-2700-00000F000000}">
      <formula1>"售价,租金"</formula1>
    </dataValidation>
    <dataValidation type="list" allowBlank="1" showInputMessage="1" showErrorMessage="1" sqref="D38" xr:uid="{00000000-0002-0000-27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C209"/>
  <sheetViews>
    <sheetView view="pageBreakPreview" zoomScale="60" zoomScaleNormal="60" workbookViewId="0">
      <selection activeCell="C55" sqref="C55:M56"/>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844"/>
      <c r="C1" s="455" t="s">
        <v>732</v>
      </c>
      <c r="D1" s="783"/>
      <c r="E1" s="457"/>
      <c r="F1" s="2118"/>
      <c r="G1" s="1328" t="s">
        <v>733</v>
      </c>
      <c r="H1" s="457"/>
      <c r="I1" s="457"/>
      <c r="J1" s="457"/>
      <c r="K1" s="458"/>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734</v>
      </c>
      <c r="B2" s="784" t="e">
        <f>ROUND(B3*D3/10000,0)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735</v>
      </c>
      <c r="B3" s="461" t="e">
        <f>C37</f>
        <v>#DIV/0!</v>
      </c>
      <c r="C3" s="786" t="s">
        <v>736</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20"/>
      <c r="AC3" s="1674"/>
    </row>
    <row r="4" spans="1:29" ht="15">
      <c r="A4" s="463" t="s">
        <v>737</v>
      </c>
      <c r="B4" s="464"/>
      <c r="C4" s="3602" t="s">
        <v>738</v>
      </c>
      <c r="D4" s="3603"/>
      <c r="E4" s="3628" t="s">
        <v>739</v>
      </c>
      <c r="F4" s="3629"/>
      <c r="G4" s="3602" t="s">
        <v>740</v>
      </c>
      <c r="H4" s="3603"/>
      <c r="I4" s="3602" t="s">
        <v>741</v>
      </c>
      <c r="J4" s="3603"/>
      <c r="K4" s="465" t="s">
        <v>742</v>
      </c>
      <c r="L4" s="1741"/>
      <c r="M4" s="1742"/>
      <c r="N4" s="1742"/>
      <c r="O4" s="1742"/>
      <c r="P4" s="3604" t="s">
        <v>743</v>
      </c>
      <c r="Q4" s="3605"/>
      <c r="R4" s="3588" t="s">
        <v>739</v>
      </c>
      <c r="S4" s="3589"/>
      <c r="T4" s="3588" t="s">
        <v>740</v>
      </c>
      <c r="U4" s="3589"/>
      <c r="V4" s="3610" t="s">
        <v>741</v>
      </c>
      <c r="W4" s="3610"/>
      <c r="X4" s="1302"/>
      <c r="Y4" s="3588" t="s">
        <v>743</v>
      </c>
      <c r="Z4" s="3589"/>
      <c r="AA4" s="3583" t="s">
        <v>739</v>
      </c>
      <c r="AB4" s="3584" t="s">
        <v>740</v>
      </c>
      <c r="AC4" s="3583" t="s">
        <v>741</v>
      </c>
    </row>
    <row r="5" spans="1:29" ht="15">
      <c r="A5" s="466"/>
      <c r="B5" s="467"/>
      <c r="C5" s="3613" t="s">
        <v>2187</v>
      </c>
      <c r="D5" s="3614"/>
      <c r="E5" s="3630" t="s">
        <v>2188</v>
      </c>
      <c r="F5" s="3631"/>
      <c r="G5" s="3613" t="s">
        <v>2189</v>
      </c>
      <c r="H5" s="3614"/>
      <c r="I5" s="3613" t="s">
        <v>2190</v>
      </c>
      <c r="J5" s="3614"/>
      <c r="K5" s="465"/>
      <c r="L5" s="1741"/>
      <c r="M5" s="1742"/>
      <c r="N5" s="1742"/>
      <c r="O5" s="1742"/>
      <c r="P5" s="3606"/>
      <c r="Q5" s="3607"/>
      <c r="R5" s="3590"/>
      <c r="S5" s="3591"/>
      <c r="T5" s="3590"/>
      <c r="U5" s="3591"/>
      <c r="V5" s="3610"/>
      <c r="W5" s="3610"/>
      <c r="X5" s="1302"/>
      <c r="Y5" s="3590"/>
      <c r="Z5" s="3591"/>
      <c r="AA5" s="3584"/>
      <c r="AB5" s="3584"/>
      <c r="AC5" s="3584"/>
    </row>
    <row r="6" spans="1:29" ht="15.75" thickBot="1">
      <c r="A6" s="468"/>
      <c r="B6" s="469"/>
      <c r="C6" s="3611" t="s">
        <v>2191</v>
      </c>
      <c r="D6" s="3612"/>
      <c r="E6" s="3632" t="s">
        <v>2191</v>
      </c>
      <c r="F6" s="3633"/>
      <c r="G6" s="3611" t="s">
        <v>2191</v>
      </c>
      <c r="H6" s="3612"/>
      <c r="I6" s="3611" t="s">
        <v>2191</v>
      </c>
      <c r="J6" s="3612"/>
      <c r="K6" s="465" t="s">
        <v>477</v>
      </c>
      <c r="L6" s="1741"/>
      <c r="M6" s="1742"/>
      <c r="N6" s="1742"/>
      <c r="O6" s="1742"/>
      <c r="P6" s="3608"/>
      <c r="Q6" s="3609"/>
      <c r="R6" s="3590"/>
      <c r="S6" s="3591"/>
      <c r="T6" s="3592"/>
      <c r="U6" s="3593"/>
      <c r="V6" s="3610"/>
      <c r="W6" s="3610"/>
      <c r="X6" s="1302"/>
      <c r="Y6" s="3592"/>
      <c r="Z6" s="3593"/>
      <c r="AA6" s="3585"/>
      <c r="AB6" s="3585"/>
      <c r="AC6" s="3585"/>
    </row>
    <row r="7" spans="1:29" s="1059" customFormat="1" ht="15.75" thickBot="1">
      <c r="A7" s="2209"/>
      <c r="B7" s="2216" t="s">
        <v>478</v>
      </c>
      <c r="C7" s="470">
        <f>'数据-取费表'!B2</f>
        <v>45057</v>
      </c>
      <c r="D7" s="471">
        <v>100</v>
      </c>
      <c r="E7" s="472"/>
      <c r="F7" s="473">
        <f>SUMIF(46:46,YEAR(E7)&amp;"-"&amp;MONTH(E7),47:47)</f>
        <v>0</v>
      </c>
      <c r="G7" s="474"/>
      <c r="H7" s="471">
        <f>SUMIF(46:46,YEAR(G7)&amp;"-"&amp;MONTH(G7),47:47)</f>
        <v>0</v>
      </c>
      <c r="I7" s="474"/>
      <c r="J7" s="471">
        <f>SUMIF(46:46,YEAR(I7)&amp;"-"&amp;MONTH(I7),47:47)</f>
        <v>0</v>
      </c>
      <c r="K7" s="88"/>
      <c r="L7" s="1743"/>
      <c r="M7" s="1640"/>
      <c r="N7" s="1640"/>
      <c r="O7" s="1640"/>
      <c r="P7" s="3586" t="s">
        <v>479</v>
      </c>
      <c r="Q7" s="3595"/>
      <c r="R7" s="1303" t="s">
        <v>5</v>
      </c>
      <c r="S7" s="1304">
        <f t="shared" ref="S7:S14" si="0">F7</f>
        <v>0</v>
      </c>
      <c r="T7" s="1303" t="s">
        <v>5</v>
      </c>
      <c r="U7" s="1304">
        <f t="shared" ref="U7:U14" si="1">H7</f>
        <v>0</v>
      </c>
      <c r="V7" s="1303" t="s">
        <v>5</v>
      </c>
      <c r="W7" s="1304">
        <f t="shared" ref="W7:W14" si="2">J7</f>
        <v>0</v>
      </c>
      <c r="X7" s="1305"/>
      <c r="Y7" s="3586" t="s">
        <v>479</v>
      </c>
      <c r="Z7" s="3587"/>
      <c r="AA7" s="996" t="e">
        <f>D7/F7</f>
        <v>#DIV/0!</v>
      </c>
      <c r="AB7" s="996" t="e">
        <f>D7/H7</f>
        <v>#DIV/0!</v>
      </c>
      <c r="AC7" s="996" t="e">
        <f>D7/J7</f>
        <v>#DIV/0!</v>
      </c>
    </row>
    <row r="8" spans="1:29" s="1059" customFormat="1" ht="15.75" thickBot="1">
      <c r="A8" s="2210"/>
      <c r="B8" s="2217" t="s">
        <v>480</v>
      </c>
      <c r="C8" s="475" t="s">
        <v>524</v>
      </c>
      <c r="D8" s="471">
        <v>100</v>
      </c>
      <c r="E8" s="475"/>
      <c r="F8" s="473">
        <f>SUMIF(49:49,E8,50:50)-SUMIF(49:49,C8,50:50)+100</f>
        <v>0</v>
      </c>
      <c r="G8" s="475"/>
      <c r="H8" s="471">
        <f>SUMIF(49:49,G8,50:50)-SUMIF(49:49,C8,50:50)+100</f>
        <v>0</v>
      </c>
      <c r="I8" s="475"/>
      <c r="J8" s="471">
        <f>SUMIF(49:49,I8,50:50)-SUMIF(49:49,C8,50:50)+100</f>
        <v>0</v>
      </c>
      <c r="K8" s="88"/>
      <c r="L8" s="1743"/>
      <c r="M8" s="1640"/>
      <c r="N8" s="1640"/>
      <c r="O8" s="1640"/>
      <c r="P8" s="3586" t="s">
        <v>482</v>
      </c>
      <c r="Q8" s="3587"/>
      <c r="R8" s="1303" t="s">
        <v>5</v>
      </c>
      <c r="S8" s="1304">
        <f t="shared" si="0"/>
        <v>0</v>
      </c>
      <c r="T8" s="1303" t="s">
        <v>5</v>
      </c>
      <c r="U8" s="1304">
        <f t="shared" si="1"/>
        <v>0</v>
      </c>
      <c r="V8" s="1303" t="s">
        <v>5</v>
      </c>
      <c r="W8" s="1304">
        <f t="shared" si="2"/>
        <v>0</v>
      </c>
      <c r="X8" s="1305"/>
      <c r="Y8" s="3586" t="s">
        <v>482</v>
      </c>
      <c r="Z8" s="3587"/>
      <c r="AA8" s="996" t="e">
        <f t="shared" ref="AA8:AA34" si="3">D8/F8</f>
        <v>#DIV/0!</v>
      </c>
      <c r="AB8" s="996" t="e">
        <f t="shared" ref="AB8:AB34" si="4">D8/H8</f>
        <v>#DIV/0!</v>
      </c>
      <c r="AC8" s="996" t="e">
        <f t="shared" ref="AC8:AC34" si="5">D8/J8</f>
        <v>#DIV/0!</v>
      </c>
    </row>
    <row r="9" spans="1:29" s="1059" customFormat="1" ht="15">
      <c r="A9" s="2211"/>
      <c r="B9" s="2218" t="s">
        <v>2038</v>
      </c>
      <c r="C9" s="791"/>
      <c r="D9" s="154">
        <v>100</v>
      </c>
      <c r="E9" s="793"/>
      <c r="F9" s="154">
        <f>SUMIF(51:51,E9,52:52)-SUMIF(51:51,C9,52:52)+100</f>
        <v>100</v>
      </c>
      <c r="G9" s="793"/>
      <c r="H9" s="154">
        <f>SUMIF(51:51,G9,52:52)-SUMIF(51:51,C9,52:52)+100</f>
        <v>100</v>
      </c>
      <c r="I9" s="793"/>
      <c r="J9" s="154">
        <f>SUMIF(51:51,I9,52:52)-SUMIF(51:51,C9,52:52)+100</f>
        <v>100</v>
      </c>
      <c r="K9" s="88"/>
      <c r="L9" s="1743"/>
      <c r="M9" s="1640"/>
      <c r="N9" s="1640"/>
      <c r="O9" s="1744"/>
      <c r="P9" s="3594" t="s">
        <v>484</v>
      </c>
      <c r="Q9" s="818" t="str">
        <f t="shared" ref="Q9:Q14" si="6">B9</f>
        <v>用途</v>
      </c>
      <c r="R9" s="1303" t="s">
        <v>5</v>
      </c>
      <c r="S9" s="1304">
        <f t="shared" si="0"/>
        <v>100</v>
      </c>
      <c r="T9" s="1303" t="s">
        <v>5</v>
      </c>
      <c r="U9" s="1304">
        <f t="shared" si="1"/>
        <v>100</v>
      </c>
      <c r="V9" s="1303" t="s">
        <v>5</v>
      </c>
      <c r="W9" s="1304">
        <f t="shared" si="2"/>
        <v>100</v>
      </c>
      <c r="X9" s="1305"/>
      <c r="Y9" s="3546" t="s">
        <v>485</v>
      </c>
      <c r="Z9" s="996" t="str">
        <f t="shared" ref="Z9:Z14" si="7">Q9</f>
        <v>用途</v>
      </c>
      <c r="AA9" s="996">
        <f t="shared" si="3"/>
        <v>1</v>
      </c>
      <c r="AB9" s="996">
        <f t="shared" si="4"/>
        <v>1</v>
      </c>
      <c r="AC9" s="996">
        <f t="shared" si="5"/>
        <v>1</v>
      </c>
    </row>
    <row r="10" spans="1:29" s="1132" customFormat="1" ht="27">
      <c r="A10" s="2212"/>
      <c r="B10" s="2217" t="s">
        <v>2039</v>
      </c>
      <c r="C10" s="3387"/>
      <c r="D10" s="235">
        <v>100</v>
      </c>
      <c r="E10" s="3387"/>
      <c r="F10" s="235">
        <f>SUMIF(53:53,E10,54:54)-SUMIF(53:53,C10,54:54)+100</f>
        <v>100</v>
      </c>
      <c r="G10" s="3388"/>
      <c r="H10" s="235">
        <f>SUMIF(53:53,G10,54:54)-SUMIF(53:53,C10,54:54)+100</f>
        <v>100</v>
      </c>
      <c r="I10" s="3387"/>
      <c r="J10" s="235">
        <f>SUMIF(53:53,I10,54:54)-SUMIF(53:53,C10,54:54)+100</f>
        <v>100</v>
      </c>
      <c r="K10" s="88"/>
      <c r="L10" s="1745"/>
      <c r="M10" s="1778"/>
      <c r="N10" s="1778"/>
      <c r="O10" s="1746"/>
      <c r="P10" s="3594"/>
      <c r="Q10" s="818" t="str">
        <f t="shared" si="6"/>
        <v>土地使用年限（年）</v>
      </c>
      <c r="R10" s="1303" t="s">
        <v>5</v>
      </c>
      <c r="S10" s="1304">
        <f t="shared" si="0"/>
        <v>100</v>
      </c>
      <c r="T10" s="1303" t="s">
        <v>5</v>
      </c>
      <c r="U10" s="1304">
        <f t="shared" si="1"/>
        <v>100</v>
      </c>
      <c r="V10" s="1303" t="s">
        <v>5</v>
      </c>
      <c r="W10" s="1304">
        <f t="shared" si="2"/>
        <v>100</v>
      </c>
      <c r="X10" s="1305"/>
      <c r="Y10" s="3546"/>
      <c r="Z10" s="996" t="str">
        <f t="shared" si="7"/>
        <v>土地使用年限（年）</v>
      </c>
      <c r="AA10" s="996">
        <f t="shared" si="3"/>
        <v>1</v>
      </c>
      <c r="AB10" s="996">
        <f t="shared" si="4"/>
        <v>1</v>
      </c>
      <c r="AC10" s="996">
        <f t="shared" si="5"/>
        <v>1</v>
      </c>
    </row>
    <row r="11" spans="1:29" ht="15">
      <c r="A11" s="2214"/>
      <c r="B11" s="2220">
        <v>111</v>
      </c>
      <c r="C11" s="478"/>
      <c r="D11" s="235">
        <v>100</v>
      </c>
      <c r="E11" s="806"/>
      <c r="F11" s="235">
        <f>SUMIF(55:55,E11,56:56)-SUMIF(55:55,C11,56:56)+100</f>
        <v>100</v>
      </c>
      <c r="G11" s="806"/>
      <c r="H11" s="235">
        <f>SUMIF(55:55,G11,56:56)-SUMIF(55:55,C11,56:56)+100</f>
        <v>100</v>
      </c>
      <c r="I11" s="806"/>
      <c r="J11" s="235">
        <f>SUMIF(55:55,I11,56:56)-SUMIF(55:55,C11,56:56)+100</f>
        <v>100</v>
      </c>
      <c r="K11" s="531"/>
      <c r="L11" s="1747"/>
      <c r="M11" s="1742"/>
      <c r="N11" s="1742"/>
      <c r="O11" s="1748"/>
      <c r="P11" s="3594"/>
      <c r="Q11" s="818">
        <f t="shared" si="6"/>
        <v>111</v>
      </c>
      <c r="R11" s="1303" t="s">
        <v>5</v>
      </c>
      <c r="S11" s="1304">
        <f t="shared" si="0"/>
        <v>100</v>
      </c>
      <c r="T11" s="1303" t="s">
        <v>5</v>
      </c>
      <c r="U11" s="1304">
        <f t="shared" si="1"/>
        <v>100</v>
      </c>
      <c r="V11" s="1303" t="s">
        <v>5</v>
      </c>
      <c r="W11" s="1304">
        <f t="shared" si="2"/>
        <v>100</v>
      </c>
      <c r="X11" s="1305"/>
      <c r="Y11" s="3546"/>
      <c r="Z11" s="996">
        <f t="shared" si="7"/>
        <v>111</v>
      </c>
      <c r="AA11" s="996">
        <f t="shared" si="3"/>
        <v>1</v>
      </c>
      <c r="AB11" s="996">
        <f t="shared" si="4"/>
        <v>1</v>
      </c>
      <c r="AC11" s="996">
        <f t="shared" si="5"/>
        <v>1</v>
      </c>
    </row>
    <row r="12" spans="1:29" s="1059" customFormat="1" ht="15">
      <c r="A12" s="2214"/>
      <c r="B12" s="2220">
        <v>111</v>
      </c>
      <c r="C12" s="478"/>
      <c r="D12" s="488">
        <v>100</v>
      </c>
      <c r="E12" s="806"/>
      <c r="F12" s="235">
        <f>SUMIF(57:57,E12,58:58)-SUMIF(57:57,C12,58:58)+100</f>
        <v>100</v>
      </c>
      <c r="G12" s="806"/>
      <c r="H12" s="235">
        <f>SUMIF(57:57,G12,58:58)-SUMIF(57:57,C12,58:58)+100</f>
        <v>100</v>
      </c>
      <c r="I12" s="806"/>
      <c r="J12" s="235">
        <f>SUMIF(57:57,I12,58:58)-SUMIF(57:57,C12,58:58)+100</f>
        <v>100</v>
      </c>
      <c r="K12" s="531"/>
      <c r="L12" s="1743"/>
      <c r="M12" s="1640"/>
      <c r="N12" s="1640"/>
      <c r="O12" s="1744"/>
      <c r="P12" s="3594"/>
      <c r="Q12" s="818">
        <f t="shared" si="6"/>
        <v>111</v>
      </c>
      <c r="R12" s="1303" t="s">
        <v>5</v>
      </c>
      <c r="S12" s="1304">
        <f t="shared" si="0"/>
        <v>100</v>
      </c>
      <c r="T12" s="1303" t="s">
        <v>5</v>
      </c>
      <c r="U12" s="1304">
        <f t="shared" si="1"/>
        <v>100</v>
      </c>
      <c r="V12" s="1303" t="s">
        <v>5</v>
      </c>
      <c r="W12" s="1304">
        <f t="shared" si="2"/>
        <v>100</v>
      </c>
      <c r="X12" s="1305"/>
      <c r="Y12" s="3546"/>
      <c r="Z12" s="996">
        <f t="shared" si="7"/>
        <v>111</v>
      </c>
      <c r="AA12" s="996">
        <f>D12/F12</f>
        <v>1</v>
      </c>
      <c r="AB12" s="996">
        <f>D12/H12</f>
        <v>1</v>
      </c>
      <c r="AC12" s="996">
        <f>D12/J12</f>
        <v>1</v>
      </c>
    </row>
    <row r="13" spans="1:29" ht="15.75" thickBot="1">
      <c r="A13" s="2215"/>
      <c r="B13" s="2221">
        <v>111</v>
      </c>
      <c r="C13" s="489"/>
      <c r="D13" s="490">
        <v>100</v>
      </c>
      <c r="E13" s="806"/>
      <c r="F13" s="235">
        <f>SUMIF(59:59,E13,60:60)-SUMIF(59:59,C13,60:60)+100</f>
        <v>100</v>
      </c>
      <c r="G13" s="806"/>
      <c r="H13" s="490">
        <f>SUMIF(59:59,G13,60:60)-SUMIF(59:59,C13,60:60)+100</f>
        <v>100</v>
      </c>
      <c r="I13" s="806"/>
      <c r="J13" s="490">
        <f>SUMIF(59:59,I13,60:60)-SUMIF(59:59,C13,60:60)+100</f>
        <v>100</v>
      </c>
      <c r="K13" s="531"/>
      <c r="L13" s="1749"/>
      <c r="M13" s="1742"/>
      <c r="N13" s="1742"/>
      <c r="O13" s="1748"/>
      <c r="P13" s="3594"/>
      <c r="Q13" s="818">
        <f t="shared" si="6"/>
        <v>111</v>
      </c>
      <c r="R13" s="1303" t="s">
        <v>5</v>
      </c>
      <c r="S13" s="1304">
        <f t="shared" si="0"/>
        <v>100</v>
      </c>
      <c r="T13" s="1303" t="s">
        <v>5</v>
      </c>
      <c r="U13" s="1304">
        <f t="shared" si="1"/>
        <v>100</v>
      </c>
      <c r="V13" s="1303" t="s">
        <v>5</v>
      </c>
      <c r="W13" s="1304">
        <f t="shared" si="2"/>
        <v>100</v>
      </c>
      <c r="X13" s="1305"/>
      <c r="Y13" s="3546"/>
      <c r="Z13" s="996">
        <f t="shared" si="7"/>
        <v>111</v>
      </c>
      <c r="AA13" s="996">
        <f t="shared" si="3"/>
        <v>1</v>
      </c>
      <c r="AB13" s="996">
        <f t="shared" si="4"/>
        <v>1</v>
      </c>
      <c r="AC13" s="996">
        <f t="shared" si="5"/>
        <v>1</v>
      </c>
    </row>
    <row r="14" spans="1:29" ht="114">
      <c r="A14" s="2207" t="s">
        <v>2036</v>
      </c>
      <c r="B14" s="150" t="s">
        <v>492</v>
      </c>
      <c r="C14" s="842" t="str">
        <f>IF(B1="工业",估价对象房地状况!G4,估价对象房地状况!C6)</f>
        <v>估价对象周边道路状况一般、公共交通通达情况较差，有5、122路经过、停车便捷程度，综合评价交通便捷度一般</v>
      </c>
      <c r="D14" s="499">
        <v>100</v>
      </c>
      <c r="E14" s="500"/>
      <c r="F14" s="501">
        <f>SUMIF(61:61,E15,62:62)-SUMIF(61:61,C15,62:62)+100</f>
        <v>100</v>
      </c>
      <c r="G14" s="502"/>
      <c r="H14" s="499">
        <f>SUMIF(61:61,G15,62:62)-SUMIF(61:61,C15,62:62)+100</f>
        <v>100</v>
      </c>
      <c r="I14" s="500"/>
      <c r="J14" s="499">
        <f>SUMIF(61:61,I15,62:62)-SUMIF(61:61,C15,62:62)+100</f>
        <v>100</v>
      </c>
      <c r="K14" s="822"/>
      <c r="L14" s="1749"/>
      <c r="M14" s="1742"/>
      <c r="N14" s="1742"/>
      <c r="O14" s="1748"/>
      <c r="P14" s="3596" t="s">
        <v>489</v>
      </c>
      <c r="Q14" s="1306" t="str">
        <f t="shared" si="6"/>
        <v>交通便捷度</v>
      </c>
      <c r="R14" s="1307" t="s">
        <v>5</v>
      </c>
      <c r="S14" s="1308">
        <f t="shared" si="0"/>
        <v>100</v>
      </c>
      <c r="T14" s="1307" t="s">
        <v>5</v>
      </c>
      <c r="U14" s="1308">
        <f t="shared" si="1"/>
        <v>100</v>
      </c>
      <c r="V14" s="1307" t="s">
        <v>5</v>
      </c>
      <c r="W14" s="1308">
        <f t="shared" si="2"/>
        <v>100</v>
      </c>
      <c r="X14" s="1302"/>
      <c r="Y14" s="3596" t="s">
        <v>489</v>
      </c>
      <c r="Z14" s="1309" t="str">
        <f t="shared" si="7"/>
        <v>交通便捷度</v>
      </c>
      <c r="AA14" s="1309">
        <f t="shared" si="3"/>
        <v>1</v>
      </c>
      <c r="AB14" s="1309">
        <f t="shared" si="4"/>
        <v>1</v>
      </c>
      <c r="AC14" s="1309">
        <f t="shared" si="5"/>
        <v>1</v>
      </c>
    </row>
    <row r="15" spans="1:29" ht="15">
      <c r="A15" s="482"/>
      <c r="B15" s="799"/>
      <c r="C15" s="526"/>
      <c r="D15" s="505"/>
      <c r="E15" s="526"/>
      <c r="F15" s="507"/>
      <c r="G15" s="526"/>
      <c r="H15" s="509"/>
      <c r="I15" s="526"/>
      <c r="J15" s="505"/>
      <c r="K15" s="823"/>
      <c r="L15" s="1749"/>
      <c r="M15" s="1742"/>
      <c r="N15" s="1742"/>
      <c r="O15" s="1748"/>
      <c r="P15" s="3597"/>
      <c r="Q15" s="1306"/>
      <c r="R15" s="1307"/>
      <c r="S15" s="1308"/>
      <c r="T15" s="1307"/>
      <c r="U15" s="1308"/>
      <c r="V15" s="1307"/>
      <c r="W15" s="1308"/>
      <c r="X15" s="1302"/>
      <c r="Y15" s="3597"/>
      <c r="Z15" s="1309"/>
      <c r="AA15" s="1309">
        <v>1</v>
      </c>
      <c r="AB15" s="1309">
        <v>1</v>
      </c>
      <c r="AC15" s="1309">
        <v>1</v>
      </c>
    </row>
    <row r="16" spans="1:29" ht="57">
      <c r="A16" s="482"/>
      <c r="B16" s="2062" t="s">
        <v>1829</v>
      </c>
      <c r="C16" s="801" t="str">
        <f>IF(B1="工业",估价对象房地状况!G5,估价对象房地状况!C7)</f>
        <v>估价对象所在区域公共配套设施齐备情况较差</v>
      </c>
      <c r="D16" s="515">
        <v>100</v>
      </c>
      <c r="E16" s="520"/>
      <c r="F16" s="521">
        <f>SUMIF(63:63,E17,64:64)-SUMIF(63:63,C17,64:64)+100</f>
        <v>100</v>
      </c>
      <c r="G16" s="522"/>
      <c r="H16" s="515">
        <f>SUMIF(63:63,G17,64:64)-SUMIF(63:63,C17,64:64)+100</f>
        <v>100</v>
      </c>
      <c r="I16" s="520"/>
      <c r="J16" s="515">
        <f>SUMIF(63:63,I17,64:64)-SUMIF(63:63,C17,64:64)+100</f>
        <v>100</v>
      </c>
      <c r="K16" s="822"/>
      <c r="L16" s="1749"/>
      <c r="M16" s="1742"/>
      <c r="N16" s="1742"/>
      <c r="O16" s="1748"/>
      <c r="P16" s="3597"/>
      <c r="Q16" s="1306" t="str">
        <f>B16</f>
        <v>公共配套设施</v>
      </c>
      <c r="R16" s="1307" t="s">
        <v>5</v>
      </c>
      <c r="S16" s="1308">
        <f>F16</f>
        <v>100</v>
      </c>
      <c r="T16" s="1307" t="s">
        <v>5</v>
      </c>
      <c r="U16" s="1308">
        <f>H16</f>
        <v>100</v>
      </c>
      <c r="V16" s="1307" t="s">
        <v>5</v>
      </c>
      <c r="W16" s="1308">
        <f>J16</f>
        <v>100</v>
      </c>
      <c r="X16" s="1302"/>
      <c r="Y16" s="3597"/>
      <c r="Z16" s="1309" t="str">
        <f>Q16</f>
        <v>公共配套设施</v>
      </c>
      <c r="AA16" s="1309">
        <f t="shared" si="3"/>
        <v>1</v>
      </c>
      <c r="AB16" s="1309">
        <f t="shared" si="4"/>
        <v>1</v>
      </c>
      <c r="AC16" s="1309">
        <f t="shared" si="5"/>
        <v>1</v>
      </c>
    </row>
    <row r="17" spans="1:29" ht="15">
      <c r="A17" s="482"/>
      <c r="B17" s="516"/>
      <c r="C17" s="802"/>
      <c r="D17" s="505"/>
      <c r="E17" s="526"/>
      <c r="F17" s="507"/>
      <c r="G17" s="526"/>
      <c r="H17" s="505"/>
      <c r="I17" s="526"/>
      <c r="J17" s="505"/>
      <c r="K17" s="823"/>
      <c r="L17" s="1749"/>
      <c r="M17" s="1742"/>
      <c r="N17" s="1742"/>
      <c r="O17" s="1748"/>
      <c r="P17" s="3597"/>
      <c r="Q17" s="1306"/>
      <c r="R17" s="1307"/>
      <c r="S17" s="1308"/>
      <c r="T17" s="1307"/>
      <c r="U17" s="1308"/>
      <c r="V17" s="1307"/>
      <c r="W17" s="1308"/>
      <c r="X17" s="1302"/>
      <c r="Y17" s="3597"/>
      <c r="Z17" s="1309"/>
      <c r="AA17" s="1309">
        <v>1</v>
      </c>
      <c r="AB17" s="1309">
        <v>1</v>
      </c>
      <c r="AC17" s="1309">
        <v>1</v>
      </c>
    </row>
    <row r="18" spans="1:29" ht="15">
      <c r="A18" s="482"/>
      <c r="B18" s="2050" t="s">
        <v>1841</v>
      </c>
      <c r="C18" s="801" t="str">
        <f>IF(B1="工业",估价对象房地状况!G6,估价对象房地状况!C8)</f>
        <v>六通</v>
      </c>
      <c r="D18" s="509">
        <v>100</v>
      </c>
      <c r="E18" s="512"/>
      <c r="F18" s="513">
        <f>SUMIF(65:65,E19,66:66)-SUMIF(65:65,C19,66:66)+100</f>
        <v>100</v>
      </c>
      <c r="G18" s="514"/>
      <c r="H18" s="515">
        <f>SUMIF(65:65,G19,66:66)-SUMIF(65:65,C19,66:66)+100</f>
        <v>100</v>
      </c>
      <c r="I18" s="520"/>
      <c r="J18" s="515">
        <f>SUMIF(65:65,I19,66:66)-SUMIF(65:65,C19,66:66)+100</f>
        <v>100</v>
      </c>
      <c r="K18" s="822"/>
      <c r="L18" s="1749"/>
      <c r="M18" s="1742"/>
      <c r="N18" s="1742"/>
      <c r="O18" s="1748"/>
      <c r="P18" s="3597"/>
      <c r="Q18" s="1306" t="str">
        <f>B18</f>
        <v>基础设施水平</v>
      </c>
      <c r="R18" s="1307" t="s">
        <v>5</v>
      </c>
      <c r="S18" s="1308">
        <f>F18</f>
        <v>100</v>
      </c>
      <c r="T18" s="1307" t="s">
        <v>5</v>
      </c>
      <c r="U18" s="1308">
        <f>H18</f>
        <v>100</v>
      </c>
      <c r="V18" s="1307" t="s">
        <v>5</v>
      </c>
      <c r="W18" s="1308">
        <f>J18</f>
        <v>100</v>
      </c>
      <c r="X18" s="1302"/>
      <c r="Y18" s="3597"/>
      <c r="Z18" s="1309" t="str">
        <f>Q18</f>
        <v>基础设施水平</v>
      </c>
      <c r="AA18" s="1309">
        <f>D18/F18</f>
        <v>1</v>
      </c>
      <c r="AB18" s="1309">
        <f>D18/H18</f>
        <v>1</v>
      </c>
      <c r="AC18" s="1309">
        <f>D18/J18</f>
        <v>1</v>
      </c>
    </row>
    <row r="19" spans="1:29" ht="15">
      <c r="A19" s="482"/>
      <c r="B19" s="528"/>
      <c r="C19" s="802"/>
      <c r="D19" s="509"/>
      <c r="E19" s="802"/>
      <c r="F19" s="513"/>
      <c r="G19" s="802"/>
      <c r="H19" s="505"/>
      <c r="I19" s="526"/>
      <c r="J19" s="505"/>
      <c r="K19" s="2061"/>
      <c r="L19" s="1749"/>
      <c r="M19" s="1742"/>
      <c r="N19" s="1742"/>
      <c r="O19" s="1748"/>
      <c r="P19" s="3597"/>
      <c r="Q19" s="1306"/>
      <c r="R19" s="1307"/>
      <c r="S19" s="1308"/>
      <c r="T19" s="1307"/>
      <c r="U19" s="1308"/>
      <c r="V19" s="1307"/>
      <c r="W19" s="1308"/>
      <c r="X19" s="1302"/>
      <c r="Y19" s="3597"/>
      <c r="Z19" s="1309"/>
      <c r="AA19" s="1309">
        <v>1</v>
      </c>
      <c r="AB19" s="1309">
        <v>1</v>
      </c>
      <c r="AC19" s="1309">
        <v>1</v>
      </c>
    </row>
    <row r="20" spans="1:29" ht="57">
      <c r="A20" s="482"/>
      <c r="B20" s="677" t="s">
        <v>744</v>
      </c>
      <c r="C20" s="801" t="str">
        <f>IF(B1="工业",估价对象房地状况!G7,估价对象房地状况!C9)</f>
        <v>区域自然环境：；人文环境；综合评价环境状况较好</v>
      </c>
      <c r="D20" s="515">
        <v>100</v>
      </c>
      <c r="E20" s="520"/>
      <c r="F20" s="521">
        <f>SUMIF(67:67,E21,68:68)-SUMIF(67:67,C21,68:68)+100</f>
        <v>100</v>
      </c>
      <c r="G20" s="522"/>
      <c r="H20" s="509">
        <f>SUMIF(67:67,G21,68:68)-SUMIF(67:67,C21,68:68)+100</f>
        <v>100</v>
      </c>
      <c r="I20" s="512"/>
      <c r="J20" s="509">
        <f>SUMIF(67:67,I21,68:68)-SUMIF(67:67,C21,68:68)+100</f>
        <v>100</v>
      </c>
      <c r="K20" s="822"/>
      <c r="L20" s="1749"/>
      <c r="M20" s="1742"/>
      <c r="N20" s="1742"/>
      <c r="O20" s="1748"/>
      <c r="P20" s="3597"/>
      <c r="Q20" s="1306" t="str">
        <f>B20</f>
        <v>自然及人文环境</v>
      </c>
      <c r="R20" s="1307" t="s">
        <v>5</v>
      </c>
      <c r="S20" s="1308">
        <f>F20</f>
        <v>100</v>
      </c>
      <c r="T20" s="1307" t="s">
        <v>5</v>
      </c>
      <c r="U20" s="1308">
        <f>H20</f>
        <v>100</v>
      </c>
      <c r="V20" s="1307" t="s">
        <v>5</v>
      </c>
      <c r="W20" s="1308">
        <f>J20</f>
        <v>100</v>
      </c>
      <c r="X20" s="1302"/>
      <c r="Y20" s="3597"/>
      <c r="Z20" s="1309" t="str">
        <f>Q20</f>
        <v>自然及人文环境</v>
      </c>
      <c r="AA20" s="1309">
        <f t="shared" si="3"/>
        <v>1</v>
      </c>
      <c r="AB20" s="1309">
        <f t="shared" si="4"/>
        <v>1</v>
      </c>
      <c r="AC20" s="1309">
        <f t="shared" si="5"/>
        <v>1</v>
      </c>
    </row>
    <row r="21" spans="1:29" ht="15">
      <c r="A21" s="482"/>
      <c r="B21" s="544"/>
      <c r="C21" s="526"/>
      <c r="D21" s="505"/>
      <c r="E21" s="526"/>
      <c r="F21" s="507"/>
      <c r="G21" s="526"/>
      <c r="H21" s="505"/>
      <c r="I21" s="526"/>
      <c r="J21" s="505"/>
      <c r="K21" s="823"/>
      <c r="L21" s="1749"/>
      <c r="M21" s="1742"/>
      <c r="N21" s="1742"/>
      <c r="O21" s="1748"/>
      <c r="P21" s="3597"/>
      <c r="Q21" s="1306"/>
      <c r="R21" s="1307"/>
      <c r="S21" s="1308"/>
      <c r="T21" s="1307"/>
      <c r="U21" s="1308"/>
      <c r="V21" s="1307"/>
      <c r="W21" s="1308"/>
      <c r="X21" s="1302"/>
      <c r="Y21" s="3597"/>
      <c r="Z21" s="1309"/>
      <c r="AA21" s="1309">
        <v>1</v>
      </c>
      <c r="AB21" s="1309">
        <v>1</v>
      </c>
      <c r="AC21" s="1309">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9"/>
      <c r="M22" s="1742"/>
      <c r="N22" s="1742"/>
      <c r="O22" s="1748"/>
      <c r="P22" s="3597"/>
      <c r="Q22" s="1306" t="str">
        <f>B22</f>
        <v>楼层</v>
      </c>
      <c r="R22" s="1307" t="s">
        <v>5</v>
      </c>
      <c r="S22" s="1308">
        <f>F22</f>
        <v>100</v>
      </c>
      <c r="T22" s="1307" t="s">
        <v>5</v>
      </c>
      <c r="U22" s="1308">
        <f>H22</f>
        <v>100</v>
      </c>
      <c r="V22" s="1307" t="s">
        <v>5</v>
      </c>
      <c r="W22" s="1308">
        <f>J22</f>
        <v>100</v>
      </c>
      <c r="X22" s="1302"/>
      <c r="Y22" s="3597"/>
      <c r="Z22" s="1309" t="str">
        <f>Q22</f>
        <v>楼层</v>
      </c>
      <c r="AA22" s="1309">
        <f t="shared" si="3"/>
        <v>1</v>
      </c>
      <c r="AB22" s="1309">
        <f t="shared" si="4"/>
        <v>1</v>
      </c>
      <c r="AC22" s="1309">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9"/>
      <c r="M23" s="1742"/>
      <c r="N23" s="1742"/>
      <c r="O23" s="1748"/>
      <c r="P23" s="3597"/>
      <c r="Q23" s="1306">
        <f>B23</f>
        <v>111</v>
      </c>
      <c r="R23" s="1307" t="s">
        <v>5</v>
      </c>
      <c r="S23" s="1308">
        <f>F23</f>
        <v>100</v>
      </c>
      <c r="T23" s="1307" t="s">
        <v>5</v>
      </c>
      <c r="U23" s="1308">
        <f>H23</f>
        <v>100</v>
      </c>
      <c r="V23" s="1307" t="s">
        <v>5</v>
      </c>
      <c r="W23" s="1308">
        <f>J23</f>
        <v>100</v>
      </c>
      <c r="X23" s="1302"/>
      <c r="Y23" s="3597"/>
      <c r="Z23" s="1309">
        <f>Q23</f>
        <v>111</v>
      </c>
      <c r="AA23" s="1309">
        <f t="shared" si="3"/>
        <v>1</v>
      </c>
      <c r="AB23" s="1309">
        <f t="shared" si="4"/>
        <v>1</v>
      </c>
      <c r="AC23" s="1309">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9"/>
      <c r="M24" s="1742"/>
      <c r="N24" s="1742"/>
      <c r="O24" s="1748"/>
      <c r="P24" s="3597"/>
      <c r="Q24" s="1306">
        <f t="shared" ref="Q24:Q34" si="8">B24</f>
        <v>111</v>
      </c>
      <c r="R24" s="1307" t="s">
        <v>5</v>
      </c>
      <c r="S24" s="1308">
        <f>F24</f>
        <v>100</v>
      </c>
      <c r="T24" s="1307" t="s">
        <v>5</v>
      </c>
      <c r="U24" s="1308">
        <f>H24</f>
        <v>100</v>
      </c>
      <c r="V24" s="1307" t="s">
        <v>5</v>
      </c>
      <c r="W24" s="1308">
        <f>J24</f>
        <v>100</v>
      </c>
      <c r="X24" s="1302"/>
      <c r="Y24" s="3597"/>
      <c r="Z24" s="1309">
        <f>Q24</f>
        <v>111</v>
      </c>
      <c r="AA24" s="1309">
        <f t="shared" si="3"/>
        <v>1</v>
      </c>
      <c r="AB24" s="1309">
        <f t="shared" si="4"/>
        <v>1</v>
      </c>
      <c r="AC24" s="1309">
        <f t="shared" si="5"/>
        <v>1</v>
      </c>
    </row>
    <row r="25" spans="1:29" s="1059" customFormat="1" ht="15.75" thickBot="1">
      <c r="A25" s="486"/>
      <c r="B25" s="487">
        <v>111</v>
      </c>
      <c r="C25" s="860"/>
      <c r="D25" s="528">
        <v>100</v>
      </c>
      <c r="E25" s="860"/>
      <c r="F25" s="843">
        <f>SUMIF(75:75,E25,76:76)-SUMIF(75:75,C25,76:76)+100</f>
        <v>100</v>
      </c>
      <c r="G25" s="860"/>
      <c r="H25" s="528">
        <f>SUMIF(75:75,G25,76:76)-SUMIF(75:75,C25,76:76)+100</f>
        <v>100</v>
      </c>
      <c r="I25" s="860"/>
      <c r="J25" s="528">
        <f>SUMIF(75:75,I25,76:76)-SUMIF(75:75,C25,76:76)+100</f>
        <v>100</v>
      </c>
      <c r="K25" s="531"/>
      <c r="L25" s="1743"/>
      <c r="M25" s="1640"/>
      <c r="N25" s="1640"/>
      <c r="O25" s="1744"/>
      <c r="P25" s="3597"/>
      <c r="Q25" s="818">
        <f t="shared" si="8"/>
        <v>111</v>
      </c>
      <c r="R25" s="1303" t="s">
        <v>5</v>
      </c>
      <c r="S25" s="1304">
        <f>F25</f>
        <v>100</v>
      </c>
      <c r="T25" s="1303" t="s">
        <v>5</v>
      </c>
      <c r="U25" s="1304">
        <f>H25</f>
        <v>100</v>
      </c>
      <c r="V25" s="1303" t="s">
        <v>5</v>
      </c>
      <c r="W25" s="1304">
        <f>J25</f>
        <v>100</v>
      </c>
      <c r="X25" s="1305"/>
      <c r="Y25" s="3597"/>
      <c r="Z25" s="996">
        <f>Q25</f>
        <v>111</v>
      </c>
      <c r="AA25" s="1309">
        <f>D25/F25</f>
        <v>1</v>
      </c>
      <c r="AB25" s="1309">
        <f>D25/H25</f>
        <v>1</v>
      </c>
      <c r="AC25" s="1309">
        <f>D25/J25</f>
        <v>1</v>
      </c>
    </row>
    <row r="26" spans="1:29" ht="15">
      <c r="A26" s="2204" t="s">
        <v>2037</v>
      </c>
      <c r="B26" s="156" t="s">
        <v>748</v>
      </c>
      <c r="C26" s="804"/>
      <c r="D26" s="546">
        <v>100</v>
      </c>
      <c r="E26" s="804"/>
      <c r="F26" s="861">
        <f>SUMIF(77:77,E26,78:78)-SUMIF(77:77,C26,78:78)+100</f>
        <v>100</v>
      </c>
      <c r="G26" s="804"/>
      <c r="H26" s="546">
        <f>SUMIF(77:77,G26,78:78)-SUMIF(77:77,C26,78:78)+100</f>
        <v>100</v>
      </c>
      <c r="I26" s="804"/>
      <c r="J26" s="546">
        <f>SUMIF(77:77,I26,78:78)-SUMIF(77:77,C26,78:78)+100</f>
        <v>100</v>
      </c>
      <c r="K26" s="533"/>
      <c r="L26" s="1749"/>
      <c r="M26" s="1742"/>
      <c r="N26" s="1742"/>
      <c r="O26" s="1748"/>
      <c r="P26" s="3598" t="s">
        <v>761</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599" t="s">
        <v>761</v>
      </c>
      <c r="Z26" s="1309" t="str">
        <f t="shared" ref="Z26:Z34" si="12">Q26</f>
        <v>公共部分装修</v>
      </c>
      <c r="AA26" s="1309">
        <f t="shared" si="3"/>
        <v>1</v>
      </c>
      <c r="AB26" s="1309">
        <f t="shared" si="4"/>
        <v>1</v>
      </c>
      <c r="AC26" s="1309">
        <f t="shared" si="5"/>
        <v>1</v>
      </c>
    </row>
    <row r="27" spans="1:29" s="1133" customFormat="1" ht="15">
      <c r="A27" s="552"/>
      <c r="B27" s="477" t="s">
        <v>749</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7"/>
      <c r="M27" s="1771"/>
      <c r="N27" s="1771"/>
      <c r="O27" s="1750"/>
      <c r="P27" s="3599"/>
      <c r="Q27" s="819" t="str">
        <f t="shared" si="8"/>
        <v>成新率</v>
      </c>
      <c r="R27" s="1310" t="s">
        <v>5</v>
      </c>
      <c r="S27" s="1311" t="e">
        <f t="shared" si="9"/>
        <v>#N/A</v>
      </c>
      <c r="T27" s="1310" t="s">
        <v>5</v>
      </c>
      <c r="U27" s="1311" t="e">
        <f t="shared" si="10"/>
        <v>#N/A</v>
      </c>
      <c r="V27" s="1310" t="s">
        <v>5</v>
      </c>
      <c r="W27" s="1311" t="e">
        <f t="shared" si="11"/>
        <v>#N/A</v>
      </c>
      <c r="X27" s="1312"/>
      <c r="Y27" s="3599"/>
      <c r="Z27" s="1313" t="str">
        <f t="shared" si="12"/>
        <v>成新率</v>
      </c>
      <c r="AA27" s="1309" t="e">
        <f t="shared" si="3"/>
        <v>#N/A</v>
      </c>
      <c r="AB27" s="1309" t="e">
        <f t="shared" si="4"/>
        <v>#N/A</v>
      </c>
      <c r="AC27" s="1309"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9"/>
      <c r="M28" s="1742"/>
      <c r="N28" s="1742"/>
      <c r="O28" s="1748"/>
      <c r="P28" s="3599"/>
      <c r="Q28" s="1306" t="str">
        <f t="shared" si="8"/>
        <v>物业等级</v>
      </c>
      <c r="R28" s="1307" t="s">
        <v>5</v>
      </c>
      <c r="S28" s="1308">
        <f t="shared" si="9"/>
        <v>100</v>
      </c>
      <c r="T28" s="1307" t="s">
        <v>5</v>
      </c>
      <c r="U28" s="1308">
        <f t="shared" si="10"/>
        <v>100</v>
      </c>
      <c r="V28" s="1307" t="s">
        <v>5</v>
      </c>
      <c r="W28" s="1308">
        <f t="shared" si="11"/>
        <v>100</v>
      </c>
      <c r="X28" s="1302"/>
      <c r="Y28" s="3599"/>
      <c r="Z28" s="1309" t="str">
        <f t="shared" si="12"/>
        <v>物业等级</v>
      </c>
      <c r="AA28" s="1309">
        <f t="shared" si="3"/>
        <v>1</v>
      </c>
      <c r="AB28" s="1309">
        <f t="shared" si="4"/>
        <v>1</v>
      </c>
      <c r="AC28" s="1309">
        <f t="shared" si="5"/>
        <v>1</v>
      </c>
    </row>
    <row r="29" spans="1:29" ht="15">
      <c r="A29" s="543"/>
      <c r="B29" s="477" t="s">
        <v>762</v>
      </c>
      <c r="C29" s="852"/>
      <c r="D29" s="490">
        <v>100</v>
      </c>
      <c r="E29" s="852"/>
      <c r="F29" s="525">
        <f>SUMIF(84:84,E29,85:85)-SUMIF(84:84,C29,85:85)+100</f>
        <v>100</v>
      </c>
      <c r="G29" s="852"/>
      <c r="H29" s="490">
        <f>SUMIF(84:84,G29,85:85)-SUMIF(84:84,C29,85:85)+100</f>
        <v>100</v>
      </c>
      <c r="I29" s="852"/>
      <c r="J29" s="490">
        <f>SUMIF(84:84,I29,85:85)-SUMIF(84:84,C29,85:85)+100</f>
        <v>100</v>
      </c>
      <c r="K29" s="533"/>
      <c r="L29" s="1749"/>
      <c r="M29" s="1742"/>
      <c r="N29" s="1742"/>
      <c r="O29" s="1748"/>
      <c r="P29" s="3599"/>
      <c r="Q29" s="1306" t="str">
        <f t="shared" si="8"/>
        <v>有无电梯</v>
      </c>
      <c r="R29" s="1307" t="s">
        <v>5</v>
      </c>
      <c r="S29" s="1308">
        <f t="shared" si="9"/>
        <v>100</v>
      </c>
      <c r="T29" s="1307" t="s">
        <v>5</v>
      </c>
      <c r="U29" s="1308">
        <f t="shared" si="10"/>
        <v>100</v>
      </c>
      <c r="V29" s="1307" t="s">
        <v>5</v>
      </c>
      <c r="W29" s="1308">
        <f t="shared" si="11"/>
        <v>100</v>
      </c>
      <c r="X29" s="1302"/>
      <c r="Y29" s="3599"/>
      <c r="Z29" s="1309" t="str">
        <f t="shared" si="12"/>
        <v>有无电梯</v>
      </c>
      <c r="AA29" s="1309">
        <f t="shared" si="3"/>
        <v>1</v>
      </c>
      <c r="AB29" s="1309">
        <f t="shared" si="4"/>
        <v>1</v>
      </c>
      <c r="AC29" s="1309">
        <f t="shared" si="5"/>
        <v>1</v>
      </c>
    </row>
    <row r="30" spans="1:29" ht="15">
      <c r="A30" s="543"/>
      <c r="B30" s="477" t="s">
        <v>763</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49"/>
      <c r="M30" s="1742"/>
      <c r="N30" s="1742"/>
      <c r="O30" s="1748"/>
      <c r="P30" s="3599"/>
      <c r="Q30" s="1306" t="str">
        <f t="shared" si="8"/>
        <v>建筑面积</v>
      </c>
      <c r="R30" s="1307" t="s">
        <v>5</v>
      </c>
      <c r="S30" s="1308" t="e">
        <f t="shared" si="9"/>
        <v>#N/A</v>
      </c>
      <c r="T30" s="1307" t="s">
        <v>5</v>
      </c>
      <c r="U30" s="1308" t="e">
        <f t="shared" si="10"/>
        <v>#N/A</v>
      </c>
      <c r="V30" s="1307" t="s">
        <v>5</v>
      </c>
      <c r="W30" s="1308" t="e">
        <f t="shared" si="11"/>
        <v>#N/A</v>
      </c>
      <c r="X30" s="1302"/>
      <c r="Y30" s="3599"/>
      <c r="Z30" s="1309" t="str">
        <f t="shared" si="12"/>
        <v>建筑面积</v>
      </c>
      <c r="AA30" s="1309" t="e">
        <f t="shared" si="3"/>
        <v>#N/A</v>
      </c>
      <c r="AB30" s="1309" t="e">
        <f t="shared" si="4"/>
        <v>#N/A</v>
      </c>
      <c r="AC30" s="1309" t="e">
        <f t="shared" si="5"/>
        <v>#N/A</v>
      </c>
    </row>
    <row r="31" spans="1:29" s="1059" customFormat="1" ht="15">
      <c r="A31" s="549"/>
      <c r="B31" s="477" t="s">
        <v>764</v>
      </c>
      <c r="C31" s="852"/>
      <c r="D31" s="235">
        <v>100</v>
      </c>
      <c r="E31" s="852"/>
      <c r="F31" s="525">
        <f>SUMIF(89:89,E31,90:90)-SUMIF(89:89,C31,90:90)+100</f>
        <v>100</v>
      </c>
      <c r="G31" s="852"/>
      <c r="H31" s="490">
        <f>SUMIF(89:89,G31,90:90)-SUMIF(89:89,C31,90:90)+100</f>
        <v>100</v>
      </c>
      <c r="I31" s="852"/>
      <c r="J31" s="490">
        <f>SUMIF(89:89,I31,90:90)-SUMIF(89:89,C31,90:90)+100</f>
        <v>100</v>
      </c>
      <c r="K31" s="533"/>
      <c r="L31" s="1743"/>
      <c r="M31" s="1640"/>
      <c r="N31" s="1640"/>
      <c r="O31" s="1744"/>
      <c r="P31" s="3599"/>
      <c r="Q31" s="818" t="str">
        <f t="shared" si="8"/>
        <v>是否封闭</v>
      </c>
      <c r="R31" s="1303" t="s">
        <v>5</v>
      </c>
      <c r="S31" s="1304">
        <f t="shared" si="9"/>
        <v>100</v>
      </c>
      <c r="T31" s="1303" t="s">
        <v>5</v>
      </c>
      <c r="U31" s="1304">
        <f t="shared" si="10"/>
        <v>100</v>
      </c>
      <c r="V31" s="1303" t="s">
        <v>5</v>
      </c>
      <c r="W31" s="1304">
        <f t="shared" si="11"/>
        <v>100</v>
      </c>
      <c r="X31" s="1305"/>
      <c r="Y31" s="3599"/>
      <c r="Z31" s="996" t="str">
        <f t="shared" si="12"/>
        <v>是否封闭</v>
      </c>
      <c r="AA31" s="996">
        <f t="shared" si="3"/>
        <v>1</v>
      </c>
      <c r="AB31" s="996">
        <f t="shared" si="4"/>
        <v>1</v>
      </c>
      <c r="AC31" s="996">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49"/>
      <c r="M32" s="1742"/>
      <c r="N32" s="1742"/>
      <c r="O32" s="1748"/>
      <c r="P32" s="3599" t="s">
        <v>499</v>
      </c>
      <c r="Q32" s="1306">
        <f t="shared" si="8"/>
        <v>111</v>
      </c>
      <c r="R32" s="1307" t="s">
        <v>5</v>
      </c>
      <c r="S32" s="1308">
        <f t="shared" si="9"/>
        <v>100</v>
      </c>
      <c r="T32" s="1307" t="s">
        <v>5</v>
      </c>
      <c r="U32" s="1308">
        <f t="shared" si="10"/>
        <v>100</v>
      </c>
      <c r="V32" s="1307" t="s">
        <v>5</v>
      </c>
      <c r="W32" s="1308">
        <f t="shared" si="11"/>
        <v>100</v>
      </c>
      <c r="X32" s="1302"/>
      <c r="Y32" s="3599" t="s">
        <v>499</v>
      </c>
      <c r="Z32" s="1309">
        <f t="shared" si="12"/>
        <v>111</v>
      </c>
      <c r="AA32" s="1309">
        <f t="shared" si="3"/>
        <v>1</v>
      </c>
      <c r="AB32" s="1309">
        <f t="shared" si="4"/>
        <v>1</v>
      </c>
      <c r="AC32" s="1309">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49"/>
      <c r="M33" s="1742"/>
      <c r="N33" s="1742"/>
      <c r="O33" s="1748"/>
      <c r="P33" s="3599"/>
      <c r="Q33" s="1306">
        <f t="shared" si="8"/>
        <v>111</v>
      </c>
      <c r="R33" s="1307" t="s">
        <v>5</v>
      </c>
      <c r="S33" s="1308">
        <f t="shared" si="9"/>
        <v>100</v>
      </c>
      <c r="T33" s="1307" t="s">
        <v>5</v>
      </c>
      <c r="U33" s="1308">
        <f t="shared" si="10"/>
        <v>100</v>
      </c>
      <c r="V33" s="1307" t="s">
        <v>5</v>
      </c>
      <c r="W33" s="1308">
        <f t="shared" si="11"/>
        <v>100</v>
      </c>
      <c r="X33" s="1302"/>
      <c r="Y33" s="3599"/>
      <c r="Z33" s="1309">
        <f t="shared" si="12"/>
        <v>111</v>
      </c>
      <c r="AA33" s="1309">
        <f t="shared" si="3"/>
        <v>1</v>
      </c>
      <c r="AB33" s="1309">
        <f t="shared" si="4"/>
        <v>1</v>
      </c>
      <c r="AC33" s="1309">
        <f t="shared" si="5"/>
        <v>1</v>
      </c>
    </row>
    <row r="34" spans="1:29" ht="15.75" thickBot="1">
      <c r="A34" s="811"/>
      <c r="B34" s="494">
        <v>111</v>
      </c>
      <c r="C34" s="495"/>
      <c r="D34" s="496">
        <v>100</v>
      </c>
      <c r="E34" s="862"/>
      <c r="F34" s="796">
        <f>SUMIF(95:95,E34,96:96)-SUMIF(95:95,C34,96:96)+100</f>
        <v>100</v>
      </c>
      <c r="G34" s="862"/>
      <c r="H34" s="496">
        <f>SUMIF(95:95,G34,96:96)-SUMIF(95:95,C34,96:96)+100</f>
        <v>100</v>
      </c>
      <c r="I34" s="862"/>
      <c r="J34" s="496">
        <f>SUMIF(95:95,I34,96:96)-SUMIF(95:95,C34,96:96)+100</f>
        <v>100</v>
      </c>
      <c r="K34" s="531"/>
      <c r="L34" s="1749"/>
      <c r="M34" s="1742"/>
      <c r="N34" s="1742"/>
      <c r="O34" s="1748"/>
      <c r="P34" s="3599"/>
      <c r="Q34" s="1306">
        <f t="shared" si="8"/>
        <v>111</v>
      </c>
      <c r="R34" s="1307" t="s">
        <v>5</v>
      </c>
      <c r="S34" s="1308">
        <f t="shared" si="9"/>
        <v>100</v>
      </c>
      <c r="T34" s="1307" t="s">
        <v>5</v>
      </c>
      <c r="U34" s="1308">
        <f t="shared" si="10"/>
        <v>100</v>
      </c>
      <c r="V34" s="1307" t="s">
        <v>5</v>
      </c>
      <c r="W34" s="1308">
        <f t="shared" si="11"/>
        <v>100</v>
      </c>
      <c r="X34" s="1302"/>
      <c r="Y34" s="3599"/>
      <c r="Z34" s="1309">
        <f t="shared" si="12"/>
        <v>111</v>
      </c>
      <c r="AA34" s="1309">
        <f t="shared" si="3"/>
        <v>1</v>
      </c>
      <c r="AB34" s="1309">
        <f t="shared" si="4"/>
        <v>1</v>
      </c>
      <c r="AC34" s="1309">
        <f t="shared" si="5"/>
        <v>1</v>
      </c>
    </row>
    <row r="35" spans="1:29" ht="15">
      <c r="A35" s="556" t="s">
        <v>683</v>
      </c>
      <c r="B35" s="812"/>
      <c r="C35" s="2081" t="s">
        <v>0</v>
      </c>
      <c r="D35" s="559"/>
      <c r="E35" s="560"/>
      <c r="F35" s="561"/>
      <c r="G35" s="562"/>
      <c r="H35" s="563"/>
      <c r="I35" s="560"/>
      <c r="J35" s="563"/>
      <c r="K35" s="1335"/>
      <c r="L35" s="1751"/>
      <c r="M35" s="1742"/>
      <c r="N35" s="1742"/>
      <c r="O35" s="1742"/>
      <c r="P35" s="3594" t="str">
        <f>A35</f>
        <v>成交单价（元/平方米）</v>
      </c>
      <c r="Q35" s="3594"/>
      <c r="R35" s="3610">
        <f>E35</f>
        <v>0</v>
      </c>
      <c r="S35" s="3610"/>
      <c r="T35" s="3610">
        <f>G35</f>
        <v>0</v>
      </c>
      <c r="U35" s="3610"/>
      <c r="V35" s="3610">
        <f>I35</f>
        <v>0</v>
      </c>
      <c r="W35" s="3610"/>
      <c r="X35" s="799"/>
      <c r="Y35" s="1314"/>
      <c r="Z35" s="799"/>
      <c r="AA35" s="799"/>
      <c r="AB35" s="799"/>
      <c r="AC35" s="799"/>
    </row>
    <row r="36" spans="1:29" ht="15.75" thickBot="1">
      <c r="A36" s="564" t="s">
        <v>2042</v>
      </c>
      <c r="B36" s="813"/>
      <c r="C36" s="2082" t="e">
        <f>R37</f>
        <v>#DIV/0!</v>
      </c>
      <c r="D36" s="2550" t="s">
        <v>2257</v>
      </c>
      <c r="E36" s="2083" t="e">
        <f>R36</f>
        <v>#DIV/0!</v>
      </c>
      <c r="F36" s="2551"/>
      <c r="G36" s="2082" t="e">
        <f>T36</f>
        <v>#DIV/0!</v>
      </c>
      <c r="H36" s="2551"/>
      <c r="I36" s="2083" t="e">
        <f>V36</f>
        <v>#DIV/0!</v>
      </c>
      <c r="J36" s="2551"/>
      <c r="K36" s="2558">
        <f>F36+H36+J36</f>
        <v>0</v>
      </c>
      <c r="L36" s="1751"/>
      <c r="M36" s="1742"/>
      <c r="N36" s="1742"/>
      <c r="O36" s="1742"/>
      <c r="P36" s="3594" t="str">
        <f>A36</f>
        <v>比较价格（元/平方米）</v>
      </c>
      <c r="Q36" s="3594"/>
      <c r="R36" s="3610" t="e">
        <f>IF(F1="售价",ROUND(PRODUCT(R35,AA7:AA34),0),ROUND(PRODUCT(R35,AA7:AA34),1))</f>
        <v>#DIV/0!</v>
      </c>
      <c r="S36" s="3610"/>
      <c r="T36" s="3610" t="e">
        <f>IF(F1="售价",ROUND(PRODUCT(T35,AB7:AB34),0),ROUND(PRODUCT(T35,AB7:AB34),1))</f>
        <v>#DIV/0!</v>
      </c>
      <c r="U36" s="3610"/>
      <c r="V36" s="3610" t="e">
        <f>IF(F1="售价",ROUND(PRODUCT(V35,AC7:AC34),0),ROUND(PRODUCT(V35,AC7:AC34),1))</f>
        <v>#DIV/0!</v>
      </c>
      <c r="W36" s="3610"/>
      <c r="X36" s="799"/>
      <c r="Y36" s="799"/>
      <c r="Z36" s="799"/>
      <c r="AA36" s="799"/>
      <c r="AB36" s="799"/>
      <c r="AC36" s="799"/>
    </row>
    <row r="37" spans="1:29" ht="15.75" thickBot="1">
      <c r="A37" s="568" t="s">
        <v>2193</v>
      </c>
      <c r="B37" s="569"/>
      <c r="C37" s="469" t="e">
        <f>R37</f>
        <v>#DIV/0!</v>
      </c>
      <c r="D37" s="469"/>
      <c r="E37" s="469"/>
      <c r="F37" s="469"/>
      <c r="G37" s="469"/>
      <c r="H37" s="469"/>
      <c r="I37" s="469"/>
      <c r="J37" s="469"/>
      <c r="K37" s="1336"/>
      <c r="L37" s="1751"/>
      <c r="M37" s="1742"/>
      <c r="N37" s="1742"/>
      <c r="O37" s="1742"/>
      <c r="P37" s="3600" t="str">
        <f>A37</f>
        <v>估价对象XX用房的比较价格（楼面单价，元/平方米）</v>
      </c>
      <c r="Q37" s="3601"/>
      <c r="R37" s="3709" t="e">
        <f>IF(F1="售价",ROUND(IF(D36="简单平均",AVERAGE(R36:W36),R36*F36+T36*H36+V36*J36),0),ROUND(IF(D36="简单平均",AVERAGE(R36:V36),R36*F36+T36*H36+V36*J36),1))</f>
        <v>#DIV/0!</v>
      </c>
      <c r="S37" s="3709"/>
      <c r="T37" s="3709"/>
      <c r="U37" s="3709"/>
      <c r="V37" s="3709"/>
      <c r="W37" s="3709"/>
      <c r="X37" s="799"/>
      <c r="Y37" s="799"/>
      <c r="Z37" s="799"/>
      <c r="AA37" s="799"/>
      <c r="AB37" s="799"/>
      <c r="AC37" s="799"/>
    </row>
    <row r="38" spans="1:29">
      <c r="A38" s="2721"/>
      <c r="B38" s="2721"/>
      <c r="C38" s="2721"/>
      <c r="D38" s="2721"/>
      <c r="E38" s="2721"/>
      <c r="F38" s="2721"/>
      <c r="G38" s="2723"/>
      <c r="H38" s="2721"/>
      <c r="I38" s="2721"/>
      <c r="J38" s="2721"/>
      <c r="K38" s="2724"/>
      <c r="L38" s="1755"/>
      <c r="M38" s="1742"/>
      <c r="N38" s="1742"/>
      <c r="O38" s="1742"/>
      <c r="P38" s="1742"/>
      <c r="Q38" s="1742"/>
      <c r="R38" s="1742"/>
      <c r="S38" s="1742"/>
      <c r="T38" s="1742"/>
      <c r="U38" s="1742"/>
      <c r="V38" s="1742"/>
      <c r="W38" s="1742"/>
      <c r="X38" s="1742"/>
      <c r="Y38" s="1742"/>
      <c r="Z38" s="1742"/>
      <c r="AA38" s="1742"/>
      <c r="AB38" s="1742"/>
      <c r="AC38" s="1742"/>
    </row>
    <row r="39" spans="1:29">
      <c r="A39" s="2721"/>
      <c r="B39" s="2721"/>
      <c r="C39" s="2721"/>
      <c r="D39" s="2721"/>
      <c r="E39" s="2721"/>
      <c r="F39" s="2721"/>
      <c r="G39" s="2721"/>
      <c r="H39" s="2721"/>
      <c r="I39" s="2721"/>
      <c r="J39" s="2721"/>
      <c r="K39" s="2724"/>
      <c r="L39" s="1755"/>
      <c r="M39" s="1742"/>
      <c r="N39" s="1742"/>
      <c r="O39" s="1742"/>
      <c r="P39" s="1742"/>
      <c r="Q39" s="1742"/>
      <c r="R39" s="1742"/>
      <c r="S39" s="1742"/>
      <c r="T39" s="1742"/>
      <c r="U39" s="1742"/>
      <c r="V39" s="1742"/>
      <c r="W39" s="1742"/>
      <c r="X39" s="1742"/>
      <c r="Y39" s="1742"/>
      <c r="Z39" s="1742"/>
      <c r="AA39" s="1742"/>
      <c r="AB39" s="1742"/>
      <c r="AC39" s="1742"/>
    </row>
    <row r="40" spans="1:29" ht="13.5" customHeight="1">
      <c r="A40" s="2721"/>
      <c r="B40" s="2721"/>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4"/>
      <c r="L40" s="1755"/>
      <c r="M40" s="1742"/>
      <c r="N40" s="1742"/>
      <c r="O40" s="1742"/>
      <c r="P40" s="1742"/>
      <c r="Q40" s="1742"/>
      <c r="R40" s="1742"/>
      <c r="S40" s="1742"/>
      <c r="T40" s="1742"/>
      <c r="U40" s="1742"/>
      <c r="V40" s="1742"/>
      <c r="W40" s="1742"/>
      <c r="X40" s="1742"/>
      <c r="Y40" s="1742"/>
      <c r="Z40" s="1742"/>
      <c r="AA40" s="1742"/>
      <c r="AB40" s="1742"/>
      <c r="AC40" s="1742"/>
    </row>
    <row r="41" spans="1:29" ht="13.5" customHeight="1">
      <c r="A41" s="2721"/>
      <c r="B41" s="2721"/>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4"/>
      <c r="L41" s="1755"/>
      <c r="M41" s="1742"/>
      <c r="N41" s="1742"/>
      <c r="O41" s="1742"/>
      <c r="P41" s="1742"/>
      <c r="Q41" s="1742"/>
      <c r="R41" s="1742"/>
      <c r="S41" s="1742"/>
      <c r="T41" s="1742"/>
      <c r="U41" s="1742"/>
      <c r="V41" s="1742"/>
      <c r="W41" s="1742"/>
      <c r="X41" s="1742"/>
      <c r="Y41" s="1742"/>
      <c r="Z41" s="1742"/>
      <c r="AA41" s="1742"/>
      <c r="AB41" s="1742"/>
      <c r="AC41" s="1742"/>
    </row>
    <row r="42" spans="1:29" s="1138" customFormat="1" ht="13.5" customHeight="1">
      <c r="A42" s="2722"/>
      <c r="B42" s="2722"/>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5"/>
      <c r="L42" s="1758"/>
      <c r="M42" s="1752"/>
      <c r="N42" s="1752"/>
      <c r="O42" s="1752"/>
      <c r="P42" s="1752"/>
      <c r="Q42" s="1752"/>
      <c r="R42" s="1752"/>
      <c r="S42" s="1752"/>
      <c r="T42" s="1752"/>
      <c r="U42" s="1752"/>
      <c r="V42" s="1752"/>
      <c r="W42" s="1752"/>
      <c r="X42" s="1752"/>
      <c r="Y42" s="1752"/>
      <c r="Z42" s="1752"/>
      <c r="AA42" s="1752"/>
      <c r="AB42" s="1752"/>
      <c r="AC42" s="1752"/>
    </row>
    <row r="43" spans="1:29" s="1138" customFormat="1">
      <c r="A43" s="1752"/>
      <c r="B43" s="1753"/>
      <c r="C43" s="1756"/>
      <c r="D43" s="1752"/>
      <c r="E43" s="1752"/>
      <c r="F43" s="1752"/>
      <c r="G43" s="1752"/>
      <c r="H43" s="1752"/>
      <c r="I43" s="1752"/>
      <c r="J43" s="1752"/>
      <c r="K43" s="1757"/>
      <c r="L43" s="1758"/>
      <c r="M43" s="1752"/>
      <c r="N43" s="1752"/>
      <c r="O43" s="1752"/>
      <c r="P43" s="1752"/>
      <c r="Q43" s="1752"/>
      <c r="R43" s="1752"/>
      <c r="S43" s="1752"/>
      <c r="T43" s="1752"/>
      <c r="U43" s="1752"/>
      <c r="V43" s="1752"/>
      <c r="W43" s="1752"/>
      <c r="X43" s="1752"/>
      <c r="Y43" s="1752"/>
      <c r="Z43" s="1752"/>
      <c r="AA43" s="1752"/>
      <c r="AB43" s="1752"/>
      <c r="AC43" s="1752"/>
    </row>
    <row r="44" spans="1:29">
      <c r="A44" s="1742"/>
      <c r="B44" s="1753"/>
      <c r="C44" s="1756"/>
      <c r="D44" s="1742"/>
      <c r="E44" s="1742"/>
      <c r="F44" s="1742"/>
      <c r="G44" s="1742"/>
      <c r="H44" s="1742"/>
      <c r="I44" s="1742"/>
      <c r="J44" s="1742"/>
      <c r="K44" s="1754"/>
      <c r="L44" s="1755"/>
      <c r="M44" s="1742"/>
      <c r="N44" s="1742"/>
      <c r="O44" s="1742"/>
      <c r="P44" s="1742"/>
      <c r="Q44" s="1742"/>
      <c r="R44" s="1742"/>
      <c r="S44" s="1742"/>
      <c r="T44" s="1742"/>
      <c r="U44" s="1742"/>
      <c r="V44" s="1742"/>
      <c r="W44" s="1742"/>
      <c r="X44" s="1742"/>
      <c r="Y44" s="1742"/>
      <c r="Z44" s="1742"/>
      <c r="AA44" s="1742"/>
      <c r="AB44" s="1742"/>
      <c r="AC44" s="1742"/>
    </row>
    <row r="45" spans="1:29" ht="21.75" thickBot="1">
      <c r="A45" s="1317" t="s">
        <v>522</v>
      </c>
      <c r="B45" s="799"/>
      <c r="C45" s="1316"/>
      <c r="D45" s="1316"/>
      <c r="E45" s="1316"/>
      <c r="F45" s="1318"/>
      <c r="G45" s="1318"/>
      <c r="H45" s="1316"/>
      <c r="I45" s="1316"/>
      <c r="J45" s="1316"/>
      <c r="K45" s="1319"/>
      <c r="L45" s="1315"/>
      <c r="M45" s="1316"/>
      <c r="N45" s="1762"/>
      <c r="O45" s="1762"/>
      <c r="P45" s="1762"/>
      <c r="Q45" s="1763"/>
      <c r="R45" s="1742"/>
      <c r="S45" s="1742"/>
      <c r="T45" s="1742"/>
      <c r="U45" s="1742"/>
      <c r="V45" s="1742"/>
      <c r="W45" s="1742"/>
      <c r="X45" s="1742"/>
      <c r="Y45" s="1742"/>
      <c r="Z45" s="1742"/>
      <c r="AA45" s="1742"/>
      <c r="AB45" s="1742"/>
      <c r="AC45" s="1742"/>
    </row>
    <row r="46" spans="1:29" s="1140" customFormat="1" ht="15">
      <c r="A46" s="592" t="s">
        <v>478</v>
      </c>
      <c r="B46" s="593"/>
      <c r="C46" s="2113" t="str">
        <f>YEAR(C7)&amp;"-"&amp;MONTH(C7)</f>
        <v>2023-5</v>
      </c>
      <c r="D46" s="2115">
        <f>EDATE(C46,-1)</f>
        <v>45017</v>
      </c>
      <c r="E46" s="2115">
        <f t="shared" ref="E46:O46" si="13">EDATE(D46,-1)</f>
        <v>44986</v>
      </c>
      <c r="F46" s="2115">
        <f t="shared" si="13"/>
        <v>44958</v>
      </c>
      <c r="G46" s="2115">
        <f t="shared" si="13"/>
        <v>44927</v>
      </c>
      <c r="H46" s="2115">
        <f t="shared" si="13"/>
        <v>44896</v>
      </c>
      <c r="I46" s="2115">
        <f t="shared" si="13"/>
        <v>44866</v>
      </c>
      <c r="J46" s="2115">
        <f t="shared" si="13"/>
        <v>44835</v>
      </c>
      <c r="K46" s="2115">
        <f t="shared" si="13"/>
        <v>44805</v>
      </c>
      <c r="L46" s="2115">
        <f t="shared" si="13"/>
        <v>44774</v>
      </c>
      <c r="M46" s="2115">
        <f t="shared" si="13"/>
        <v>44743</v>
      </c>
      <c r="N46" s="2115">
        <f t="shared" si="13"/>
        <v>44713</v>
      </c>
      <c r="O46" s="2115">
        <f t="shared" si="13"/>
        <v>44682</v>
      </c>
      <c r="P46" s="1765"/>
      <c r="Q46" s="1765"/>
      <c r="R46" s="1765"/>
      <c r="S46" s="1765"/>
      <c r="T46" s="1765"/>
      <c r="U46" s="1765"/>
      <c r="V46" s="1765"/>
      <c r="W46" s="1765"/>
      <c r="X46" s="1765"/>
      <c r="Y46" s="1765"/>
      <c r="Z46" s="1765"/>
      <c r="AA46" s="1765"/>
      <c r="AB46" s="1765"/>
      <c r="AC46" s="1765"/>
    </row>
    <row r="47" spans="1:29" s="1059" customFormat="1" ht="15">
      <c r="A47" s="527"/>
      <c r="B47" s="594"/>
      <c r="C47" s="595">
        <v>100</v>
      </c>
      <c r="D47" s="596"/>
      <c r="E47" s="596"/>
      <c r="F47" s="596"/>
      <c r="G47" s="596"/>
      <c r="H47" s="596"/>
      <c r="I47" s="596"/>
      <c r="J47" s="596"/>
      <c r="K47" s="596"/>
      <c r="L47" s="596"/>
      <c r="M47" s="487"/>
      <c r="N47" s="596"/>
      <c r="O47" s="597"/>
      <c r="P47" s="1763"/>
      <c r="Q47" s="1640"/>
      <c r="R47" s="1640"/>
      <c r="S47" s="1640"/>
      <c r="T47" s="1640"/>
      <c r="U47" s="1640"/>
      <c r="V47" s="1640"/>
      <c r="W47" s="1640"/>
      <c r="X47" s="1640"/>
      <c r="Y47" s="1640"/>
      <c r="Z47" s="1640"/>
      <c r="AA47" s="1640"/>
      <c r="AB47" s="1640"/>
      <c r="AC47" s="1640"/>
    </row>
    <row r="48" spans="1:29" s="1059" customFormat="1" ht="15.75" thickBot="1">
      <c r="A48" s="262" t="s">
        <v>523</v>
      </c>
      <c r="B48" s="598"/>
      <c r="C48" s="599"/>
      <c r="D48" s="600"/>
      <c r="E48" s="600"/>
      <c r="F48" s="600"/>
      <c r="G48" s="600"/>
      <c r="H48" s="600"/>
      <c r="I48" s="600"/>
      <c r="J48" s="600"/>
      <c r="K48" s="600"/>
      <c r="L48" s="600"/>
      <c r="M48" s="601"/>
      <c r="N48" s="600"/>
      <c r="O48" s="602"/>
      <c r="P48" s="1763"/>
      <c r="Q48" s="1763"/>
      <c r="R48" s="1640"/>
      <c r="S48" s="1640"/>
      <c r="T48" s="1640"/>
      <c r="U48" s="1640"/>
      <c r="V48" s="1640"/>
      <c r="W48" s="1640"/>
      <c r="X48" s="1640"/>
      <c r="Y48" s="1640"/>
      <c r="Z48" s="1640"/>
      <c r="AA48" s="1640"/>
      <c r="AB48" s="1640"/>
      <c r="AC48" s="1640"/>
    </row>
    <row r="49" spans="1:29" s="1059" customFormat="1" ht="15">
      <c r="A49" s="603" t="s">
        <v>480</v>
      </c>
      <c r="B49" s="594"/>
      <c r="C49" s="604" t="s">
        <v>524</v>
      </c>
      <c r="D49" s="80"/>
      <c r="E49" s="80"/>
      <c r="F49" s="80"/>
      <c r="G49" s="80"/>
      <c r="H49" s="80"/>
      <c r="I49" s="80"/>
      <c r="J49" s="80"/>
      <c r="K49" s="80"/>
      <c r="L49" s="605"/>
      <c r="M49" s="606"/>
      <c r="N49" s="1766"/>
      <c r="O49" s="1766"/>
      <c r="P49" s="1647"/>
      <c r="Q49" s="1763"/>
      <c r="R49" s="1640"/>
      <c r="S49" s="1640"/>
      <c r="T49" s="1640"/>
      <c r="U49" s="1640"/>
      <c r="V49" s="1640"/>
      <c r="W49" s="1640"/>
      <c r="X49" s="1640"/>
      <c r="Y49" s="1640"/>
      <c r="Z49" s="1640"/>
      <c r="AA49" s="1640"/>
      <c r="AB49" s="1640"/>
      <c r="AC49" s="1640"/>
    </row>
    <row r="50" spans="1:29" s="1059" customFormat="1" ht="15.75" thickBot="1">
      <c r="A50" s="603"/>
      <c r="B50" s="594"/>
      <c r="C50" s="595">
        <v>100</v>
      </c>
      <c r="D50" s="596"/>
      <c r="E50" s="596"/>
      <c r="F50" s="596"/>
      <c r="G50" s="596"/>
      <c r="H50" s="596"/>
      <c r="I50" s="596"/>
      <c r="J50" s="596"/>
      <c r="K50" s="596"/>
      <c r="L50" s="596"/>
      <c r="M50" s="597"/>
      <c r="N50" s="1766"/>
      <c r="O50" s="1766"/>
      <c r="P50" s="1763"/>
      <c r="Q50" s="1763"/>
      <c r="R50" s="1640"/>
      <c r="S50" s="1640"/>
      <c r="T50" s="1640"/>
      <c r="U50" s="1640"/>
      <c r="V50" s="1640"/>
      <c r="W50" s="1640"/>
      <c r="X50" s="1640"/>
      <c r="Y50" s="1640"/>
      <c r="Z50" s="1640"/>
      <c r="AA50" s="1640"/>
      <c r="AB50" s="1640"/>
      <c r="AC50" s="1640"/>
    </row>
    <row r="51" spans="1:29">
      <c r="A51" s="607" t="s">
        <v>525</v>
      </c>
      <c r="B51" s="608" t="s">
        <v>483</v>
      </c>
      <c r="C51" s="645">
        <f>C9</f>
        <v>0</v>
      </c>
      <c r="D51" s="547"/>
      <c r="E51" s="547"/>
      <c r="F51" s="547"/>
      <c r="G51" s="547"/>
      <c r="H51" s="547"/>
      <c r="I51" s="547"/>
      <c r="J51" s="547"/>
      <c r="K51" s="609"/>
      <c r="L51" s="610"/>
      <c r="M51" s="611"/>
      <c r="N51" s="1767"/>
      <c r="O51" s="1767"/>
      <c r="P51" s="1766"/>
      <c r="Q51" s="1763"/>
      <c r="R51" s="1742"/>
      <c r="S51" s="1742"/>
      <c r="T51" s="1742"/>
      <c r="U51" s="1742"/>
      <c r="V51" s="1742"/>
      <c r="W51" s="1742"/>
      <c r="X51" s="1742"/>
      <c r="Y51" s="1742"/>
      <c r="Z51" s="1742"/>
      <c r="AA51" s="1742"/>
      <c r="AB51" s="1742"/>
      <c r="AC51" s="1742"/>
    </row>
    <row r="52" spans="1:29" ht="15.75" thickBot="1">
      <c r="A52" s="482"/>
      <c r="B52" s="612"/>
      <c r="C52" s="613">
        <v>100</v>
      </c>
      <c r="D52" s="613"/>
      <c r="E52" s="613"/>
      <c r="F52" s="613"/>
      <c r="G52" s="613"/>
      <c r="H52" s="613"/>
      <c r="I52" s="613"/>
      <c r="J52" s="613"/>
      <c r="K52" s="613"/>
      <c r="L52" s="613"/>
      <c r="M52" s="614"/>
      <c r="N52" s="1768"/>
      <c r="O52" s="1768"/>
      <c r="P52" s="1766"/>
      <c r="Q52" s="1763"/>
      <c r="R52" s="1742"/>
      <c r="S52" s="1742"/>
      <c r="T52" s="1742"/>
      <c r="U52" s="1742"/>
      <c r="V52" s="1742"/>
      <c r="W52" s="1742"/>
      <c r="X52" s="1742"/>
      <c r="Y52" s="1742"/>
      <c r="Z52" s="1742"/>
      <c r="AA52" s="1742"/>
      <c r="AB52" s="1742"/>
      <c r="AC52" s="1742"/>
    </row>
    <row r="53" spans="1:29" ht="27.75" thickTop="1">
      <c r="A53" s="482"/>
      <c r="B53" s="615" t="s">
        <v>486</v>
      </c>
      <c r="C53" s="658"/>
      <c r="D53" s="658"/>
      <c r="E53" s="658"/>
      <c r="F53" s="658"/>
      <c r="G53" s="658"/>
      <c r="H53" s="658"/>
      <c r="I53" s="658"/>
      <c r="J53" s="658"/>
      <c r="K53" s="659"/>
      <c r="L53" s="660"/>
      <c r="M53" s="661"/>
      <c r="N53" s="1767"/>
      <c r="O53" s="1767"/>
      <c r="P53" s="1766"/>
      <c r="Q53" s="1763"/>
      <c r="R53" s="1742"/>
      <c r="S53" s="1742"/>
      <c r="T53" s="1742"/>
      <c r="U53" s="1742"/>
      <c r="V53" s="1742"/>
      <c r="W53" s="1742"/>
      <c r="X53" s="1742"/>
      <c r="Y53" s="1742"/>
      <c r="Z53" s="1742"/>
      <c r="AA53" s="1742"/>
      <c r="AB53" s="1742"/>
      <c r="AC53" s="1742"/>
    </row>
    <row r="54" spans="1:29" ht="15.75" thickBot="1">
      <c r="A54" s="482"/>
      <c r="B54" s="620"/>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15.75" thickTop="1">
      <c r="A55" s="482"/>
      <c r="B55" s="855">
        <f>B11</f>
        <v>111</v>
      </c>
      <c r="C55" s="491"/>
      <c r="D55" s="491"/>
      <c r="E55" s="491"/>
      <c r="F55" s="491"/>
      <c r="G55" s="491"/>
      <c r="H55" s="491"/>
      <c r="I55" s="491"/>
      <c r="J55" s="491"/>
      <c r="K55" s="626"/>
      <c r="L55" s="627"/>
      <c r="M55" s="628"/>
      <c r="N55" s="1767"/>
      <c r="O55" s="1767"/>
      <c r="P55" s="1766"/>
      <c r="Q55" s="1763"/>
      <c r="R55" s="1742"/>
      <c r="S55" s="1742"/>
      <c r="T55" s="1742"/>
      <c r="U55" s="1742"/>
      <c r="V55" s="1742"/>
      <c r="W55" s="1742"/>
      <c r="X55" s="1742"/>
      <c r="Y55" s="1742"/>
      <c r="Z55" s="1742"/>
      <c r="AA55" s="1742"/>
      <c r="AB55" s="1742"/>
      <c r="AC55" s="1742"/>
    </row>
    <row r="56" spans="1:29" ht="15.75" thickBot="1">
      <c r="A56" s="482"/>
      <c r="B56" s="612"/>
      <c r="C56" s="634"/>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s="1133" customFormat="1" ht="15.75" thickTop="1">
      <c r="A57" s="629"/>
      <c r="B57" s="615">
        <f>B12</f>
        <v>111</v>
      </c>
      <c r="C57" s="491"/>
      <c r="D57" s="491"/>
      <c r="E57" s="491"/>
      <c r="F57" s="491"/>
      <c r="G57" s="630"/>
      <c r="H57" s="631"/>
      <c r="I57" s="631"/>
      <c r="J57" s="631"/>
      <c r="K57" s="631"/>
      <c r="L57" s="632"/>
      <c r="M57" s="633"/>
      <c r="N57" s="1769"/>
      <c r="O57" s="1769"/>
      <c r="P57" s="1769"/>
      <c r="Q57" s="1770"/>
      <c r="R57" s="1771"/>
      <c r="S57" s="1771"/>
      <c r="T57" s="1771"/>
      <c r="U57" s="1771"/>
      <c r="V57" s="1771"/>
      <c r="W57" s="1771"/>
      <c r="X57" s="1771"/>
      <c r="Y57" s="1771"/>
      <c r="Z57" s="1771"/>
      <c r="AA57" s="1771"/>
      <c r="AB57" s="1771"/>
      <c r="AC57" s="1771"/>
    </row>
    <row r="58" spans="1:29" s="1133" customFormat="1" ht="15.75" thickBot="1">
      <c r="A58" s="629"/>
      <c r="B58" s="620"/>
      <c r="C58" s="634"/>
      <c r="D58" s="613"/>
      <c r="E58" s="613"/>
      <c r="F58" s="613"/>
      <c r="G58" s="613"/>
      <c r="H58" s="613"/>
      <c r="I58" s="613"/>
      <c r="J58" s="613"/>
      <c r="K58" s="613"/>
      <c r="L58" s="613"/>
      <c r="M58" s="614"/>
      <c r="N58" s="1768"/>
      <c r="O58" s="1768"/>
      <c r="P58" s="1769"/>
      <c r="Q58" s="1770"/>
      <c r="R58" s="1771"/>
      <c r="S58" s="1771"/>
      <c r="T58" s="1771"/>
      <c r="U58" s="1771"/>
      <c r="V58" s="1771"/>
      <c r="W58" s="1771"/>
      <c r="X58" s="1771"/>
      <c r="Y58" s="1771"/>
      <c r="Z58" s="1771"/>
      <c r="AA58" s="1771"/>
      <c r="AB58" s="1771"/>
      <c r="AC58" s="1771"/>
    </row>
    <row r="59" spans="1:29" s="1133" customFormat="1" ht="15.75" thickTop="1">
      <c r="A59" s="629"/>
      <c r="B59" s="615">
        <f>B13</f>
        <v>111</v>
      </c>
      <c r="C59" s="491"/>
      <c r="D59" s="491"/>
      <c r="E59" s="491"/>
      <c r="F59" s="491"/>
      <c r="G59" s="630"/>
      <c r="H59" s="631"/>
      <c r="I59" s="631"/>
      <c r="J59" s="631"/>
      <c r="K59" s="631"/>
      <c r="L59" s="632"/>
      <c r="M59" s="633"/>
      <c r="N59" s="1769"/>
      <c r="O59" s="1769"/>
      <c r="P59" s="1771"/>
      <c r="Q59" s="1772"/>
      <c r="R59" s="1771"/>
      <c r="S59" s="1771"/>
      <c r="T59" s="1771"/>
      <c r="U59" s="1771"/>
      <c r="V59" s="1771"/>
      <c r="W59" s="1771"/>
      <c r="X59" s="1771"/>
      <c r="Y59" s="1771"/>
      <c r="Z59" s="1771"/>
      <c r="AA59" s="1771"/>
      <c r="AB59" s="1771"/>
      <c r="AC59" s="1771"/>
    </row>
    <row r="60" spans="1:29" s="1133" customFormat="1" ht="15.75" thickBot="1">
      <c r="A60" s="629"/>
      <c r="B60" s="620"/>
      <c r="C60" s="634"/>
      <c r="D60" s="634"/>
      <c r="E60" s="634"/>
      <c r="F60" s="634"/>
      <c r="G60" s="634"/>
      <c r="H60" s="635"/>
      <c r="I60" s="635"/>
      <c r="J60" s="635"/>
      <c r="K60" s="635"/>
      <c r="L60" s="635"/>
      <c r="M60" s="636"/>
      <c r="N60" s="1769"/>
      <c r="O60" s="1769"/>
      <c r="P60" s="1769"/>
      <c r="Q60" s="1770"/>
      <c r="R60" s="1771"/>
      <c r="S60" s="1771"/>
      <c r="T60" s="1771"/>
      <c r="U60" s="1771"/>
      <c r="V60" s="1771"/>
      <c r="W60" s="1771"/>
      <c r="X60" s="1771"/>
      <c r="Y60" s="1771"/>
      <c r="Z60" s="1771"/>
      <c r="AA60" s="1771"/>
      <c r="AB60" s="1771"/>
      <c r="AC60" s="1771"/>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7"/>
      <c r="O61" s="1767"/>
      <c r="P61" s="1774"/>
      <c r="Q61" s="1763"/>
      <c r="R61" s="1742"/>
      <c r="S61" s="1742"/>
      <c r="T61" s="1742"/>
      <c r="U61" s="1742"/>
      <c r="V61" s="1742"/>
      <c r="W61" s="1742"/>
      <c r="X61" s="1742"/>
      <c r="Y61" s="1742"/>
      <c r="Z61" s="1742"/>
      <c r="AA61" s="1742"/>
      <c r="AB61" s="1742"/>
      <c r="AC61" s="1742"/>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8"/>
      <c r="O62" s="1768"/>
      <c r="P62" s="1766"/>
      <c r="Q62" s="1763"/>
      <c r="R62" s="1742"/>
      <c r="S62" s="1742"/>
      <c r="T62" s="1742"/>
      <c r="U62" s="1742"/>
      <c r="V62" s="1742"/>
      <c r="W62" s="1742"/>
      <c r="X62" s="1742"/>
      <c r="Y62" s="1742"/>
      <c r="Z62" s="1742"/>
      <c r="AA62" s="1742"/>
      <c r="AB62" s="1742"/>
      <c r="AC62" s="1742"/>
    </row>
    <row r="63" spans="1:29" ht="15.75" thickTop="1">
      <c r="A63" s="482"/>
      <c r="B63" s="1555" t="s">
        <v>1840</v>
      </c>
      <c r="C63" s="649" t="s">
        <v>527</v>
      </c>
      <c r="D63" s="649" t="s">
        <v>528</v>
      </c>
      <c r="E63" s="649" t="s">
        <v>529</v>
      </c>
      <c r="F63" s="649" t="s">
        <v>530</v>
      </c>
      <c r="G63" s="649" t="s">
        <v>531</v>
      </c>
      <c r="H63" s="616"/>
      <c r="I63" s="616"/>
      <c r="J63" s="616"/>
      <c r="K63" s="617"/>
      <c r="L63" s="618"/>
      <c r="M63" s="619"/>
      <c r="N63" s="1767"/>
      <c r="O63" s="1767"/>
      <c r="P63" s="1766"/>
      <c r="Q63" s="1763"/>
      <c r="R63" s="1742"/>
      <c r="S63" s="1742"/>
      <c r="T63" s="1742"/>
      <c r="U63" s="1742"/>
      <c r="V63" s="1742"/>
      <c r="W63" s="1742"/>
      <c r="X63" s="1742"/>
      <c r="Y63" s="1742"/>
      <c r="Z63" s="1742"/>
      <c r="AA63" s="1742"/>
      <c r="AB63" s="1742"/>
      <c r="AC63" s="1742"/>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2056" t="s">
        <v>1841</v>
      </c>
      <c r="C65" s="2057" t="s">
        <v>1842</v>
      </c>
      <c r="D65" s="2057" t="s">
        <v>1843</v>
      </c>
      <c r="E65" s="2057" t="s">
        <v>1844</v>
      </c>
      <c r="F65" s="2057" t="s">
        <v>1845</v>
      </c>
      <c r="G65" s="2057" t="s">
        <v>1846</v>
      </c>
      <c r="H65" s="616"/>
      <c r="I65" s="616"/>
      <c r="J65" s="616"/>
      <c r="K65" s="616"/>
      <c r="L65" s="616"/>
      <c r="M65" s="2060"/>
      <c r="N65" s="1768"/>
      <c r="O65" s="1768"/>
      <c r="P65" s="1766"/>
      <c r="Q65" s="1763"/>
      <c r="R65" s="1742"/>
      <c r="S65" s="1742"/>
      <c r="T65" s="1742"/>
      <c r="U65" s="1742"/>
      <c r="V65" s="1742"/>
      <c r="W65" s="1742"/>
      <c r="X65" s="1742"/>
      <c r="Y65" s="1742"/>
      <c r="Z65" s="1742"/>
      <c r="AA65" s="1742"/>
      <c r="AB65" s="1742"/>
      <c r="AC65" s="1742"/>
    </row>
    <row r="66" spans="1:29" ht="15.75" thickBot="1">
      <c r="A66" s="482"/>
      <c r="B66" s="623"/>
      <c r="C66" s="621">
        <v>100</v>
      </c>
      <c r="D66" s="621">
        <f>C66-$K18</f>
        <v>100</v>
      </c>
      <c r="E66" s="621">
        <f>D66-$K18</f>
        <v>100</v>
      </c>
      <c r="F66" s="621">
        <f>E66-$K18</f>
        <v>100</v>
      </c>
      <c r="G66" s="621">
        <f>F66-$K18</f>
        <v>100</v>
      </c>
      <c r="H66" s="855"/>
      <c r="I66" s="855"/>
      <c r="J66" s="855"/>
      <c r="K66" s="855"/>
      <c r="L66" s="855"/>
      <c r="M66" s="509"/>
      <c r="N66" s="1768"/>
      <c r="O66" s="1768"/>
      <c r="P66" s="1766"/>
      <c r="Q66" s="1763"/>
      <c r="R66" s="1742"/>
      <c r="S66" s="1742"/>
      <c r="T66" s="1742"/>
      <c r="U66" s="1742"/>
      <c r="V66" s="1742"/>
      <c r="W66" s="1742"/>
      <c r="X66" s="1742"/>
      <c r="Y66" s="1742"/>
      <c r="Z66" s="1742"/>
      <c r="AA66" s="1742"/>
      <c r="AB66" s="1742"/>
      <c r="AC66" s="1742"/>
    </row>
    <row r="67" spans="1:29" ht="15.75" thickTop="1">
      <c r="A67" s="482"/>
      <c r="B67" s="615" t="s">
        <v>684</v>
      </c>
      <c r="C67" s="649" t="s">
        <v>527</v>
      </c>
      <c r="D67" s="649" t="s">
        <v>528</v>
      </c>
      <c r="E67" s="649" t="s">
        <v>529</v>
      </c>
      <c r="F67" s="649" t="s">
        <v>530</v>
      </c>
      <c r="G67" s="649" t="s">
        <v>531</v>
      </c>
      <c r="H67" s="616"/>
      <c r="I67" s="616"/>
      <c r="J67" s="616"/>
      <c r="K67" s="617"/>
      <c r="L67" s="618"/>
      <c r="M67" s="619"/>
      <c r="N67" s="1767"/>
      <c r="O67" s="1767"/>
      <c r="P67" s="1766"/>
      <c r="Q67" s="1763"/>
      <c r="R67" s="1742"/>
      <c r="S67" s="1742"/>
      <c r="T67" s="1742"/>
      <c r="U67" s="1742"/>
      <c r="V67" s="1742"/>
      <c r="W67" s="1742"/>
      <c r="X67" s="1742"/>
      <c r="Y67" s="1742"/>
      <c r="Z67" s="1742"/>
      <c r="AA67" s="1742"/>
      <c r="AB67" s="1742"/>
      <c r="AC67" s="1742"/>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685</v>
      </c>
      <c r="C69" s="630"/>
      <c r="D69" s="630"/>
      <c r="E69" s="630"/>
      <c r="F69" s="630"/>
      <c r="G69" s="630"/>
      <c r="H69" s="658"/>
      <c r="I69" s="658"/>
      <c r="J69" s="658"/>
      <c r="K69" s="659"/>
      <c r="L69" s="660"/>
      <c r="M69" s="661"/>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C70-$K22</f>
        <v>100</v>
      </c>
      <c r="E70" s="621"/>
      <c r="F70" s="621"/>
      <c r="G70" s="621"/>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s="1059" customFormat="1" ht="15.75" thickTop="1">
      <c r="A71" s="486"/>
      <c r="B71" s="615">
        <f>B23</f>
        <v>111</v>
      </c>
      <c r="C71" s="491"/>
      <c r="D71" s="491"/>
      <c r="E71" s="491"/>
      <c r="F71" s="491"/>
      <c r="G71" s="630"/>
      <c r="H71" s="630"/>
      <c r="I71" s="630"/>
      <c r="J71" s="630"/>
      <c r="K71" s="630"/>
      <c r="L71" s="815"/>
      <c r="M71" s="816"/>
      <c r="N71" s="1766"/>
      <c r="O71" s="1766"/>
      <c r="P71" s="1766"/>
      <c r="Q71" s="1763"/>
      <c r="R71" s="1640"/>
      <c r="S71" s="1640"/>
      <c r="T71" s="1640"/>
      <c r="U71" s="1640"/>
      <c r="V71" s="1640"/>
      <c r="W71" s="1640"/>
      <c r="X71" s="1640"/>
      <c r="Y71" s="1640"/>
      <c r="Z71" s="1640"/>
      <c r="AA71" s="1640"/>
      <c r="AB71" s="1640"/>
      <c r="AC71" s="1640"/>
    </row>
    <row r="72" spans="1:29" s="1059" customFormat="1" ht="15.75" thickBot="1">
      <c r="A72" s="486"/>
      <c r="B72" s="620"/>
      <c r="C72" s="634"/>
      <c r="D72" s="613"/>
      <c r="E72" s="613"/>
      <c r="F72" s="613"/>
      <c r="G72" s="613"/>
      <c r="H72" s="613"/>
      <c r="I72" s="613"/>
      <c r="J72" s="613"/>
      <c r="K72" s="613"/>
      <c r="L72" s="613"/>
      <c r="M72" s="614"/>
      <c r="N72" s="1768"/>
      <c r="O72" s="1768"/>
      <c r="P72" s="1766"/>
      <c r="Q72" s="1763"/>
      <c r="R72" s="1640"/>
      <c r="S72" s="1640"/>
      <c r="T72" s="1640"/>
      <c r="U72" s="1640"/>
      <c r="V72" s="1640"/>
      <c r="W72" s="1640"/>
      <c r="X72" s="1640"/>
      <c r="Y72" s="1640"/>
      <c r="Z72" s="1640"/>
      <c r="AA72" s="1640"/>
      <c r="AB72" s="1640"/>
      <c r="AC72" s="1640"/>
    </row>
    <row r="73" spans="1:29" s="1059" customFormat="1" ht="15.75" thickTop="1">
      <c r="A73" s="486"/>
      <c r="B73" s="615">
        <f>B24</f>
        <v>111</v>
      </c>
      <c r="C73" s="491"/>
      <c r="D73" s="491"/>
      <c r="E73" s="491"/>
      <c r="F73" s="491"/>
      <c r="G73" s="630"/>
      <c r="H73" s="630"/>
      <c r="I73" s="630"/>
      <c r="J73" s="630"/>
      <c r="K73" s="630"/>
      <c r="L73" s="630"/>
      <c r="M73" s="816"/>
      <c r="N73" s="1766"/>
      <c r="O73" s="1766"/>
      <c r="P73" s="1766"/>
      <c r="Q73" s="1763"/>
      <c r="R73" s="1640"/>
      <c r="S73" s="1640"/>
      <c r="T73" s="1640"/>
      <c r="U73" s="1640"/>
      <c r="V73" s="1640"/>
      <c r="W73" s="1640"/>
      <c r="X73" s="1640"/>
      <c r="Y73" s="1640"/>
      <c r="Z73" s="1640"/>
      <c r="AA73" s="1640"/>
      <c r="AB73" s="1640"/>
      <c r="AC73" s="1640"/>
    </row>
    <row r="74" spans="1:29" s="1059"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133" customFormat="1" ht="15.75" thickTop="1">
      <c r="A75" s="629"/>
      <c r="B75" s="615">
        <f>B25</f>
        <v>111</v>
      </c>
      <c r="C75" s="491"/>
      <c r="D75" s="491"/>
      <c r="E75" s="491"/>
      <c r="F75" s="491"/>
      <c r="G75" s="630"/>
      <c r="H75" s="631"/>
      <c r="I75" s="631"/>
      <c r="J75" s="631"/>
      <c r="K75" s="631"/>
      <c r="L75" s="632"/>
      <c r="M75" s="633"/>
      <c r="N75" s="1769"/>
      <c r="O75" s="1769"/>
      <c r="P75" s="1769"/>
      <c r="Q75" s="1770"/>
      <c r="R75" s="1771"/>
      <c r="S75" s="1771"/>
      <c r="T75" s="1771"/>
      <c r="U75" s="1771"/>
      <c r="V75" s="1771"/>
      <c r="W75" s="1771"/>
      <c r="X75" s="1771"/>
      <c r="Y75" s="1771"/>
      <c r="Z75" s="1771"/>
      <c r="AA75" s="1771"/>
      <c r="AB75" s="1771"/>
      <c r="AC75" s="1771"/>
    </row>
    <row r="76" spans="1:29" s="1133" customFormat="1" ht="15.75" thickBot="1">
      <c r="A76" s="629"/>
      <c r="B76" s="620"/>
      <c r="C76" s="634"/>
      <c r="D76" s="634"/>
      <c r="E76" s="634"/>
      <c r="F76" s="634"/>
      <c r="G76" s="613"/>
      <c r="H76" s="613"/>
      <c r="I76" s="613"/>
      <c r="J76" s="613"/>
      <c r="K76" s="613"/>
      <c r="L76" s="613"/>
      <c r="M76" s="614"/>
      <c r="N76" s="1769"/>
      <c r="O76" s="1769"/>
      <c r="P76" s="1769"/>
      <c r="Q76" s="1770"/>
      <c r="R76" s="1771"/>
      <c r="S76" s="1771"/>
      <c r="T76" s="1771"/>
      <c r="U76" s="1771"/>
      <c r="V76" s="1771"/>
      <c r="W76" s="1771"/>
      <c r="X76" s="1771"/>
      <c r="Y76" s="1771"/>
      <c r="Z76" s="1771"/>
      <c r="AA76" s="1771"/>
      <c r="AB76" s="1771"/>
      <c r="AC76" s="1771"/>
    </row>
    <row r="77" spans="1:29" ht="15" thickTop="1">
      <c r="A77" s="607" t="s">
        <v>500</v>
      </c>
      <c r="B77" s="608" t="s">
        <v>691</v>
      </c>
      <c r="C77" s="630"/>
      <c r="D77" s="630"/>
      <c r="E77" s="547"/>
      <c r="F77" s="547"/>
      <c r="G77" s="547"/>
      <c r="H77" s="547"/>
      <c r="I77" s="547"/>
      <c r="J77" s="547"/>
      <c r="K77" s="609"/>
      <c r="L77" s="610"/>
      <c r="M77" s="611"/>
      <c r="N77" s="1767"/>
      <c r="O77" s="1767"/>
      <c r="P77" s="1766"/>
      <c r="Q77" s="1763"/>
      <c r="R77" s="1742"/>
      <c r="S77" s="1742"/>
      <c r="T77" s="1742"/>
      <c r="U77" s="1742"/>
      <c r="V77" s="1742"/>
      <c r="W77" s="1742"/>
      <c r="X77" s="1742"/>
      <c r="Y77" s="1742"/>
      <c r="Z77" s="1742"/>
      <c r="AA77" s="1742"/>
      <c r="AB77" s="1742"/>
      <c r="AC77" s="1742"/>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8"/>
      <c r="O78" s="1768"/>
      <c r="P78" s="1766"/>
      <c r="Q78" s="1763"/>
      <c r="R78" s="1742"/>
      <c r="S78" s="1742"/>
      <c r="T78" s="1742"/>
      <c r="U78" s="1742"/>
      <c r="V78" s="1742"/>
      <c r="W78" s="1742"/>
      <c r="X78" s="1742"/>
      <c r="Y78" s="1742"/>
      <c r="Z78" s="1742"/>
      <c r="AA78" s="1742"/>
      <c r="AB78" s="1742"/>
      <c r="AC78" s="1742"/>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6"/>
      <c r="O79" s="1766"/>
      <c r="P79" s="1766"/>
      <c r="Q79" s="1763"/>
      <c r="R79" s="1742"/>
      <c r="S79" s="1742"/>
      <c r="T79" s="1742"/>
      <c r="U79" s="1742"/>
      <c r="V79" s="1742"/>
      <c r="W79" s="1742"/>
      <c r="X79" s="1742"/>
      <c r="Y79" s="1742"/>
      <c r="Z79" s="1742"/>
      <c r="AA79" s="1742"/>
      <c r="AB79" s="1742"/>
      <c r="AC79" s="1742"/>
    </row>
    <row r="80" spans="1:29" ht="15">
      <c r="A80" s="482"/>
      <c r="B80" s="623"/>
      <c r="C80" s="818">
        <v>0.5</v>
      </c>
      <c r="D80" s="818">
        <v>0.6</v>
      </c>
      <c r="E80" s="818">
        <v>0.7</v>
      </c>
      <c r="F80" s="818">
        <v>0.8</v>
      </c>
      <c r="G80" s="818">
        <v>0.9</v>
      </c>
      <c r="H80" s="818">
        <v>1.0001</v>
      </c>
      <c r="I80" s="855"/>
      <c r="J80" s="855"/>
      <c r="K80" s="863"/>
      <c r="L80" s="864"/>
      <c r="M80" s="865"/>
      <c r="N80" s="1766"/>
      <c r="O80" s="1766"/>
      <c r="P80" s="1766"/>
      <c r="Q80" s="1763"/>
      <c r="R80" s="1742"/>
      <c r="S80" s="1742"/>
      <c r="T80" s="1742"/>
      <c r="U80" s="1742"/>
      <c r="V80" s="1742"/>
      <c r="W80" s="1742"/>
      <c r="X80" s="1742"/>
      <c r="Y80" s="1742"/>
      <c r="Z80" s="1742"/>
      <c r="AA80" s="1742"/>
      <c r="AB80" s="1742"/>
      <c r="AC80" s="1742"/>
    </row>
    <row r="81" spans="1:29" s="1133"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8"/>
      <c r="O81" s="1768"/>
      <c r="P81" s="1769"/>
      <c r="Q81" s="1770"/>
      <c r="R81" s="1771"/>
      <c r="S81" s="1771"/>
      <c r="T81" s="1771"/>
      <c r="U81" s="1771"/>
      <c r="V81" s="1771"/>
      <c r="W81" s="1771"/>
      <c r="X81" s="1771"/>
      <c r="Y81" s="1771"/>
      <c r="Z81" s="1771"/>
      <c r="AA81" s="1771"/>
      <c r="AB81" s="1771"/>
      <c r="AC81" s="1771"/>
    </row>
    <row r="82" spans="1:29" ht="15" thickTop="1">
      <c r="A82" s="543"/>
      <c r="B82" s="623" t="s">
        <v>757</v>
      </c>
      <c r="C82" s="630"/>
      <c r="D82" s="630"/>
      <c r="E82" s="658"/>
      <c r="F82" s="658"/>
      <c r="G82" s="658"/>
      <c r="H82" s="658"/>
      <c r="I82" s="658"/>
      <c r="J82" s="658"/>
      <c r="K82" s="659"/>
      <c r="L82" s="660"/>
      <c r="M82" s="661"/>
      <c r="N82" s="1767"/>
      <c r="O82" s="1767"/>
      <c r="P82" s="1766"/>
      <c r="Q82" s="1763"/>
      <c r="R82" s="1742"/>
      <c r="S82" s="1742"/>
      <c r="T82" s="1742"/>
      <c r="U82" s="1742"/>
      <c r="V82" s="1742"/>
      <c r="W82" s="1742"/>
      <c r="X82" s="1742"/>
      <c r="Y82" s="1742"/>
      <c r="Z82" s="1742"/>
      <c r="AA82" s="1742"/>
      <c r="AB82" s="1742"/>
      <c r="AC82" s="1742"/>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8"/>
      <c r="O83" s="1768"/>
      <c r="P83" s="1766"/>
      <c r="Q83" s="1763"/>
      <c r="R83" s="1742"/>
      <c r="S83" s="1742"/>
      <c r="T83" s="1742"/>
      <c r="U83" s="1742"/>
      <c r="V83" s="1742"/>
      <c r="W83" s="1742"/>
      <c r="X83" s="1742"/>
      <c r="Y83" s="1742"/>
      <c r="Z83" s="1742"/>
      <c r="AA83" s="1742"/>
      <c r="AB83" s="1742"/>
      <c r="AC83" s="1742"/>
    </row>
    <row r="84" spans="1:29" ht="15" thickTop="1">
      <c r="A84" s="543"/>
      <c r="B84" s="615" t="s">
        <v>765</v>
      </c>
      <c r="C84" s="630"/>
      <c r="D84" s="630"/>
      <c r="E84" s="630"/>
      <c r="F84" s="630"/>
      <c r="G84" s="630"/>
      <c r="H84" s="630"/>
      <c r="I84" s="658"/>
      <c r="J84" s="658"/>
      <c r="K84" s="659"/>
      <c r="L84" s="660"/>
      <c r="M84" s="661"/>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8"/>
      <c r="O85" s="1768"/>
      <c r="P85" s="1766"/>
      <c r="Q85" s="1763"/>
      <c r="R85" s="1742"/>
      <c r="S85" s="1742"/>
      <c r="T85" s="1742"/>
      <c r="U85" s="1742"/>
      <c r="V85" s="1742"/>
      <c r="W85" s="1742"/>
      <c r="X85" s="1742"/>
      <c r="Y85" s="1742"/>
      <c r="Z85" s="1742"/>
      <c r="AA85" s="1742"/>
      <c r="AB85" s="1742"/>
      <c r="AC85" s="1742"/>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7"/>
      <c r="O86" s="1767"/>
      <c r="P86" s="1766"/>
      <c r="Q86" s="1763"/>
      <c r="R86" s="1742"/>
      <c r="S86" s="1742"/>
      <c r="T86" s="1742"/>
      <c r="U86" s="1742"/>
      <c r="V86" s="1742"/>
      <c r="W86" s="1742"/>
      <c r="X86" s="1742"/>
      <c r="Y86" s="1742"/>
      <c r="Z86" s="1742"/>
      <c r="AA86" s="1742"/>
      <c r="AB86" s="1742"/>
      <c r="AC86" s="1742"/>
    </row>
    <row r="87" spans="1:29">
      <c r="A87" s="543"/>
      <c r="B87" s="623"/>
      <c r="C87" s="79"/>
      <c r="D87" s="79"/>
      <c r="E87" s="79"/>
      <c r="F87" s="79"/>
      <c r="G87" s="79"/>
      <c r="H87" s="79"/>
      <c r="I87" s="79"/>
      <c r="J87" s="669"/>
      <c r="K87" s="669"/>
      <c r="L87" s="670"/>
      <c r="M87" s="671"/>
      <c r="N87" s="1767"/>
      <c r="O87" s="1767"/>
      <c r="P87" s="1766"/>
      <c r="Q87" s="1763"/>
      <c r="R87" s="1742"/>
      <c r="S87" s="1742"/>
      <c r="T87" s="1742"/>
      <c r="U87" s="1742"/>
      <c r="V87" s="1742"/>
      <c r="W87" s="1742"/>
      <c r="X87" s="1742"/>
      <c r="Y87" s="1742"/>
      <c r="Z87" s="1742"/>
      <c r="AA87" s="1742"/>
      <c r="AB87" s="1742"/>
      <c r="AC87" s="1742"/>
    </row>
    <row r="88" spans="1:29" ht="15.75" thickBot="1">
      <c r="A88" s="482"/>
      <c r="B88" s="620"/>
      <c r="C88" s="634"/>
      <c r="D88" s="613"/>
      <c r="E88" s="613"/>
      <c r="F88" s="613"/>
      <c r="G88" s="613"/>
      <c r="H88" s="613"/>
      <c r="I88" s="613"/>
      <c r="J88" s="613"/>
      <c r="K88" s="613"/>
      <c r="L88" s="613"/>
      <c r="M88" s="613"/>
      <c r="N88" s="1768"/>
      <c r="O88" s="1768"/>
      <c r="P88" s="1766"/>
      <c r="Q88" s="1763"/>
      <c r="R88" s="1742"/>
      <c r="S88" s="1742"/>
      <c r="T88" s="1742"/>
      <c r="U88" s="1742"/>
      <c r="V88" s="1742"/>
      <c r="W88" s="1742"/>
      <c r="X88" s="1742"/>
      <c r="Y88" s="1742"/>
      <c r="Z88" s="1742"/>
      <c r="AA88" s="1742"/>
      <c r="AB88" s="1742"/>
      <c r="AC88" s="1742"/>
    </row>
    <row r="89" spans="1:29" s="1133" customFormat="1" ht="15" thickTop="1">
      <c r="A89" s="552"/>
      <c r="B89" s="615" t="s">
        <v>767</v>
      </c>
      <c r="C89" s="630"/>
      <c r="D89" s="630"/>
      <c r="E89" s="630"/>
      <c r="F89" s="630"/>
      <c r="G89" s="630"/>
      <c r="H89" s="630"/>
      <c r="I89" s="630"/>
      <c r="J89" s="630"/>
      <c r="K89" s="630"/>
      <c r="L89" s="630"/>
      <c r="M89" s="816"/>
      <c r="N89" s="1769"/>
      <c r="O89" s="1769"/>
      <c r="P89" s="1769"/>
      <c r="Q89" s="1770"/>
      <c r="R89" s="1771"/>
      <c r="S89" s="1771"/>
      <c r="T89" s="1771"/>
      <c r="U89" s="1771"/>
      <c r="V89" s="1771"/>
      <c r="W89" s="1771"/>
      <c r="X89" s="1771"/>
      <c r="Y89" s="1771"/>
      <c r="Z89" s="1771"/>
      <c r="AA89" s="1771"/>
      <c r="AB89" s="1771"/>
      <c r="AC89" s="1771"/>
    </row>
    <row r="90" spans="1:29" s="1133" customFormat="1" ht="15.75" thickBot="1">
      <c r="A90" s="629"/>
      <c r="B90" s="620"/>
      <c r="C90" s="634"/>
      <c r="D90" s="613"/>
      <c r="E90" s="613"/>
      <c r="F90" s="613"/>
      <c r="G90" s="613"/>
      <c r="H90" s="613"/>
      <c r="I90" s="613"/>
      <c r="J90" s="613"/>
      <c r="K90" s="613"/>
      <c r="L90" s="613"/>
      <c r="M90" s="614"/>
      <c r="N90" s="1769"/>
      <c r="O90" s="1769"/>
      <c r="P90" s="1769"/>
      <c r="Q90" s="1770"/>
      <c r="R90" s="1771"/>
      <c r="S90" s="1771"/>
      <c r="T90" s="1771"/>
      <c r="U90" s="1771"/>
      <c r="V90" s="1771"/>
      <c r="W90" s="1771"/>
      <c r="X90" s="1771"/>
      <c r="Y90" s="1771"/>
      <c r="Z90" s="1771"/>
      <c r="AA90" s="1771"/>
      <c r="AB90" s="1771"/>
      <c r="AC90" s="1771"/>
    </row>
    <row r="91" spans="1:29" ht="15" thickTop="1">
      <c r="A91" s="543"/>
      <c r="B91" s="615">
        <f>B32</f>
        <v>111</v>
      </c>
      <c r="C91" s="491"/>
      <c r="D91" s="491"/>
      <c r="E91" s="491"/>
      <c r="F91" s="491"/>
      <c r="G91" s="630"/>
      <c r="H91" s="631"/>
      <c r="I91" s="631"/>
      <c r="J91" s="631"/>
      <c r="K91" s="631"/>
      <c r="L91" s="632"/>
      <c r="M91" s="633"/>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34"/>
      <c r="D92" s="613"/>
      <c r="E92" s="613"/>
      <c r="F92" s="613"/>
      <c r="G92" s="634"/>
      <c r="H92" s="635"/>
      <c r="I92" s="635"/>
      <c r="J92" s="635"/>
      <c r="K92" s="635"/>
      <c r="L92" s="635"/>
      <c r="M92" s="636"/>
      <c r="N92" s="1768"/>
      <c r="O92" s="1768"/>
      <c r="P92" s="1766"/>
      <c r="Q92" s="1763"/>
      <c r="R92" s="1742"/>
      <c r="S92" s="1742"/>
      <c r="T92" s="1742"/>
      <c r="U92" s="1742"/>
      <c r="V92" s="1742"/>
      <c r="W92" s="1742"/>
      <c r="X92" s="1742"/>
      <c r="Y92" s="1742"/>
      <c r="Z92" s="1742"/>
      <c r="AA92" s="1742"/>
      <c r="AB92" s="1742"/>
      <c r="AC92" s="1742"/>
    </row>
    <row r="93" spans="1:29" ht="15" thickTop="1">
      <c r="A93" s="543"/>
      <c r="B93" s="615">
        <f>B33</f>
        <v>111</v>
      </c>
      <c r="C93" s="491"/>
      <c r="D93" s="491"/>
      <c r="E93" s="491"/>
      <c r="F93" s="491"/>
      <c r="G93" s="630"/>
      <c r="H93" s="631"/>
      <c r="I93" s="631"/>
      <c r="J93" s="631"/>
      <c r="K93" s="631"/>
      <c r="L93" s="632"/>
      <c r="M93" s="633"/>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34"/>
      <c r="H94" s="635"/>
      <c r="I94" s="635"/>
      <c r="J94" s="635"/>
      <c r="K94" s="635"/>
      <c r="L94" s="635"/>
      <c r="M94" s="636"/>
      <c r="N94" s="1768"/>
      <c r="O94" s="1768"/>
      <c r="P94" s="1766"/>
      <c r="Q94" s="1763"/>
      <c r="R94" s="1742"/>
      <c r="S94" s="1742"/>
      <c r="T94" s="1742"/>
      <c r="U94" s="1742"/>
      <c r="V94" s="1742"/>
      <c r="W94" s="1742"/>
      <c r="X94" s="1742"/>
      <c r="Y94" s="1742"/>
      <c r="Z94" s="1742"/>
      <c r="AA94" s="1742"/>
      <c r="AB94" s="1742"/>
      <c r="AC94" s="1742"/>
    </row>
    <row r="95" spans="1:29" ht="15" thickTop="1">
      <c r="A95" s="543"/>
      <c r="B95" s="838">
        <f>B34</f>
        <v>111</v>
      </c>
      <c r="C95" s="491"/>
      <c r="D95" s="491"/>
      <c r="E95" s="491"/>
      <c r="F95" s="491"/>
      <c r="G95" s="630"/>
      <c r="H95" s="631"/>
      <c r="I95" s="631"/>
      <c r="J95" s="631"/>
      <c r="K95" s="631"/>
      <c r="L95" s="632"/>
      <c r="M95" s="633"/>
      <c r="N95" s="1768"/>
      <c r="O95" s="1768"/>
      <c r="P95" s="1768"/>
      <c r="Q95" s="180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34"/>
      <c r="H96" s="635"/>
      <c r="I96" s="635"/>
      <c r="J96" s="635"/>
      <c r="K96" s="635"/>
      <c r="L96" s="635"/>
      <c r="M96" s="636"/>
      <c r="N96" s="1768"/>
      <c r="O96" s="1768"/>
      <c r="P96" s="1766"/>
      <c r="Q96" s="1763"/>
      <c r="R96" s="1742"/>
      <c r="S96" s="1742"/>
      <c r="T96" s="1742"/>
      <c r="U96" s="1742"/>
      <c r="V96" s="1742"/>
      <c r="W96" s="1742"/>
      <c r="X96" s="1742"/>
      <c r="Y96" s="1742"/>
      <c r="Z96" s="1742"/>
      <c r="AA96" s="1742"/>
      <c r="AB96" s="1742"/>
      <c r="AC96" s="1742"/>
    </row>
    <row r="97" spans="1:29" ht="15" thickTop="1">
      <c r="A97" s="1779"/>
      <c r="B97" s="1779"/>
      <c r="C97" s="1779"/>
      <c r="D97" s="1779"/>
      <c r="E97" s="1779"/>
      <c r="F97" s="1779"/>
      <c r="G97" s="1779"/>
      <c r="H97" s="1779"/>
      <c r="I97" s="1779"/>
      <c r="J97" s="1779"/>
      <c r="K97" s="1780"/>
      <c r="L97" s="1781"/>
      <c r="M97" s="1779"/>
      <c r="N97" s="1779"/>
      <c r="O97" s="1779"/>
      <c r="P97" s="1779"/>
      <c r="Q97" s="1779"/>
      <c r="R97" s="1779"/>
      <c r="S97" s="1779"/>
      <c r="T97" s="1779"/>
      <c r="U97" s="1779"/>
      <c r="V97" s="1779"/>
      <c r="W97" s="1779"/>
      <c r="X97" s="1779"/>
      <c r="Y97" s="1779"/>
      <c r="Z97" s="1779"/>
      <c r="AA97" s="1779"/>
      <c r="AB97" s="1779"/>
      <c r="AC97" s="1779"/>
    </row>
    <row r="98" spans="1:29">
      <c r="A98" s="1779"/>
      <c r="B98" s="1779"/>
      <c r="C98" s="1779"/>
      <c r="D98" s="1779"/>
      <c r="E98" s="1779"/>
      <c r="F98" s="1779"/>
      <c r="G98" s="1779"/>
      <c r="H98" s="1779"/>
      <c r="I98" s="1779"/>
      <c r="J98" s="1779"/>
      <c r="K98" s="1780"/>
      <c r="L98" s="1781"/>
      <c r="M98" s="1779"/>
      <c r="N98" s="1779"/>
      <c r="O98" s="1779"/>
      <c r="P98" s="1779"/>
      <c r="Q98" s="1779"/>
      <c r="R98" s="1779"/>
      <c r="S98" s="1779"/>
      <c r="T98" s="1779"/>
      <c r="U98" s="1779"/>
      <c r="V98" s="1779"/>
      <c r="W98" s="1779"/>
      <c r="X98" s="1779"/>
      <c r="Y98" s="1779"/>
      <c r="Z98" s="1779"/>
      <c r="AA98" s="1779"/>
      <c r="AB98" s="1779"/>
      <c r="AC98" s="1779"/>
    </row>
    <row r="99" spans="1:29">
      <c r="A99" s="1779"/>
      <c r="B99" s="1779"/>
      <c r="C99" s="1779"/>
      <c r="D99" s="1779"/>
      <c r="E99" s="1779"/>
      <c r="F99" s="1779"/>
      <c r="G99" s="1779"/>
      <c r="H99" s="1779"/>
      <c r="I99" s="1779"/>
      <c r="J99" s="1779"/>
      <c r="K99" s="1780"/>
      <c r="L99" s="1781"/>
      <c r="M99" s="1779"/>
      <c r="N99" s="1779"/>
      <c r="O99" s="1779"/>
      <c r="P99" s="1779"/>
      <c r="Q99" s="1779"/>
      <c r="R99" s="1779"/>
      <c r="S99" s="1779"/>
      <c r="T99" s="1779"/>
      <c r="U99" s="1779"/>
      <c r="V99" s="1779"/>
      <c r="W99" s="1779"/>
      <c r="X99" s="1779"/>
      <c r="Y99" s="1779"/>
      <c r="Z99" s="1779"/>
      <c r="AA99" s="1779"/>
      <c r="AB99" s="1779"/>
      <c r="AC99" s="1779"/>
    </row>
    <row r="100" spans="1:29">
      <c r="A100" s="1779"/>
      <c r="B100" s="1779"/>
      <c r="C100" s="1779"/>
      <c r="D100" s="1779"/>
      <c r="E100" s="1779"/>
      <c r="F100" s="1779"/>
      <c r="G100" s="1779"/>
      <c r="H100" s="1779"/>
      <c r="I100" s="1779"/>
      <c r="J100" s="1779"/>
      <c r="K100" s="1780"/>
      <c r="L100" s="1781"/>
      <c r="M100" s="1779"/>
      <c r="N100" s="1779"/>
      <c r="O100" s="1779"/>
      <c r="P100" s="1779"/>
      <c r="Q100" s="1779"/>
      <c r="R100" s="1779"/>
      <c r="S100" s="1779"/>
      <c r="T100" s="1779"/>
      <c r="U100" s="1779"/>
      <c r="V100" s="1779"/>
      <c r="W100" s="1779"/>
      <c r="X100" s="1779"/>
      <c r="Y100" s="1779"/>
      <c r="Z100" s="1779"/>
      <c r="AA100" s="1779"/>
      <c r="AB100" s="1779"/>
      <c r="AC100" s="1779"/>
    </row>
    <row r="101" spans="1:29">
      <c r="A101" s="1779"/>
      <c r="B101" s="1779"/>
      <c r="C101" s="1779"/>
      <c r="D101" s="1779"/>
      <c r="E101" s="1779"/>
      <c r="F101" s="1779"/>
      <c r="G101" s="1779"/>
      <c r="H101" s="1779"/>
      <c r="I101" s="1779"/>
      <c r="J101" s="1779"/>
      <c r="K101" s="1780"/>
      <c r="L101" s="1781"/>
      <c r="M101" s="1779"/>
      <c r="N101" s="1779"/>
      <c r="O101" s="1779"/>
      <c r="P101" s="1779"/>
      <c r="Q101" s="1779"/>
      <c r="R101" s="1779"/>
      <c r="S101" s="1779"/>
      <c r="T101" s="1779"/>
      <c r="U101" s="1779"/>
      <c r="V101" s="1779"/>
      <c r="W101" s="1779"/>
      <c r="X101" s="1779"/>
      <c r="Y101" s="1779"/>
      <c r="Z101" s="1779"/>
      <c r="AA101" s="1779"/>
      <c r="AB101" s="1779"/>
      <c r="AC101" s="1779"/>
    </row>
    <row r="102" spans="1:29">
      <c r="A102" s="1779"/>
      <c r="B102" s="1779"/>
      <c r="C102" s="1779"/>
      <c r="D102" s="1779"/>
      <c r="E102" s="1779"/>
      <c r="F102" s="1779"/>
      <c r="G102" s="1779"/>
      <c r="H102" s="1779"/>
      <c r="I102" s="1779"/>
      <c r="J102" s="1779"/>
      <c r="K102" s="1780"/>
      <c r="L102" s="1781"/>
      <c r="M102" s="1779"/>
      <c r="N102" s="1779"/>
      <c r="O102" s="1779"/>
      <c r="P102" s="1779"/>
      <c r="Q102" s="1779"/>
      <c r="R102" s="1779"/>
      <c r="S102" s="1779"/>
      <c r="T102" s="1779"/>
      <c r="U102" s="1779"/>
      <c r="V102" s="1779"/>
      <c r="W102" s="1779"/>
      <c r="X102" s="1779"/>
      <c r="Y102" s="1779"/>
      <c r="Z102" s="1779"/>
      <c r="AA102" s="1779"/>
      <c r="AB102" s="1779"/>
      <c r="AC102" s="1779"/>
    </row>
    <row r="103" spans="1:29">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800-000000000000}">
      <formula1>交通便捷度</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D1" xr:uid="{00000000-0002-0000-2800-000002000000}">
      <formula1>项目类型</formula1>
    </dataValidation>
    <dataValidation type="list" allowBlank="1" showInputMessage="1" showErrorMessage="1" sqref="C8 E8 G8 I8" xr:uid="{00000000-0002-0000-2800-000003000000}">
      <formula1>仓储交易情况</formula1>
    </dataValidation>
    <dataValidation type="list" allowBlank="1" showInputMessage="1" showErrorMessage="1" sqref="E9 G9 I9" xr:uid="{00000000-0002-0000-2800-000004000000}">
      <formula1>仓储用途</formula1>
    </dataValidation>
    <dataValidation type="list" allowBlank="1" showInputMessage="1" showErrorMessage="1" sqref="C21 E21 G21 I21" xr:uid="{00000000-0002-0000-2800-000005000000}">
      <formula1>环境</formula1>
    </dataValidation>
    <dataValidation type="list" allowBlank="1" showInputMessage="1" showErrorMessage="1" sqref="C22 E22 G22 I22" xr:uid="{00000000-0002-0000-2800-000006000000}">
      <formula1>仓储楼层</formula1>
    </dataValidation>
    <dataValidation type="list" allowBlank="1" showInputMessage="1" showErrorMessage="1" sqref="C26 E26 G26 I26" xr:uid="{00000000-0002-0000-2800-000007000000}">
      <formula1>仓储公共部分装修</formula1>
    </dataValidation>
    <dataValidation type="list" allowBlank="1" showInputMessage="1" showErrorMessage="1" sqref="C29 E29 G29 I29" xr:uid="{00000000-0002-0000-2800-000008000000}">
      <formula1>有无电梯</formula1>
    </dataValidation>
    <dataValidation type="list" allowBlank="1" showInputMessage="1" showErrorMessage="1" sqref="C31 E31 G31 I31" xr:uid="{00000000-0002-0000-2800-000009000000}">
      <formula1>是否封闭</formula1>
    </dataValidation>
    <dataValidation type="list" allowBlank="1" showInputMessage="1" showErrorMessage="1" sqref="B1" xr:uid="{00000000-0002-0000-2800-00000A000000}">
      <formula1>地类判定</formula1>
    </dataValidation>
    <dataValidation type="list" allowBlank="1" showInputMessage="1" showErrorMessage="1" sqref="C28 E28 G28 I28" xr:uid="{00000000-0002-0000-2800-00000B000000}">
      <formula1>仓储物业等级</formula1>
    </dataValidation>
    <dataValidation type="list" allowBlank="1" showInputMessage="1" showErrorMessage="1" sqref="C19 E19 G19 I19" xr:uid="{00000000-0002-0000-2800-00000C000000}">
      <formula1>基础设施水平</formula1>
    </dataValidation>
    <dataValidation type="list" allowBlank="1" showInputMessage="1" showErrorMessage="1" sqref="F1" xr:uid="{00000000-0002-0000-2800-00000D000000}">
      <formula1>"售价,租金"</formula1>
    </dataValidation>
    <dataValidation type="list" allowBlank="1" showInputMessage="1" showErrorMessage="1" sqref="D36" xr:uid="{00000000-0002-0000-28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682"/>
  <sheetViews>
    <sheetView zoomScale="70" zoomScaleNormal="70" workbookViewId="0">
      <pane ySplit="24" topLeftCell="A516" activePane="bottomLeft" state="frozen"/>
      <selection activeCell="C55" sqref="C55:M56"/>
      <selection pane="bottomLeft" activeCell="C55" sqref="C55:M56"/>
    </sheetView>
  </sheetViews>
  <sheetFormatPr defaultColWidth="9" defaultRowHeight="12.75"/>
  <cols>
    <col min="1" max="1" width="11.5" style="1044" customWidth="1"/>
    <col min="2" max="2" width="9.25" style="1057" customWidth="1"/>
    <col min="3" max="3" width="5" style="1057" customWidth="1"/>
    <col min="4" max="4" width="9" style="1057"/>
    <col min="5" max="5" width="5" style="1057" customWidth="1"/>
    <col min="6" max="6" width="9" style="1057"/>
    <col min="7" max="7" width="5" style="1057" customWidth="1"/>
    <col min="8" max="8" width="9" style="1057"/>
    <col min="9" max="9" width="5" style="1057" customWidth="1"/>
    <col min="10" max="10" width="9" style="1057"/>
    <col min="11" max="11" width="5" style="1057" customWidth="1"/>
    <col min="12" max="12" width="9" style="1057"/>
    <col min="13" max="13" width="5" style="1057" customWidth="1"/>
    <col min="14" max="14" width="9" style="1057"/>
    <col min="15" max="15" width="5" style="1057" customWidth="1"/>
    <col min="16" max="16" width="9" style="1057"/>
    <col min="17" max="17" width="5" style="1057" customWidth="1"/>
    <col min="18" max="18" width="9" style="1057"/>
    <col min="19" max="19" width="9" style="1044"/>
    <col min="20" max="35" width="9" style="237"/>
    <col min="36" max="16384" width="9" style="1044"/>
  </cols>
  <sheetData>
    <row r="1" spans="1:45" s="237" customFormat="1" ht="14.25" customHeight="1" thickBot="1">
      <c r="A1" s="339"/>
      <c r="B1" s="1828" t="s">
        <v>1660</v>
      </c>
      <c r="C1" s="3720" t="s">
        <v>1661</v>
      </c>
      <c r="D1" s="3721"/>
      <c r="E1" s="3721"/>
      <c r="F1" s="3721"/>
      <c r="G1" s="3721"/>
      <c r="H1" s="3721"/>
      <c r="I1" s="3721"/>
      <c r="J1" s="3721"/>
      <c r="K1" s="3721"/>
      <c r="L1" s="3721"/>
      <c r="M1" s="3721"/>
      <c r="N1" s="3721"/>
      <c r="O1" s="3721"/>
      <c r="P1" s="3721"/>
      <c r="Q1" s="3721"/>
      <c r="R1" s="3721"/>
      <c r="S1" s="3722"/>
      <c r="T1" s="1828" t="s">
        <v>1662</v>
      </c>
      <c r="U1" s="1654"/>
      <c r="V1" s="1654"/>
      <c r="W1" s="1654"/>
      <c r="X1" s="1654"/>
      <c r="Y1" s="1654"/>
      <c r="Z1" s="1654"/>
      <c r="AA1" s="1654"/>
      <c r="AB1" s="1654"/>
      <c r="AC1" s="1654"/>
      <c r="AD1" s="1654"/>
      <c r="AE1" s="1654"/>
      <c r="AF1" s="1654"/>
      <c r="AG1" s="1654"/>
      <c r="AH1" s="1654"/>
      <c r="AI1" s="1654"/>
      <c r="AJ1" s="1654"/>
      <c r="AK1" s="1654"/>
      <c r="AL1" s="1654"/>
      <c r="AM1" s="1654"/>
      <c r="AN1" s="1654"/>
      <c r="AO1" s="1654"/>
      <c r="AP1" s="1654"/>
      <c r="AQ1" s="1654"/>
      <c r="AR1" s="1654"/>
      <c r="AS1" s="1654"/>
    </row>
    <row r="2" spans="1:45" s="1628" customFormat="1">
      <c r="A2" s="1829"/>
      <c r="B2" s="2418" t="s">
        <v>1663</v>
      </c>
      <c r="C2" s="24" t="str">
        <f t="shared" ref="C2:L2" si="0">C3&amp;"(含)"&amp;"-"&amp;D3</f>
        <v>(含)-</v>
      </c>
      <c r="D2" s="867" t="str">
        <f t="shared" si="0"/>
        <v>(含)-</v>
      </c>
      <c r="E2" s="867" t="str">
        <f t="shared" si="0"/>
        <v>(含)-</v>
      </c>
      <c r="F2" s="867" t="str">
        <f t="shared" si="0"/>
        <v>(含)-</v>
      </c>
      <c r="G2" s="867" t="str">
        <f t="shared" si="0"/>
        <v>(含)-</v>
      </c>
      <c r="H2" s="867" t="str">
        <f t="shared" si="0"/>
        <v>(含)-</v>
      </c>
      <c r="I2" s="867" t="str">
        <f t="shared" si="0"/>
        <v>(含)-</v>
      </c>
      <c r="J2" s="867" t="str">
        <f t="shared" si="0"/>
        <v>(含)-</v>
      </c>
      <c r="K2" s="867" t="str">
        <f t="shared" si="0"/>
        <v>(含)-</v>
      </c>
      <c r="L2" s="867" t="str">
        <f t="shared" si="0"/>
        <v>(含)-</v>
      </c>
      <c r="M2" s="867" t="str">
        <f t="shared" ref="M2:R2" si="1">M3&amp;"(含)"&amp;"-"&amp;N3</f>
        <v>(含)-</v>
      </c>
      <c r="N2" s="867" t="str">
        <f t="shared" si="1"/>
        <v>(含)-</v>
      </c>
      <c r="O2" s="867" t="str">
        <f t="shared" si="1"/>
        <v>(含)-</v>
      </c>
      <c r="P2" s="867" t="str">
        <f t="shared" si="1"/>
        <v>(含)-</v>
      </c>
      <c r="Q2" s="867" t="str">
        <f t="shared" si="1"/>
        <v>(含)-</v>
      </c>
      <c r="R2" s="867" t="str">
        <f t="shared" si="1"/>
        <v>(含)-</v>
      </c>
      <c r="S2" s="1830" t="str">
        <f>S3&amp;"(含)"&amp;"-"</f>
        <v>(含)-</v>
      </c>
      <c r="T2" s="868"/>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row>
    <row r="3" spans="1:45" s="1629" customFormat="1">
      <c r="A3" s="1832"/>
      <c r="B3" s="869"/>
      <c r="C3" s="870"/>
      <c r="D3" s="10"/>
      <c r="E3" s="10"/>
      <c r="F3" s="10"/>
      <c r="G3" s="10"/>
      <c r="H3" s="10"/>
      <c r="I3" s="10"/>
      <c r="J3" s="871"/>
      <c r="K3" s="871"/>
      <c r="L3" s="872"/>
      <c r="M3" s="1833"/>
      <c r="N3" s="1834"/>
      <c r="O3" s="10"/>
      <c r="P3" s="10"/>
      <c r="Q3" s="10"/>
      <c r="R3" s="10"/>
      <c r="S3" s="1835"/>
      <c r="T3" s="873"/>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1836"/>
    </row>
    <row r="4" spans="1:45" s="1629" customFormat="1" ht="13.5" thickBot="1">
      <c r="A4" s="1837"/>
      <c r="B4" s="1838"/>
      <c r="C4" s="1839"/>
      <c r="D4" s="1840"/>
      <c r="E4" s="1840"/>
      <c r="F4" s="1840"/>
      <c r="G4" s="1840"/>
      <c r="H4" s="1840"/>
      <c r="I4" s="1840"/>
      <c r="J4" s="1840"/>
      <c r="K4" s="1840"/>
      <c r="L4" s="1840"/>
      <c r="M4" s="1841"/>
      <c r="N4" s="1842"/>
      <c r="O4" s="1840"/>
      <c r="P4" s="1840"/>
      <c r="Q4" s="1840"/>
      <c r="R4" s="1840"/>
      <c r="S4" s="1843"/>
      <c r="T4" s="1844"/>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row>
    <row r="5" spans="1:45" s="53" customFormat="1">
      <c r="A5" s="1845"/>
      <c r="B5" s="2345" t="s">
        <v>2186</v>
      </c>
      <c r="C5" s="1846"/>
      <c r="D5" s="1847"/>
      <c r="E5" s="1847"/>
      <c r="F5" s="1847"/>
      <c r="G5" s="1847"/>
      <c r="H5" s="1847"/>
      <c r="I5" s="1847"/>
      <c r="J5" s="1847"/>
      <c r="K5" s="1847"/>
      <c r="L5" s="1848"/>
      <c r="M5" s="1849"/>
      <c r="N5" s="1849"/>
      <c r="O5" s="1847"/>
      <c r="P5" s="1847"/>
      <c r="Q5" s="1847"/>
      <c r="R5" s="1847"/>
      <c r="S5" s="1850"/>
      <c r="T5" s="1851"/>
      <c r="U5" s="1852"/>
      <c r="V5" s="1852"/>
      <c r="W5" s="1852"/>
      <c r="X5" s="1852"/>
      <c r="Y5" s="1852"/>
      <c r="Z5" s="1852"/>
      <c r="AA5" s="1852"/>
      <c r="AB5" s="1852"/>
      <c r="AC5" s="1852"/>
      <c r="AD5" s="1852"/>
      <c r="AE5" s="1852"/>
      <c r="AF5" s="1852"/>
      <c r="AG5" s="1852"/>
      <c r="AH5" s="1852"/>
      <c r="AI5" s="1852"/>
      <c r="AJ5" s="1852"/>
      <c r="AK5" s="1852"/>
      <c r="AL5" s="1852"/>
      <c r="AM5" s="1852"/>
      <c r="AN5" s="1852"/>
      <c r="AO5" s="1852"/>
      <c r="AP5" s="1852"/>
      <c r="AQ5" s="1852"/>
      <c r="AR5" s="1852"/>
      <c r="AS5" s="1852"/>
    </row>
    <row r="6" spans="1:45" s="53" customFormat="1" ht="13.5" thickBot="1">
      <c r="A6" s="1845"/>
      <c r="B6" s="1622"/>
      <c r="C6" s="1626">
        <v>100</v>
      </c>
      <c r="D6" s="1627">
        <f>C6-$T5</f>
        <v>100</v>
      </c>
      <c r="E6" s="1627">
        <f t="shared" ref="E6:S6" si="2">D6-$T5</f>
        <v>100</v>
      </c>
      <c r="F6" s="1627">
        <f t="shared" si="2"/>
        <v>100</v>
      </c>
      <c r="G6" s="1627">
        <f t="shared" si="2"/>
        <v>100</v>
      </c>
      <c r="H6" s="1627">
        <f t="shared" si="2"/>
        <v>100</v>
      </c>
      <c r="I6" s="1627">
        <f t="shared" si="2"/>
        <v>100</v>
      </c>
      <c r="J6" s="1627">
        <f t="shared" si="2"/>
        <v>100</v>
      </c>
      <c r="K6" s="1627">
        <f t="shared" si="2"/>
        <v>100</v>
      </c>
      <c r="L6" s="1627">
        <f t="shared" si="2"/>
        <v>100</v>
      </c>
      <c r="M6" s="1627">
        <f t="shared" si="2"/>
        <v>100</v>
      </c>
      <c r="N6" s="1627">
        <f t="shared" si="2"/>
        <v>100</v>
      </c>
      <c r="O6" s="1627">
        <f t="shared" si="2"/>
        <v>100</v>
      </c>
      <c r="P6" s="1627">
        <f t="shared" si="2"/>
        <v>100</v>
      </c>
      <c r="Q6" s="1627">
        <f t="shared" si="2"/>
        <v>100</v>
      </c>
      <c r="R6" s="1627">
        <f t="shared" si="2"/>
        <v>100</v>
      </c>
      <c r="S6" s="1627">
        <f t="shared" si="2"/>
        <v>100</v>
      </c>
      <c r="T6" s="1625"/>
      <c r="U6" s="1852"/>
      <c r="V6" s="1852"/>
      <c r="W6" s="1852"/>
      <c r="X6" s="1852"/>
      <c r="Y6" s="1852"/>
      <c r="Z6" s="1852"/>
      <c r="AA6" s="1852"/>
      <c r="AB6" s="1852"/>
      <c r="AC6" s="1852"/>
      <c r="AD6" s="1852"/>
      <c r="AE6" s="1852"/>
      <c r="AF6" s="1852"/>
      <c r="AG6" s="1852"/>
      <c r="AH6" s="1852"/>
      <c r="AI6" s="1852"/>
      <c r="AJ6" s="1852"/>
      <c r="AK6" s="1852"/>
      <c r="AL6" s="1852"/>
      <c r="AM6" s="1852"/>
      <c r="AN6" s="1852"/>
      <c r="AO6" s="1852"/>
      <c r="AP6" s="1852"/>
      <c r="AQ6" s="1852"/>
      <c r="AR6" s="1852"/>
      <c r="AS6" s="1852"/>
    </row>
    <row r="7" spans="1:45" s="53" customFormat="1">
      <c r="A7" s="1845"/>
      <c r="B7" s="2347" t="s">
        <v>2185</v>
      </c>
      <c r="C7" s="1619"/>
      <c r="D7" s="1620"/>
      <c r="E7" s="1620"/>
      <c r="F7" s="1620"/>
      <c r="G7" s="1620"/>
      <c r="H7" s="1620"/>
      <c r="I7" s="1620"/>
      <c r="J7" s="1620"/>
      <c r="K7" s="1620"/>
      <c r="L7" s="1620"/>
      <c r="M7" s="1853"/>
      <c r="N7" s="1854"/>
      <c r="O7" s="1855"/>
      <c r="P7" s="1855"/>
      <c r="Q7" s="1856"/>
      <c r="R7" s="1857"/>
      <c r="S7" s="1858"/>
      <c r="T7" s="874"/>
      <c r="U7" s="1852"/>
      <c r="V7" s="1852"/>
      <c r="W7" s="1852"/>
      <c r="X7" s="1852"/>
      <c r="Y7" s="1852"/>
      <c r="Z7" s="1852"/>
      <c r="AA7" s="1852"/>
      <c r="AB7" s="1852"/>
      <c r="AC7" s="1852"/>
      <c r="AD7" s="1852"/>
      <c r="AE7" s="1852"/>
      <c r="AF7" s="1852"/>
      <c r="AG7" s="1852"/>
      <c r="AH7" s="1852"/>
      <c r="AI7" s="1852"/>
      <c r="AJ7" s="1852"/>
      <c r="AK7" s="1852"/>
      <c r="AL7" s="1852"/>
      <c r="AM7" s="1852"/>
      <c r="AN7" s="1852"/>
      <c r="AO7" s="1852"/>
      <c r="AP7" s="1852"/>
      <c r="AQ7" s="1852"/>
      <c r="AR7" s="1852"/>
      <c r="AS7" s="1852"/>
    </row>
    <row r="8" spans="1:45" s="53" customFormat="1" ht="13.5" thickBot="1">
      <c r="A8" s="1845"/>
      <c r="B8" s="1622"/>
      <c r="C8" s="1626">
        <v>100</v>
      </c>
      <c r="D8" s="1627">
        <f>C8-$T7</f>
        <v>100</v>
      </c>
      <c r="E8" s="1627">
        <f t="shared" ref="E8:S8" si="3">D8-$T7</f>
        <v>100</v>
      </c>
      <c r="F8" s="1627">
        <f t="shared" si="3"/>
        <v>100</v>
      </c>
      <c r="G8" s="1627">
        <f t="shared" si="3"/>
        <v>100</v>
      </c>
      <c r="H8" s="1627">
        <f t="shared" si="3"/>
        <v>100</v>
      </c>
      <c r="I8" s="1627">
        <f t="shared" si="3"/>
        <v>100</v>
      </c>
      <c r="J8" s="1627">
        <f t="shared" si="3"/>
        <v>100</v>
      </c>
      <c r="K8" s="1627">
        <f t="shared" si="3"/>
        <v>100</v>
      </c>
      <c r="L8" s="1627">
        <f t="shared" si="3"/>
        <v>100</v>
      </c>
      <c r="M8" s="1627">
        <f t="shared" si="3"/>
        <v>100</v>
      </c>
      <c r="N8" s="1627">
        <f t="shared" si="3"/>
        <v>100</v>
      </c>
      <c r="O8" s="1627">
        <f t="shared" si="3"/>
        <v>100</v>
      </c>
      <c r="P8" s="1627">
        <f t="shared" si="3"/>
        <v>100</v>
      </c>
      <c r="Q8" s="1627">
        <f t="shared" si="3"/>
        <v>100</v>
      </c>
      <c r="R8" s="1627">
        <f t="shared" si="3"/>
        <v>100</v>
      </c>
      <c r="S8" s="1627">
        <f t="shared" si="3"/>
        <v>100</v>
      </c>
      <c r="T8" s="1625"/>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row>
    <row r="9" spans="1:45" s="53" customFormat="1">
      <c r="A9" s="1845"/>
      <c r="B9" s="2347" t="s">
        <v>2184</v>
      </c>
      <c r="C9" s="1619"/>
      <c r="D9" s="1620"/>
      <c r="E9" s="1620"/>
      <c r="F9" s="1620"/>
      <c r="G9" s="1620"/>
      <c r="H9" s="1620"/>
      <c r="I9" s="1620"/>
      <c r="J9" s="1620"/>
      <c r="K9" s="1620"/>
      <c r="L9" s="1621"/>
      <c r="M9" s="1853"/>
      <c r="N9" s="1854"/>
      <c r="O9" s="1855"/>
      <c r="P9" s="1855"/>
      <c r="Q9" s="1856"/>
      <c r="R9" s="1857"/>
      <c r="S9" s="1858"/>
      <c r="T9" s="874"/>
      <c r="U9" s="1852"/>
      <c r="V9" s="1852"/>
      <c r="W9" s="1852"/>
      <c r="X9" s="1852"/>
      <c r="Y9" s="1852"/>
      <c r="Z9" s="1852"/>
      <c r="AA9" s="1852"/>
      <c r="AB9" s="1852"/>
      <c r="AC9" s="1852"/>
      <c r="AD9" s="1852"/>
      <c r="AE9" s="1852"/>
      <c r="AF9" s="1852"/>
      <c r="AG9" s="1852"/>
      <c r="AH9" s="1852"/>
      <c r="AI9" s="1852"/>
      <c r="AJ9" s="1852"/>
      <c r="AK9" s="1852"/>
      <c r="AL9" s="1852"/>
      <c r="AM9" s="1852"/>
      <c r="AN9" s="1852"/>
      <c r="AO9" s="1852"/>
      <c r="AP9" s="1852"/>
      <c r="AQ9" s="1852"/>
      <c r="AR9" s="1852"/>
      <c r="AS9" s="1852"/>
    </row>
    <row r="10" spans="1:45" s="53" customFormat="1" ht="13.5" thickBot="1">
      <c r="A10" s="1845"/>
      <c r="B10" s="2346"/>
      <c r="C10" s="1859">
        <v>100</v>
      </c>
      <c r="D10" s="1860">
        <f>C10-$T9</f>
        <v>100</v>
      </c>
      <c r="E10" s="1860">
        <f t="shared" ref="E10:S10" si="4">D10-$T9</f>
        <v>100</v>
      </c>
      <c r="F10" s="1860">
        <f t="shared" si="4"/>
        <v>100</v>
      </c>
      <c r="G10" s="1860">
        <f t="shared" si="4"/>
        <v>100</v>
      </c>
      <c r="H10" s="1860">
        <f t="shared" si="4"/>
        <v>100</v>
      </c>
      <c r="I10" s="1860">
        <f t="shared" si="4"/>
        <v>100</v>
      </c>
      <c r="J10" s="1860">
        <f t="shared" si="4"/>
        <v>100</v>
      </c>
      <c r="K10" s="1860">
        <f t="shared" si="4"/>
        <v>100</v>
      </c>
      <c r="L10" s="1860">
        <f t="shared" si="4"/>
        <v>100</v>
      </c>
      <c r="M10" s="1860">
        <f t="shared" si="4"/>
        <v>100</v>
      </c>
      <c r="N10" s="1860">
        <f t="shared" si="4"/>
        <v>100</v>
      </c>
      <c r="O10" s="1860">
        <f t="shared" si="4"/>
        <v>100</v>
      </c>
      <c r="P10" s="1860">
        <f t="shared" si="4"/>
        <v>100</v>
      </c>
      <c r="Q10" s="1860">
        <f t="shared" si="4"/>
        <v>100</v>
      </c>
      <c r="R10" s="1860">
        <f t="shared" si="4"/>
        <v>100</v>
      </c>
      <c r="S10" s="1860">
        <f t="shared" si="4"/>
        <v>100</v>
      </c>
      <c r="T10" s="1844"/>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c r="AP10" s="1852"/>
      <c r="AQ10" s="1852"/>
      <c r="AR10" s="1852"/>
      <c r="AS10" s="1852"/>
    </row>
    <row r="11" spans="1:45" s="53" customFormat="1">
      <c r="A11" s="1845"/>
      <c r="B11" s="2345" t="s">
        <v>2197</v>
      </c>
      <c r="C11" s="1846"/>
      <c r="D11" s="1847"/>
      <c r="E11" s="1847"/>
      <c r="F11" s="1847"/>
      <c r="G11" s="1847"/>
      <c r="H11" s="1847"/>
      <c r="I11" s="1847"/>
      <c r="J11" s="1847"/>
      <c r="K11" s="1847"/>
      <c r="L11" s="1847"/>
      <c r="M11" s="1849"/>
      <c r="N11" s="1861"/>
      <c r="O11" s="1862"/>
      <c r="P11" s="1862"/>
      <c r="Q11" s="1863"/>
      <c r="R11" s="1864"/>
      <c r="S11" s="1865"/>
      <c r="T11" s="1851"/>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c r="AP11" s="1852"/>
      <c r="AQ11" s="1852"/>
      <c r="AR11" s="1852"/>
      <c r="AS11" s="1852"/>
    </row>
    <row r="12" spans="1:45" s="53" customFormat="1" ht="13.5" thickBot="1">
      <c r="A12" s="1845"/>
      <c r="B12" s="1622"/>
      <c r="C12" s="1626">
        <v>100</v>
      </c>
      <c r="D12" s="1627">
        <f>C12-$T11</f>
        <v>100</v>
      </c>
      <c r="E12" s="1627">
        <f t="shared" ref="E12:S12" si="5">D12-$T11</f>
        <v>100</v>
      </c>
      <c r="F12" s="1627">
        <f t="shared" si="5"/>
        <v>100</v>
      </c>
      <c r="G12" s="1627">
        <f t="shared" si="5"/>
        <v>100</v>
      </c>
      <c r="H12" s="1627">
        <f t="shared" si="5"/>
        <v>100</v>
      </c>
      <c r="I12" s="1627">
        <f t="shared" si="5"/>
        <v>100</v>
      </c>
      <c r="J12" s="1627">
        <f t="shared" si="5"/>
        <v>100</v>
      </c>
      <c r="K12" s="1627">
        <f t="shared" si="5"/>
        <v>100</v>
      </c>
      <c r="L12" s="1627">
        <f t="shared" si="5"/>
        <v>100</v>
      </c>
      <c r="M12" s="1627">
        <f t="shared" si="5"/>
        <v>100</v>
      </c>
      <c r="N12" s="1627">
        <f t="shared" si="5"/>
        <v>100</v>
      </c>
      <c r="O12" s="1627">
        <f t="shared" si="5"/>
        <v>100</v>
      </c>
      <c r="P12" s="1627">
        <f t="shared" si="5"/>
        <v>100</v>
      </c>
      <c r="Q12" s="1627">
        <f t="shared" si="5"/>
        <v>100</v>
      </c>
      <c r="R12" s="1627">
        <f t="shared" si="5"/>
        <v>100</v>
      </c>
      <c r="S12" s="1627">
        <f t="shared" si="5"/>
        <v>100</v>
      </c>
      <c r="T12" s="1625"/>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row>
    <row r="13" spans="1:45" s="53" customFormat="1">
      <c r="A13" s="1845"/>
      <c r="B13" s="2345" t="s">
        <v>2183</v>
      </c>
      <c r="C13" s="1846"/>
      <c r="D13" s="1847"/>
      <c r="E13" s="1847"/>
      <c r="F13" s="1847"/>
      <c r="G13" s="1847"/>
      <c r="H13" s="1847"/>
      <c r="I13" s="1847"/>
      <c r="J13" s="1847"/>
      <c r="K13" s="1847"/>
      <c r="L13" s="1847"/>
      <c r="M13" s="1849"/>
      <c r="N13" s="1861"/>
      <c r="O13" s="1862"/>
      <c r="P13" s="1862"/>
      <c r="Q13" s="1863"/>
      <c r="R13" s="1864"/>
      <c r="S13" s="1865"/>
      <c r="T13" s="1866"/>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c r="AP13" s="1852"/>
      <c r="AQ13" s="1852"/>
      <c r="AR13" s="1852"/>
      <c r="AS13" s="1852"/>
    </row>
    <row r="14" spans="1:45" s="53" customFormat="1" ht="13.5" thickBot="1">
      <c r="A14" s="1845"/>
      <c r="B14" s="1622"/>
      <c r="C14" s="1623"/>
      <c r="D14" s="1624"/>
      <c r="E14" s="1624"/>
      <c r="F14" s="1624"/>
      <c r="G14" s="1624"/>
      <c r="H14" s="1624"/>
      <c r="I14" s="1624"/>
      <c r="J14" s="1624"/>
      <c r="K14" s="1624"/>
      <c r="L14" s="1624"/>
      <c r="M14" s="1867"/>
      <c r="N14" s="1867"/>
      <c r="O14" s="1624"/>
      <c r="P14" s="1624"/>
      <c r="Q14" s="1624"/>
      <c r="R14" s="1624"/>
      <c r="S14" s="1868"/>
      <c r="T14" s="1625"/>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c r="AP14" s="1852"/>
      <c r="AQ14" s="1852"/>
      <c r="AR14" s="1852"/>
      <c r="AS14" s="1852"/>
    </row>
    <row r="15" spans="1:45" s="53" customFormat="1">
      <c r="A15" s="1845"/>
      <c r="B15" s="2345" t="s">
        <v>2182</v>
      </c>
      <c r="C15" s="1846"/>
      <c r="D15" s="1847"/>
      <c r="E15" s="1847"/>
      <c r="F15" s="1847"/>
      <c r="G15" s="1847"/>
      <c r="H15" s="1847"/>
      <c r="I15" s="1847"/>
      <c r="J15" s="1847"/>
      <c r="K15" s="1847"/>
      <c r="L15" s="1847"/>
      <c r="M15" s="1849"/>
      <c r="N15" s="1861"/>
      <c r="O15" s="1862"/>
      <c r="P15" s="1862"/>
      <c r="Q15" s="1863"/>
      <c r="R15" s="1864"/>
      <c r="S15" s="1865"/>
      <c r="T15" s="1866"/>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c r="AP15" s="1852"/>
      <c r="AQ15" s="1852"/>
      <c r="AR15" s="1852"/>
      <c r="AS15" s="1852"/>
    </row>
    <row r="16" spans="1:45" s="53" customFormat="1" ht="13.5" thickBot="1">
      <c r="A16" s="1845"/>
      <c r="B16" s="1838"/>
      <c r="C16" s="1839"/>
      <c r="D16" s="1840"/>
      <c r="E16" s="1840"/>
      <c r="F16" s="1840"/>
      <c r="G16" s="1840"/>
      <c r="H16" s="1840"/>
      <c r="I16" s="1840"/>
      <c r="J16" s="1840"/>
      <c r="K16" s="1840"/>
      <c r="L16" s="1840"/>
      <c r="M16" s="1841"/>
      <c r="N16" s="1841"/>
      <c r="O16" s="1840"/>
      <c r="P16" s="1840"/>
      <c r="Q16" s="1840"/>
      <c r="R16" s="1840"/>
      <c r="S16" s="1843"/>
      <c r="T16" s="1844"/>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c r="AP16" s="1852"/>
      <c r="AQ16" s="1852"/>
      <c r="AR16" s="1852"/>
      <c r="AS16" s="1852"/>
    </row>
    <row r="17" spans="1:45" s="1628" customFormat="1">
      <c r="A17" s="1869" t="s">
        <v>1664</v>
      </c>
      <c r="B17" s="1870" t="s">
        <v>1665</v>
      </c>
      <c r="C17" s="1871"/>
      <c r="D17" s="1872"/>
      <c r="E17" s="1872"/>
      <c r="F17" s="1872"/>
      <c r="G17" s="1872"/>
      <c r="H17" s="1872"/>
      <c r="I17" s="1872"/>
      <c r="J17" s="1872"/>
      <c r="K17" s="1872"/>
      <c r="L17" s="1873"/>
      <c r="M17" s="1874"/>
      <c r="N17" s="1875"/>
      <c r="O17" s="1876"/>
      <c r="P17" s="1876"/>
      <c r="Q17" s="1877"/>
      <c r="R17" s="1878"/>
      <c r="S17" s="1879"/>
      <c r="T17" s="1879"/>
      <c r="U17" s="1879"/>
      <c r="V17" s="1879"/>
      <c r="W17" s="1879"/>
      <c r="X17" s="1879"/>
      <c r="Y17" s="1879"/>
      <c r="Z17" s="1879"/>
      <c r="AA17" s="1879"/>
      <c r="AB17" s="1879"/>
      <c r="AC17" s="1879"/>
      <c r="AD17" s="1879"/>
      <c r="AE17" s="1879"/>
      <c r="AF17" s="1879"/>
      <c r="AG17" s="1879"/>
      <c r="AH17" s="1879"/>
      <c r="AI17" s="1879"/>
      <c r="AJ17" s="1879"/>
      <c r="AK17" s="1879"/>
      <c r="AL17" s="1879"/>
      <c r="AM17" s="1879"/>
      <c r="AN17" s="1879"/>
      <c r="AO17" s="1879"/>
      <c r="AP17" s="1879"/>
      <c r="AQ17" s="1879"/>
      <c r="AR17" s="1831"/>
      <c r="AS17" s="1831"/>
    </row>
    <row r="18" spans="1:45" s="1628" customFormat="1" ht="13.5" thickBot="1">
      <c r="A18" s="1880"/>
      <c r="B18" s="1881"/>
      <c r="C18" s="1882"/>
      <c r="D18" s="1883"/>
      <c r="E18" s="1883"/>
      <c r="F18" s="1883"/>
      <c r="G18" s="1883"/>
      <c r="H18" s="1883"/>
      <c r="I18" s="1883"/>
      <c r="J18" s="1883"/>
      <c r="K18" s="1883"/>
      <c r="L18" s="1883"/>
      <c r="M18" s="1884"/>
      <c r="N18" s="1884"/>
      <c r="O18" s="1883"/>
      <c r="P18" s="1883"/>
      <c r="Q18" s="1883"/>
      <c r="R18" s="1883"/>
      <c r="S18" s="1885"/>
      <c r="T18" s="1885"/>
      <c r="U18" s="1885"/>
      <c r="V18" s="1885"/>
      <c r="W18" s="1885"/>
      <c r="X18" s="1885"/>
      <c r="Y18" s="1885"/>
      <c r="Z18" s="1885"/>
      <c r="AA18" s="1885"/>
      <c r="AB18" s="1885"/>
      <c r="AC18" s="1885"/>
      <c r="AD18" s="1885"/>
      <c r="AE18" s="1885"/>
      <c r="AF18" s="1885"/>
      <c r="AG18" s="1885"/>
      <c r="AH18" s="1885"/>
      <c r="AI18" s="1885"/>
      <c r="AJ18" s="1885"/>
      <c r="AK18" s="1885"/>
      <c r="AL18" s="1885"/>
      <c r="AM18" s="1885"/>
      <c r="AN18" s="1885"/>
      <c r="AO18" s="1885"/>
      <c r="AP18" s="1885"/>
      <c r="AQ18" s="1885"/>
      <c r="AR18" s="1831"/>
      <c r="AS18" s="1831"/>
    </row>
    <row r="19" spans="1:45">
      <c r="A19" s="287"/>
      <c r="B19" s="866"/>
      <c r="C19" s="1638"/>
      <c r="D19" s="1638"/>
      <c r="E19" s="1638"/>
      <c r="F19" s="1638"/>
      <c r="G19" s="1638"/>
      <c r="H19" s="1638"/>
      <c r="I19" s="1638"/>
      <c r="J19" s="1638"/>
      <c r="K19" s="1638"/>
      <c r="L19" s="1638"/>
      <c r="M19" s="1638"/>
      <c r="N19" s="1638"/>
      <c r="O19" s="1638"/>
      <c r="P19" s="1638"/>
      <c r="Q19" s="1638"/>
      <c r="R19" s="1638"/>
      <c r="S19" s="1636"/>
    </row>
    <row r="20" spans="1:45" ht="15.75">
      <c r="A20" s="875" t="s">
        <v>768</v>
      </c>
      <c r="B20" s="710">
        <f>S22</f>
        <v>0</v>
      </c>
      <c r="C20" s="1638"/>
      <c r="D20" s="1638"/>
      <c r="E20" s="1638"/>
      <c r="F20" s="1638"/>
      <c r="G20" s="1638"/>
      <c r="H20" s="1638"/>
      <c r="I20" s="1638"/>
      <c r="J20" s="1638"/>
      <c r="K20" s="1638"/>
      <c r="L20" s="1638"/>
      <c r="M20" s="1638"/>
      <c r="N20" s="1638"/>
      <c r="O20" s="1638"/>
      <c r="P20" s="1638"/>
      <c r="Q20" s="1638"/>
      <c r="R20" s="1638"/>
      <c r="S20" s="1636"/>
    </row>
    <row r="21" spans="1:45" ht="15.75">
      <c r="A21" s="875" t="str">
        <f>IF(B23="土地面积","地面单价","楼面单价")</f>
        <v>楼面单价</v>
      </c>
      <c r="B21" s="710" t="e">
        <f>R22</f>
        <v>#DIV/0!</v>
      </c>
      <c r="C21" s="1638"/>
      <c r="D21" s="1638"/>
      <c r="E21" s="1638"/>
      <c r="F21" s="1638"/>
      <c r="G21" s="1638"/>
      <c r="H21" s="1638"/>
      <c r="I21" s="1638"/>
      <c r="J21" s="1638"/>
      <c r="K21" s="1638"/>
      <c r="L21" s="1638"/>
      <c r="M21" s="1638"/>
      <c r="N21" s="1638"/>
      <c r="O21" s="1638"/>
      <c r="P21" s="1638"/>
      <c r="Q21" s="1638"/>
      <c r="R21" s="1638"/>
      <c r="S21" s="1636"/>
    </row>
    <row r="22" spans="1:45">
      <c r="A22" s="734" t="s">
        <v>769</v>
      </c>
      <c r="B22" s="49">
        <f>SUM(B24:B10000)</f>
        <v>0</v>
      </c>
      <c r="C22" s="3717" t="s">
        <v>14</v>
      </c>
      <c r="D22" s="3718"/>
      <c r="E22" s="3718"/>
      <c r="F22" s="3718"/>
      <c r="G22" s="3718"/>
      <c r="H22" s="3718"/>
      <c r="I22" s="3718"/>
      <c r="J22" s="3718"/>
      <c r="K22" s="3718"/>
      <c r="L22" s="3718"/>
      <c r="M22" s="3718"/>
      <c r="N22" s="3718"/>
      <c r="O22" s="3718"/>
      <c r="P22" s="3718"/>
      <c r="Q22" s="3719"/>
      <c r="R22" s="49" t="e">
        <f>ROUND(S22*10000/B22,0)</f>
        <v>#DIV/0!</v>
      </c>
      <c r="S22" s="49">
        <f>SUM(S24:S10000)</f>
        <v>0</v>
      </c>
    </row>
    <row r="23" spans="1:45" s="1337" customFormat="1" ht="24">
      <c r="A23" s="14" t="s">
        <v>770</v>
      </c>
      <c r="B23" s="2419" t="s">
        <v>2205</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8" customFormat="1">
      <c r="A24" s="876" t="s">
        <v>774</v>
      </c>
      <c r="B24" s="876"/>
      <c r="C24" s="2776">
        <v>1</v>
      </c>
      <c r="D24" s="2777"/>
      <c r="E24" s="2776">
        <v>1</v>
      </c>
      <c r="F24" s="2777"/>
      <c r="G24" s="2776">
        <v>1</v>
      </c>
      <c r="H24" s="2777"/>
      <c r="I24" s="2776">
        <v>1</v>
      </c>
      <c r="J24" s="2777"/>
      <c r="K24" s="2776">
        <v>1</v>
      </c>
      <c r="L24" s="2777"/>
      <c r="M24" s="2776">
        <v>1</v>
      </c>
      <c r="N24" s="2777"/>
      <c r="O24" s="2776">
        <v>1</v>
      </c>
      <c r="P24" s="2777"/>
      <c r="Q24" s="2776">
        <v>1</v>
      </c>
      <c r="R24" s="876"/>
      <c r="S24" s="877">
        <f t="shared" ref="S24:S54" si="6">ROUND(R24*B24/10000,0)</f>
        <v>0</v>
      </c>
      <c r="T24" s="1630"/>
      <c r="U24" s="1630"/>
      <c r="V24" s="1630"/>
      <c r="W24" s="1630"/>
      <c r="X24" s="1630"/>
      <c r="Y24" s="1630"/>
      <c r="Z24" s="1630"/>
      <c r="AA24" s="1630"/>
      <c r="AB24" s="1630"/>
      <c r="AC24" s="1630"/>
      <c r="AD24" s="1630"/>
      <c r="AE24" s="1630"/>
      <c r="AF24" s="1630"/>
      <c r="AG24" s="1630"/>
      <c r="AH24" s="1630"/>
      <c r="AI24" s="1630"/>
    </row>
    <row r="25" spans="1:45">
      <c r="A25" s="879"/>
      <c r="B25" s="126"/>
      <c r="C25" s="49">
        <f>IF(B25="",1,(LOOKUP(B25,$3:$3,$4:$4)-LOOKUP($B$24,$3:$3,$4:$4)+100)/100)</f>
        <v>1</v>
      </c>
      <c r="D25" s="878"/>
      <c r="E25" s="49">
        <f>(SUMIF($5:$5,D25,$6:$6)-SUMIF($5:$5,$D$24,$6:$6)+100)/100</f>
        <v>1</v>
      </c>
      <c r="F25" s="878"/>
      <c r="G25" s="49">
        <f>(SUMIF($7:$7,F25,$8:$8)-SUMIF($7:$7,$F$24,$8:$8)+100)/100</f>
        <v>1</v>
      </c>
      <c r="H25" s="878"/>
      <c r="I25" s="49">
        <f>(SUMIF($9:$9,H25,$10:$10)-SUMIF($9:$9,$H$24,$10:$10)+100)/100</f>
        <v>1</v>
      </c>
      <c r="J25" s="878"/>
      <c r="K25" s="49">
        <f>(SUMIF($11:$11,J25,$12:$12)-SUMIF($11:$11,$J$24,$12:$12)+100)/100</f>
        <v>1</v>
      </c>
      <c r="L25" s="878"/>
      <c r="M25" s="49">
        <f>(SUMIF($13:$13,L25,$14:$14)-SUMIF($13:$13,$L$24,$14:$14)+100)/100</f>
        <v>1</v>
      </c>
      <c r="N25" s="878"/>
      <c r="O25" s="49">
        <f>(SUMIF($15:$15,N25,$16:$16)-SUMIF($15:$15,$N$24,$16:$16)+100)/100</f>
        <v>1</v>
      </c>
      <c r="P25" s="878"/>
      <c r="Q25" s="49">
        <f>(SUMIF($17:$17,P25,$18:$18)-SUMIF($17:$17,$P$24,$18:$18)+100)/100</f>
        <v>1</v>
      </c>
      <c r="R25" s="49">
        <f>IF(B25="",0,ROUND($R$24*C25*E25*G25*I25*K25*M25*O25*Q25,0))</f>
        <v>0</v>
      </c>
      <c r="S25" s="734">
        <f t="shared" si="6"/>
        <v>0</v>
      </c>
    </row>
    <row r="26" spans="1:45">
      <c r="A26" s="879"/>
      <c r="B26" s="126"/>
      <c r="C26" s="49">
        <f t="shared" ref="C26:C89" si="7">IF(B26="",1,(LOOKUP(B26,$3:$3,$4:$4)-LOOKUP($B$24,$3:$3,$4:$4)+100)/100)</f>
        <v>1</v>
      </c>
      <c r="D26" s="878"/>
      <c r="E26" s="49">
        <f t="shared" ref="E26:E89" si="8">(SUMIF($5:$5,D26,$6:$6)-SUMIF($5:$5,$D$24,$6:$6)+100)/100</f>
        <v>1</v>
      </c>
      <c r="F26" s="878"/>
      <c r="G26" s="49">
        <f t="shared" ref="G26:G89" si="9">(SUMIF($7:$7,F26,$8:$8)-SUMIF($7:$7,$F$24,$8:$8)+100)/100</f>
        <v>1</v>
      </c>
      <c r="H26" s="878"/>
      <c r="I26" s="49">
        <f t="shared" ref="I26:I89" si="10">(SUMIF($9:$9,H26,$10:$10)-SUMIF($9:$9,$H$24,$10:$10)+100)/100</f>
        <v>1</v>
      </c>
      <c r="J26" s="878"/>
      <c r="K26" s="49">
        <f t="shared" ref="K26:K89" si="11">(SUMIF($11:$11,J26,$12:$12)-SUMIF($11:$11,$J$24,$12:$12)+100)/100</f>
        <v>1</v>
      </c>
      <c r="L26" s="878"/>
      <c r="M26" s="49">
        <f t="shared" ref="M26:M89" si="12">(SUMIF($13:$13,L26,$14:$14)-SUMIF($13:$13,$L$24,$14:$14)+100)/100</f>
        <v>1</v>
      </c>
      <c r="N26" s="878"/>
      <c r="O26" s="49">
        <f t="shared" ref="O26:O89" si="13">(SUMIF($15:$15,N26,$16:$16)-SUMIF($15:$15,$N$24,$16:$16)+100)/100</f>
        <v>1</v>
      </c>
      <c r="P26" s="878"/>
      <c r="Q26" s="49">
        <f t="shared" ref="Q26:Q89" si="14">(SUMIF($17:$17,P26,$18:$18)-SUMIF($17:$17,$P$24,$18:$18)+100)/100</f>
        <v>1</v>
      </c>
      <c r="R26" s="49">
        <f t="shared" ref="R26:R89" si="15">IF(B26="",0,ROUND($R$24*C26*E26*G26*I26*K26*M26*O26*Q26,0))</f>
        <v>0</v>
      </c>
      <c r="S26" s="734">
        <f t="shared" si="6"/>
        <v>0</v>
      </c>
    </row>
    <row r="27" spans="1:45">
      <c r="A27" s="879"/>
      <c r="B27" s="126"/>
      <c r="C27" s="49">
        <f t="shared" si="7"/>
        <v>1</v>
      </c>
      <c r="D27" s="878"/>
      <c r="E27" s="49">
        <f t="shared" si="8"/>
        <v>1</v>
      </c>
      <c r="F27" s="878"/>
      <c r="G27" s="49">
        <f t="shared" si="9"/>
        <v>1</v>
      </c>
      <c r="H27" s="878"/>
      <c r="I27" s="49">
        <f t="shared" si="10"/>
        <v>1</v>
      </c>
      <c r="J27" s="878"/>
      <c r="K27" s="49">
        <f t="shared" si="11"/>
        <v>1</v>
      </c>
      <c r="L27" s="878"/>
      <c r="M27" s="49">
        <f t="shared" si="12"/>
        <v>1</v>
      </c>
      <c r="N27" s="878"/>
      <c r="O27" s="49">
        <f t="shared" si="13"/>
        <v>1</v>
      </c>
      <c r="P27" s="878"/>
      <c r="Q27" s="49">
        <f t="shared" si="14"/>
        <v>1</v>
      </c>
      <c r="R27" s="49">
        <f t="shared" si="15"/>
        <v>0</v>
      </c>
      <c r="S27" s="734">
        <f t="shared" si="6"/>
        <v>0</v>
      </c>
    </row>
    <row r="28" spans="1:45">
      <c r="A28" s="879"/>
      <c r="B28" s="126"/>
      <c r="C28" s="49">
        <f t="shared" si="7"/>
        <v>1</v>
      </c>
      <c r="D28" s="878"/>
      <c r="E28" s="49">
        <f t="shared" si="8"/>
        <v>1</v>
      </c>
      <c r="F28" s="878"/>
      <c r="G28" s="49">
        <f t="shared" si="9"/>
        <v>1</v>
      </c>
      <c r="H28" s="878"/>
      <c r="I28" s="49">
        <f t="shared" si="10"/>
        <v>1</v>
      </c>
      <c r="J28" s="878"/>
      <c r="K28" s="49">
        <f t="shared" si="11"/>
        <v>1</v>
      </c>
      <c r="L28" s="878"/>
      <c r="M28" s="49">
        <f t="shared" si="12"/>
        <v>1</v>
      </c>
      <c r="N28" s="878"/>
      <c r="O28" s="49">
        <f t="shared" si="13"/>
        <v>1</v>
      </c>
      <c r="P28" s="878"/>
      <c r="Q28" s="49">
        <f t="shared" si="14"/>
        <v>1</v>
      </c>
      <c r="R28" s="49">
        <f t="shared" si="15"/>
        <v>0</v>
      </c>
      <c r="S28" s="734">
        <f t="shared" si="6"/>
        <v>0</v>
      </c>
    </row>
    <row r="29" spans="1:45">
      <c r="A29" s="879"/>
      <c r="B29" s="126"/>
      <c r="C29" s="49">
        <f t="shared" si="7"/>
        <v>1</v>
      </c>
      <c r="D29" s="878"/>
      <c r="E29" s="49">
        <f t="shared" si="8"/>
        <v>1</v>
      </c>
      <c r="F29" s="878"/>
      <c r="G29" s="49">
        <f t="shared" si="9"/>
        <v>1</v>
      </c>
      <c r="H29" s="878"/>
      <c r="I29" s="49">
        <f t="shared" si="10"/>
        <v>1</v>
      </c>
      <c r="J29" s="878"/>
      <c r="K29" s="49">
        <f t="shared" si="11"/>
        <v>1</v>
      </c>
      <c r="L29" s="878"/>
      <c r="M29" s="49">
        <f t="shared" si="12"/>
        <v>1</v>
      </c>
      <c r="N29" s="878"/>
      <c r="O29" s="49">
        <f t="shared" si="13"/>
        <v>1</v>
      </c>
      <c r="P29" s="878"/>
      <c r="Q29" s="49">
        <f t="shared" si="14"/>
        <v>1</v>
      </c>
      <c r="R29" s="49">
        <f t="shared" si="15"/>
        <v>0</v>
      </c>
      <c r="S29" s="734">
        <f t="shared" si="6"/>
        <v>0</v>
      </c>
    </row>
    <row r="30" spans="1:45">
      <c r="A30" s="879"/>
      <c r="B30" s="126"/>
      <c r="C30" s="49">
        <f t="shared" si="7"/>
        <v>1</v>
      </c>
      <c r="D30" s="878"/>
      <c r="E30" s="49">
        <f t="shared" si="8"/>
        <v>1</v>
      </c>
      <c r="F30" s="878"/>
      <c r="G30" s="49">
        <f t="shared" si="9"/>
        <v>1</v>
      </c>
      <c r="H30" s="878"/>
      <c r="I30" s="49">
        <f t="shared" si="10"/>
        <v>1</v>
      </c>
      <c r="J30" s="878"/>
      <c r="K30" s="49">
        <f t="shared" si="11"/>
        <v>1</v>
      </c>
      <c r="L30" s="878"/>
      <c r="M30" s="49">
        <f t="shared" si="12"/>
        <v>1</v>
      </c>
      <c r="N30" s="878"/>
      <c r="O30" s="49">
        <f t="shared" si="13"/>
        <v>1</v>
      </c>
      <c r="P30" s="878"/>
      <c r="Q30" s="49">
        <f t="shared" si="14"/>
        <v>1</v>
      </c>
      <c r="R30" s="49">
        <f t="shared" si="15"/>
        <v>0</v>
      </c>
      <c r="S30" s="734">
        <f t="shared" si="6"/>
        <v>0</v>
      </c>
    </row>
    <row r="31" spans="1:45">
      <c r="A31" s="879"/>
      <c r="B31" s="126"/>
      <c r="C31" s="49">
        <f t="shared" si="7"/>
        <v>1</v>
      </c>
      <c r="D31" s="878"/>
      <c r="E31" s="49">
        <f t="shared" si="8"/>
        <v>1</v>
      </c>
      <c r="F31" s="878"/>
      <c r="G31" s="49">
        <f t="shared" si="9"/>
        <v>1</v>
      </c>
      <c r="H31" s="878"/>
      <c r="I31" s="49">
        <f t="shared" si="10"/>
        <v>1</v>
      </c>
      <c r="J31" s="878"/>
      <c r="K31" s="49">
        <f t="shared" si="11"/>
        <v>1</v>
      </c>
      <c r="L31" s="878"/>
      <c r="M31" s="49">
        <f t="shared" si="12"/>
        <v>1</v>
      </c>
      <c r="N31" s="878"/>
      <c r="O31" s="49">
        <f t="shared" si="13"/>
        <v>1</v>
      </c>
      <c r="P31" s="878"/>
      <c r="Q31" s="49">
        <f t="shared" si="14"/>
        <v>1</v>
      </c>
      <c r="R31" s="49">
        <f t="shared" si="15"/>
        <v>0</v>
      </c>
      <c r="S31" s="734">
        <f t="shared" si="6"/>
        <v>0</v>
      </c>
    </row>
    <row r="32" spans="1:45">
      <c r="A32" s="879"/>
      <c r="B32" s="126"/>
      <c r="C32" s="49">
        <f t="shared" si="7"/>
        <v>1</v>
      </c>
      <c r="D32" s="878"/>
      <c r="E32" s="49">
        <f t="shared" si="8"/>
        <v>1</v>
      </c>
      <c r="F32" s="878"/>
      <c r="G32" s="49">
        <f t="shared" si="9"/>
        <v>1</v>
      </c>
      <c r="H32" s="878"/>
      <c r="I32" s="49">
        <f t="shared" si="10"/>
        <v>1</v>
      </c>
      <c r="J32" s="878"/>
      <c r="K32" s="49">
        <f t="shared" si="11"/>
        <v>1</v>
      </c>
      <c r="L32" s="878"/>
      <c r="M32" s="49">
        <f t="shared" si="12"/>
        <v>1</v>
      </c>
      <c r="N32" s="878"/>
      <c r="O32" s="49">
        <f t="shared" si="13"/>
        <v>1</v>
      </c>
      <c r="P32" s="878"/>
      <c r="Q32" s="49">
        <f t="shared" si="14"/>
        <v>1</v>
      </c>
      <c r="R32" s="49">
        <f t="shared" si="15"/>
        <v>0</v>
      </c>
      <c r="S32" s="734">
        <f t="shared" si="6"/>
        <v>0</v>
      </c>
    </row>
    <row r="33" spans="1:19">
      <c r="A33" s="879"/>
      <c r="B33" s="126"/>
      <c r="C33" s="49">
        <f t="shared" si="7"/>
        <v>1</v>
      </c>
      <c r="D33" s="878"/>
      <c r="E33" s="49">
        <f t="shared" si="8"/>
        <v>1</v>
      </c>
      <c r="F33" s="878"/>
      <c r="G33" s="49">
        <f t="shared" si="9"/>
        <v>1</v>
      </c>
      <c r="H33" s="878"/>
      <c r="I33" s="49">
        <f t="shared" si="10"/>
        <v>1</v>
      </c>
      <c r="J33" s="878"/>
      <c r="K33" s="49">
        <f t="shared" si="11"/>
        <v>1</v>
      </c>
      <c r="L33" s="878"/>
      <c r="M33" s="49">
        <f t="shared" si="12"/>
        <v>1</v>
      </c>
      <c r="N33" s="878"/>
      <c r="O33" s="49">
        <f t="shared" si="13"/>
        <v>1</v>
      </c>
      <c r="P33" s="878"/>
      <c r="Q33" s="49">
        <f t="shared" si="14"/>
        <v>1</v>
      </c>
      <c r="R33" s="49">
        <f t="shared" si="15"/>
        <v>0</v>
      </c>
      <c r="S33" s="734">
        <f t="shared" si="6"/>
        <v>0</v>
      </c>
    </row>
    <row r="34" spans="1:19">
      <c r="A34" s="879"/>
      <c r="B34" s="126"/>
      <c r="C34" s="49">
        <f t="shared" si="7"/>
        <v>1</v>
      </c>
      <c r="D34" s="878"/>
      <c r="E34" s="49">
        <f t="shared" si="8"/>
        <v>1</v>
      </c>
      <c r="F34" s="878"/>
      <c r="G34" s="49">
        <f t="shared" si="9"/>
        <v>1</v>
      </c>
      <c r="H34" s="878"/>
      <c r="I34" s="49">
        <f t="shared" si="10"/>
        <v>1</v>
      </c>
      <c r="J34" s="878"/>
      <c r="K34" s="49">
        <f t="shared" si="11"/>
        <v>1</v>
      </c>
      <c r="L34" s="878"/>
      <c r="M34" s="49">
        <f t="shared" si="12"/>
        <v>1</v>
      </c>
      <c r="N34" s="878"/>
      <c r="O34" s="49">
        <f t="shared" si="13"/>
        <v>1</v>
      </c>
      <c r="P34" s="878"/>
      <c r="Q34" s="49">
        <f t="shared" si="14"/>
        <v>1</v>
      </c>
      <c r="R34" s="49">
        <f t="shared" si="15"/>
        <v>0</v>
      </c>
      <c r="S34" s="734">
        <f t="shared" si="6"/>
        <v>0</v>
      </c>
    </row>
    <row r="35" spans="1:19">
      <c r="A35" s="879"/>
      <c r="B35" s="126"/>
      <c r="C35" s="49">
        <f t="shared" si="7"/>
        <v>1</v>
      </c>
      <c r="D35" s="878"/>
      <c r="E35" s="49">
        <f t="shared" si="8"/>
        <v>1</v>
      </c>
      <c r="F35" s="878"/>
      <c r="G35" s="49">
        <f t="shared" si="9"/>
        <v>1</v>
      </c>
      <c r="H35" s="878"/>
      <c r="I35" s="49">
        <f t="shared" si="10"/>
        <v>1</v>
      </c>
      <c r="J35" s="878"/>
      <c r="K35" s="49">
        <f t="shared" si="11"/>
        <v>1</v>
      </c>
      <c r="L35" s="878"/>
      <c r="M35" s="49">
        <f t="shared" si="12"/>
        <v>1</v>
      </c>
      <c r="N35" s="878"/>
      <c r="O35" s="49">
        <f t="shared" si="13"/>
        <v>1</v>
      </c>
      <c r="P35" s="878"/>
      <c r="Q35" s="49">
        <f t="shared" si="14"/>
        <v>1</v>
      </c>
      <c r="R35" s="49">
        <f t="shared" si="15"/>
        <v>0</v>
      </c>
      <c r="S35" s="734">
        <f t="shared" si="6"/>
        <v>0</v>
      </c>
    </row>
    <row r="36" spans="1:19">
      <c r="A36" s="879"/>
      <c r="B36" s="126"/>
      <c r="C36" s="49">
        <f t="shared" si="7"/>
        <v>1</v>
      </c>
      <c r="D36" s="878"/>
      <c r="E36" s="49">
        <f t="shared" si="8"/>
        <v>1</v>
      </c>
      <c r="F36" s="878"/>
      <c r="G36" s="49">
        <f t="shared" si="9"/>
        <v>1</v>
      </c>
      <c r="H36" s="878"/>
      <c r="I36" s="49">
        <f t="shared" si="10"/>
        <v>1</v>
      </c>
      <c r="J36" s="878"/>
      <c r="K36" s="49">
        <f t="shared" si="11"/>
        <v>1</v>
      </c>
      <c r="L36" s="878"/>
      <c r="M36" s="49">
        <f t="shared" si="12"/>
        <v>1</v>
      </c>
      <c r="N36" s="878"/>
      <c r="O36" s="49">
        <f t="shared" si="13"/>
        <v>1</v>
      </c>
      <c r="P36" s="878"/>
      <c r="Q36" s="49">
        <f t="shared" si="14"/>
        <v>1</v>
      </c>
      <c r="R36" s="49">
        <f t="shared" si="15"/>
        <v>0</v>
      </c>
      <c r="S36" s="734">
        <f t="shared" si="6"/>
        <v>0</v>
      </c>
    </row>
    <row r="37" spans="1:19">
      <c r="A37" s="879"/>
      <c r="B37" s="126"/>
      <c r="C37" s="49">
        <f t="shared" si="7"/>
        <v>1</v>
      </c>
      <c r="D37" s="878"/>
      <c r="E37" s="49">
        <f t="shared" si="8"/>
        <v>1</v>
      </c>
      <c r="F37" s="878"/>
      <c r="G37" s="49">
        <f t="shared" si="9"/>
        <v>1</v>
      </c>
      <c r="H37" s="878"/>
      <c r="I37" s="49">
        <f t="shared" si="10"/>
        <v>1</v>
      </c>
      <c r="J37" s="878"/>
      <c r="K37" s="49">
        <f t="shared" si="11"/>
        <v>1</v>
      </c>
      <c r="L37" s="878"/>
      <c r="M37" s="49">
        <f t="shared" si="12"/>
        <v>1</v>
      </c>
      <c r="N37" s="878"/>
      <c r="O37" s="49">
        <f t="shared" si="13"/>
        <v>1</v>
      </c>
      <c r="P37" s="878"/>
      <c r="Q37" s="49">
        <f t="shared" si="14"/>
        <v>1</v>
      </c>
      <c r="R37" s="49">
        <f t="shared" si="15"/>
        <v>0</v>
      </c>
      <c r="S37" s="734">
        <f t="shared" si="6"/>
        <v>0</v>
      </c>
    </row>
    <row r="38" spans="1:19">
      <c r="A38" s="879"/>
      <c r="B38" s="126"/>
      <c r="C38" s="49">
        <f t="shared" si="7"/>
        <v>1</v>
      </c>
      <c r="D38" s="878"/>
      <c r="E38" s="49">
        <f t="shared" si="8"/>
        <v>1</v>
      </c>
      <c r="F38" s="878"/>
      <c r="G38" s="49">
        <f t="shared" si="9"/>
        <v>1</v>
      </c>
      <c r="H38" s="878"/>
      <c r="I38" s="49">
        <f t="shared" si="10"/>
        <v>1</v>
      </c>
      <c r="J38" s="878"/>
      <c r="K38" s="49">
        <f t="shared" si="11"/>
        <v>1</v>
      </c>
      <c r="L38" s="878"/>
      <c r="M38" s="49">
        <f t="shared" si="12"/>
        <v>1</v>
      </c>
      <c r="N38" s="878"/>
      <c r="O38" s="49">
        <f t="shared" si="13"/>
        <v>1</v>
      </c>
      <c r="P38" s="878"/>
      <c r="Q38" s="49">
        <f t="shared" si="14"/>
        <v>1</v>
      </c>
      <c r="R38" s="49">
        <f t="shared" si="15"/>
        <v>0</v>
      </c>
      <c r="S38" s="734">
        <f t="shared" si="6"/>
        <v>0</v>
      </c>
    </row>
    <row r="39" spans="1:19">
      <c r="A39" s="879"/>
      <c r="B39" s="126"/>
      <c r="C39" s="49">
        <f t="shared" si="7"/>
        <v>1</v>
      </c>
      <c r="D39" s="878"/>
      <c r="E39" s="49">
        <f t="shared" si="8"/>
        <v>1</v>
      </c>
      <c r="F39" s="878"/>
      <c r="G39" s="49">
        <f t="shared" si="9"/>
        <v>1</v>
      </c>
      <c r="H39" s="878"/>
      <c r="I39" s="49">
        <f t="shared" si="10"/>
        <v>1</v>
      </c>
      <c r="J39" s="878"/>
      <c r="K39" s="49">
        <f t="shared" si="11"/>
        <v>1</v>
      </c>
      <c r="L39" s="878"/>
      <c r="M39" s="49">
        <f t="shared" si="12"/>
        <v>1</v>
      </c>
      <c r="N39" s="878"/>
      <c r="O39" s="49">
        <f t="shared" si="13"/>
        <v>1</v>
      </c>
      <c r="P39" s="878"/>
      <c r="Q39" s="49">
        <f t="shared" si="14"/>
        <v>1</v>
      </c>
      <c r="R39" s="49">
        <f t="shared" si="15"/>
        <v>0</v>
      </c>
      <c r="S39" s="734">
        <f t="shared" si="6"/>
        <v>0</v>
      </c>
    </row>
    <row r="40" spans="1:19">
      <c r="A40" s="879"/>
      <c r="B40" s="126"/>
      <c r="C40" s="49">
        <f t="shared" si="7"/>
        <v>1</v>
      </c>
      <c r="D40" s="878"/>
      <c r="E40" s="49">
        <f t="shared" si="8"/>
        <v>1</v>
      </c>
      <c r="F40" s="878"/>
      <c r="G40" s="49">
        <f t="shared" si="9"/>
        <v>1</v>
      </c>
      <c r="H40" s="878"/>
      <c r="I40" s="49">
        <f t="shared" si="10"/>
        <v>1</v>
      </c>
      <c r="J40" s="878"/>
      <c r="K40" s="49">
        <f t="shared" si="11"/>
        <v>1</v>
      </c>
      <c r="L40" s="878"/>
      <c r="M40" s="49">
        <f t="shared" si="12"/>
        <v>1</v>
      </c>
      <c r="N40" s="878"/>
      <c r="O40" s="49">
        <f t="shared" si="13"/>
        <v>1</v>
      </c>
      <c r="P40" s="878"/>
      <c r="Q40" s="49">
        <f t="shared" si="14"/>
        <v>1</v>
      </c>
      <c r="R40" s="49">
        <f t="shared" si="15"/>
        <v>0</v>
      </c>
      <c r="S40" s="734">
        <f t="shared" si="6"/>
        <v>0</v>
      </c>
    </row>
    <row r="41" spans="1:19">
      <c r="A41" s="879"/>
      <c r="B41" s="126"/>
      <c r="C41" s="49">
        <f t="shared" si="7"/>
        <v>1</v>
      </c>
      <c r="D41" s="878"/>
      <c r="E41" s="49">
        <f t="shared" si="8"/>
        <v>1</v>
      </c>
      <c r="F41" s="878"/>
      <c r="G41" s="49">
        <f t="shared" si="9"/>
        <v>1</v>
      </c>
      <c r="H41" s="878"/>
      <c r="I41" s="49">
        <f t="shared" si="10"/>
        <v>1</v>
      </c>
      <c r="J41" s="878"/>
      <c r="K41" s="49">
        <f t="shared" si="11"/>
        <v>1</v>
      </c>
      <c r="L41" s="878"/>
      <c r="M41" s="49">
        <f t="shared" si="12"/>
        <v>1</v>
      </c>
      <c r="N41" s="878"/>
      <c r="O41" s="49">
        <f t="shared" si="13"/>
        <v>1</v>
      </c>
      <c r="P41" s="878"/>
      <c r="Q41" s="49">
        <f t="shared" si="14"/>
        <v>1</v>
      </c>
      <c r="R41" s="49">
        <f t="shared" si="15"/>
        <v>0</v>
      </c>
      <c r="S41" s="734">
        <f t="shared" si="6"/>
        <v>0</v>
      </c>
    </row>
    <row r="42" spans="1:19">
      <c r="A42" s="879"/>
      <c r="B42" s="126"/>
      <c r="C42" s="49">
        <f t="shared" si="7"/>
        <v>1</v>
      </c>
      <c r="D42" s="878"/>
      <c r="E42" s="49">
        <f t="shared" si="8"/>
        <v>1</v>
      </c>
      <c r="F42" s="878"/>
      <c r="G42" s="49">
        <f t="shared" si="9"/>
        <v>1</v>
      </c>
      <c r="H42" s="878"/>
      <c r="I42" s="49">
        <f t="shared" si="10"/>
        <v>1</v>
      </c>
      <c r="J42" s="878"/>
      <c r="K42" s="49">
        <f t="shared" si="11"/>
        <v>1</v>
      </c>
      <c r="L42" s="878"/>
      <c r="M42" s="49">
        <f t="shared" si="12"/>
        <v>1</v>
      </c>
      <c r="N42" s="878"/>
      <c r="O42" s="49">
        <f t="shared" si="13"/>
        <v>1</v>
      </c>
      <c r="P42" s="878"/>
      <c r="Q42" s="49">
        <f t="shared" si="14"/>
        <v>1</v>
      </c>
      <c r="R42" s="49">
        <f t="shared" si="15"/>
        <v>0</v>
      </c>
      <c r="S42" s="734">
        <f t="shared" si="6"/>
        <v>0</v>
      </c>
    </row>
    <row r="43" spans="1:19">
      <c r="A43" s="879"/>
      <c r="B43" s="126"/>
      <c r="C43" s="49">
        <f t="shared" si="7"/>
        <v>1</v>
      </c>
      <c r="D43" s="878"/>
      <c r="E43" s="49">
        <f t="shared" si="8"/>
        <v>1</v>
      </c>
      <c r="F43" s="878"/>
      <c r="G43" s="49">
        <f t="shared" si="9"/>
        <v>1</v>
      </c>
      <c r="H43" s="878"/>
      <c r="I43" s="49">
        <f t="shared" si="10"/>
        <v>1</v>
      </c>
      <c r="J43" s="878"/>
      <c r="K43" s="49">
        <f t="shared" si="11"/>
        <v>1</v>
      </c>
      <c r="L43" s="878"/>
      <c r="M43" s="49">
        <f t="shared" si="12"/>
        <v>1</v>
      </c>
      <c r="N43" s="878"/>
      <c r="O43" s="49">
        <f t="shared" si="13"/>
        <v>1</v>
      </c>
      <c r="P43" s="878"/>
      <c r="Q43" s="49">
        <f t="shared" si="14"/>
        <v>1</v>
      </c>
      <c r="R43" s="49">
        <f t="shared" si="15"/>
        <v>0</v>
      </c>
      <c r="S43" s="734">
        <f t="shared" si="6"/>
        <v>0</v>
      </c>
    </row>
    <row r="44" spans="1:19">
      <c r="A44" s="879"/>
      <c r="B44" s="126"/>
      <c r="C44" s="49">
        <f t="shared" si="7"/>
        <v>1</v>
      </c>
      <c r="D44" s="878"/>
      <c r="E44" s="49">
        <f t="shared" si="8"/>
        <v>1</v>
      </c>
      <c r="F44" s="878"/>
      <c r="G44" s="49">
        <f t="shared" si="9"/>
        <v>1</v>
      </c>
      <c r="H44" s="878"/>
      <c r="I44" s="49">
        <f t="shared" si="10"/>
        <v>1</v>
      </c>
      <c r="J44" s="878"/>
      <c r="K44" s="49">
        <f t="shared" si="11"/>
        <v>1</v>
      </c>
      <c r="L44" s="878"/>
      <c r="M44" s="49">
        <f t="shared" si="12"/>
        <v>1</v>
      </c>
      <c r="N44" s="878"/>
      <c r="O44" s="49">
        <f t="shared" si="13"/>
        <v>1</v>
      </c>
      <c r="P44" s="878"/>
      <c r="Q44" s="49">
        <f t="shared" si="14"/>
        <v>1</v>
      </c>
      <c r="R44" s="49">
        <f t="shared" si="15"/>
        <v>0</v>
      </c>
      <c r="S44" s="734">
        <f t="shared" si="6"/>
        <v>0</v>
      </c>
    </row>
    <row r="45" spans="1:19">
      <c r="A45" s="879"/>
      <c r="B45" s="126"/>
      <c r="C45" s="49">
        <f t="shared" si="7"/>
        <v>1</v>
      </c>
      <c r="D45" s="878"/>
      <c r="E45" s="49">
        <f t="shared" si="8"/>
        <v>1</v>
      </c>
      <c r="F45" s="878"/>
      <c r="G45" s="49">
        <f t="shared" si="9"/>
        <v>1</v>
      </c>
      <c r="H45" s="878"/>
      <c r="I45" s="49">
        <f t="shared" si="10"/>
        <v>1</v>
      </c>
      <c r="J45" s="878"/>
      <c r="K45" s="49">
        <f t="shared" si="11"/>
        <v>1</v>
      </c>
      <c r="L45" s="878"/>
      <c r="M45" s="49">
        <f t="shared" si="12"/>
        <v>1</v>
      </c>
      <c r="N45" s="878"/>
      <c r="O45" s="49">
        <f t="shared" si="13"/>
        <v>1</v>
      </c>
      <c r="P45" s="878"/>
      <c r="Q45" s="49">
        <f t="shared" si="14"/>
        <v>1</v>
      </c>
      <c r="R45" s="49">
        <f t="shared" si="15"/>
        <v>0</v>
      </c>
      <c r="S45" s="734">
        <f t="shared" si="6"/>
        <v>0</v>
      </c>
    </row>
    <row r="46" spans="1:19">
      <c r="A46" s="879"/>
      <c r="B46" s="126"/>
      <c r="C46" s="49">
        <f t="shared" si="7"/>
        <v>1</v>
      </c>
      <c r="D46" s="878"/>
      <c r="E46" s="49">
        <f t="shared" si="8"/>
        <v>1</v>
      </c>
      <c r="F46" s="878"/>
      <c r="G46" s="49">
        <f t="shared" si="9"/>
        <v>1</v>
      </c>
      <c r="H46" s="878"/>
      <c r="I46" s="49">
        <f t="shared" si="10"/>
        <v>1</v>
      </c>
      <c r="J46" s="878"/>
      <c r="K46" s="49">
        <f t="shared" si="11"/>
        <v>1</v>
      </c>
      <c r="L46" s="878"/>
      <c r="M46" s="49">
        <f t="shared" si="12"/>
        <v>1</v>
      </c>
      <c r="N46" s="878"/>
      <c r="O46" s="49">
        <f t="shared" si="13"/>
        <v>1</v>
      </c>
      <c r="P46" s="878"/>
      <c r="Q46" s="49">
        <f t="shared" si="14"/>
        <v>1</v>
      </c>
      <c r="R46" s="49">
        <f t="shared" si="15"/>
        <v>0</v>
      </c>
      <c r="S46" s="734">
        <f t="shared" si="6"/>
        <v>0</v>
      </c>
    </row>
    <row r="47" spans="1:19">
      <c r="A47" s="879"/>
      <c r="B47" s="126"/>
      <c r="C47" s="49">
        <f t="shared" si="7"/>
        <v>1</v>
      </c>
      <c r="D47" s="878"/>
      <c r="E47" s="49">
        <f t="shared" si="8"/>
        <v>1</v>
      </c>
      <c r="F47" s="878"/>
      <c r="G47" s="49">
        <f t="shared" si="9"/>
        <v>1</v>
      </c>
      <c r="H47" s="878"/>
      <c r="I47" s="49">
        <f t="shared" si="10"/>
        <v>1</v>
      </c>
      <c r="J47" s="878"/>
      <c r="K47" s="49">
        <f t="shared" si="11"/>
        <v>1</v>
      </c>
      <c r="L47" s="878"/>
      <c r="M47" s="49">
        <f t="shared" si="12"/>
        <v>1</v>
      </c>
      <c r="N47" s="878"/>
      <c r="O47" s="49">
        <f t="shared" si="13"/>
        <v>1</v>
      </c>
      <c r="P47" s="878"/>
      <c r="Q47" s="49">
        <f t="shared" si="14"/>
        <v>1</v>
      </c>
      <c r="R47" s="49">
        <f t="shared" si="15"/>
        <v>0</v>
      </c>
      <c r="S47" s="734">
        <f t="shared" si="6"/>
        <v>0</v>
      </c>
    </row>
    <row r="48" spans="1:19">
      <c r="A48" s="879"/>
      <c r="B48" s="126"/>
      <c r="C48" s="49">
        <f t="shared" si="7"/>
        <v>1</v>
      </c>
      <c r="D48" s="878"/>
      <c r="E48" s="49">
        <f t="shared" si="8"/>
        <v>1</v>
      </c>
      <c r="F48" s="878"/>
      <c r="G48" s="49">
        <f t="shared" si="9"/>
        <v>1</v>
      </c>
      <c r="H48" s="878"/>
      <c r="I48" s="49">
        <f t="shared" si="10"/>
        <v>1</v>
      </c>
      <c r="J48" s="878"/>
      <c r="K48" s="49">
        <f t="shared" si="11"/>
        <v>1</v>
      </c>
      <c r="L48" s="878"/>
      <c r="M48" s="49">
        <f t="shared" si="12"/>
        <v>1</v>
      </c>
      <c r="N48" s="878"/>
      <c r="O48" s="49">
        <f t="shared" si="13"/>
        <v>1</v>
      </c>
      <c r="P48" s="878"/>
      <c r="Q48" s="49">
        <f t="shared" si="14"/>
        <v>1</v>
      </c>
      <c r="R48" s="49">
        <f t="shared" si="15"/>
        <v>0</v>
      </c>
      <c r="S48" s="734">
        <f t="shared" si="6"/>
        <v>0</v>
      </c>
    </row>
    <row r="49" spans="1:19">
      <c r="A49" s="879"/>
      <c r="B49" s="126"/>
      <c r="C49" s="49">
        <f t="shared" si="7"/>
        <v>1</v>
      </c>
      <c r="D49" s="878"/>
      <c r="E49" s="49">
        <f t="shared" si="8"/>
        <v>1</v>
      </c>
      <c r="F49" s="878"/>
      <c r="G49" s="49">
        <f t="shared" si="9"/>
        <v>1</v>
      </c>
      <c r="H49" s="878"/>
      <c r="I49" s="49">
        <f t="shared" si="10"/>
        <v>1</v>
      </c>
      <c r="J49" s="878"/>
      <c r="K49" s="49">
        <f t="shared" si="11"/>
        <v>1</v>
      </c>
      <c r="L49" s="878"/>
      <c r="M49" s="49">
        <f t="shared" si="12"/>
        <v>1</v>
      </c>
      <c r="N49" s="878"/>
      <c r="O49" s="49">
        <f t="shared" si="13"/>
        <v>1</v>
      </c>
      <c r="P49" s="878"/>
      <c r="Q49" s="49">
        <f t="shared" si="14"/>
        <v>1</v>
      </c>
      <c r="R49" s="49">
        <f t="shared" si="15"/>
        <v>0</v>
      </c>
      <c r="S49" s="734">
        <f t="shared" si="6"/>
        <v>0</v>
      </c>
    </row>
    <row r="50" spans="1:19">
      <c r="A50" s="879"/>
      <c r="B50" s="126"/>
      <c r="C50" s="49">
        <f t="shared" si="7"/>
        <v>1</v>
      </c>
      <c r="D50" s="878"/>
      <c r="E50" s="49">
        <f t="shared" si="8"/>
        <v>1</v>
      </c>
      <c r="F50" s="878"/>
      <c r="G50" s="49">
        <f t="shared" si="9"/>
        <v>1</v>
      </c>
      <c r="H50" s="878"/>
      <c r="I50" s="49">
        <f t="shared" si="10"/>
        <v>1</v>
      </c>
      <c r="J50" s="878"/>
      <c r="K50" s="49">
        <f t="shared" si="11"/>
        <v>1</v>
      </c>
      <c r="L50" s="878"/>
      <c r="M50" s="49">
        <f t="shared" si="12"/>
        <v>1</v>
      </c>
      <c r="N50" s="878"/>
      <c r="O50" s="49">
        <f t="shared" si="13"/>
        <v>1</v>
      </c>
      <c r="P50" s="878"/>
      <c r="Q50" s="49">
        <f t="shared" si="14"/>
        <v>1</v>
      </c>
      <c r="R50" s="49">
        <f t="shared" si="15"/>
        <v>0</v>
      </c>
      <c r="S50" s="734">
        <f t="shared" si="6"/>
        <v>0</v>
      </c>
    </row>
    <row r="51" spans="1:19">
      <c r="A51" s="879"/>
      <c r="B51" s="126"/>
      <c r="C51" s="49">
        <f t="shared" si="7"/>
        <v>1</v>
      </c>
      <c r="D51" s="878"/>
      <c r="E51" s="49">
        <f t="shared" si="8"/>
        <v>1</v>
      </c>
      <c r="F51" s="878"/>
      <c r="G51" s="49">
        <f t="shared" si="9"/>
        <v>1</v>
      </c>
      <c r="H51" s="878"/>
      <c r="I51" s="49">
        <f t="shared" si="10"/>
        <v>1</v>
      </c>
      <c r="J51" s="878"/>
      <c r="K51" s="49">
        <f t="shared" si="11"/>
        <v>1</v>
      </c>
      <c r="L51" s="878"/>
      <c r="M51" s="49">
        <f t="shared" si="12"/>
        <v>1</v>
      </c>
      <c r="N51" s="878"/>
      <c r="O51" s="49">
        <f t="shared" si="13"/>
        <v>1</v>
      </c>
      <c r="P51" s="878"/>
      <c r="Q51" s="49">
        <f t="shared" si="14"/>
        <v>1</v>
      </c>
      <c r="R51" s="49">
        <f t="shared" si="15"/>
        <v>0</v>
      </c>
      <c r="S51" s="734">
        <f t="shared" si="6"/>
        <v>0</v>
      </c>
    </row>
    <row r="52" spans="1:19">
      <c r="A52" s="879"/>
      <c r="B52" s="126"/>
      <c r="C52" s="49">
        <f t="shared" si="7"/>
        <v>1</v>
      </c>
      <c r="D52" s="878"/>
      <c r="E52" s="49">
        <f t="shared" si="8"/>
        <v>1</v>
      </c>
      <c r="F52" s="878"/>
      <c r="G52" s="49">
        <f t="shared" si="9"/>
        <v>1</v>
      </c>
      <c r="H52" s="878"/>
      <c r="I52" s="49">
        <f t="shared" si="10"/>
        <v>1</v>
      </c>
      <c r="J52" s="878"/>
      <c r="K52" s="49">
        <f t="shared" si="11"/>
        <v>1</v>
      </c>
      <c r="L52" s="878"/>
      <c r="M52" s="49">
        <f t="shared" si="12"/>
        <v>1</v>
      </c>
      <c r="N52" s="878"/>
      <c r="O52" s="49">
        <f t="shared" si="13"/>
        <v>1</v>
      </c>
      <c r="P52" s="878"/>
      <c r="Q52" s="49">
        <f t="shared" si="14"/>
        <v>1</v>
      </c>
      <c r="R52" s="49">
        <f t="shared" si="15"/>
        <v>0</v>
      </c>
      <c r="S52" s="734">
        <f t="shared" si="6"/>
        <v>0</v>
      </c>
    </row>
    <row r="53" spans="1:19">
      <c r="A53" s="879"/>
      <c r="B53" s="126"/>
      <c r="C53" s="49">
        <f t="shared" si="7"/>
        <v>1</v>
      </c>
      <c r="D53" s="878"/>
      <c r="E53" s="49">
        <f t="shared" si="8"/>
        <v>1</v>
      </c>
      <c r="F53" s="878"/>
      <c r="G53" s="49">
        <f t="shared" si="9"/>
        <v>1</v>
      </c>
      <c r="H53" s="878"/>
      <c r="I53" s="49">
        <f t="shared" si="10"/>
        <v>1</v>
      </c>
      <c r="J53" s="878"/>
      <c r="K53" s="49">
        <f t="shared" si="11"/>
        <v>1</v>
      </c>
      <c r="L53" s="878"/>
      <c r="M53" s="49">
        <f t="shared" si="12"/>
        <v>1</v>
      </c>
      <c r="N53" s="878"/>
      <c r="O53" s="49">
        <f t="shared" si="13"/>
        <v>1</v>
      </c>
      <c r="P53" s="878"/>
      <c r="Q53" s="49">
        <f t="shared" si="14"/>
        <v>1</v>
      </c>
      <c r="R53" s="49">
        <f t="shared" si="15"/>
        <v>0</v>
      </c>
      <c r="S53" s="734">
        <f t="shared" si="6"/>
        <v>0</v>
      </c>
    </row>
    <row r="54" spans="1:19">
      <c r="A54" s="879"/>
      <c r="B54" s="126"/>
      <c r="C54" s="49">
        <f t="shared" si="7"/>
        <v>1</v>
      </c>
      <c r="D54" s="878"/>
      <c r="E54" s="49">
        <f t="shared" si="8"/>
        <v>1</v>
      </c>
      <c r="F54" s="878"/>
      <c r="G54" s="49">
        <f t="shared" si="9"/>
        <v>1</v>
      </c>
      <c r="H54" s="878"/>
      <c r="I54" s="49">
        <f t="shared" si="10"/>
        <v>1</v>
      </c>
      <c r="J54" s="878"/>
      <c r="K54" s="49">
        <f t="shared" si="11"/>
        <v>1</v>
      </c>
      <c r="L54" s="878"/>
      <c r="M54" s="49">
        <f t="shared" si="12"/>
        <v>1</v>
      </c>
      <c r="N54" s="878"/>
      <c r="O54" s="49">
        <f t="shared" si="13"/>
        <v>1</v>
      </c>
      <c r="P54" s="878"/>
      <c r="Q54" s="49">
        <f t="shared" si="14"/>
        <v>1</v>
      </c>
      <c r="R54" s="49">
        <f t="shared" si="15"/>
        <v>0</v>
      </c>
      <c r="S54" s="734">
        <f t="shared" si="6"/>
        <v>0</v>
      </c>
    </row>
    <row r="55" spans="1:19">
      <c r="A55" s="879"/>
      <c r="B55" s="126"/>
      <c r="C55" s="49">
        <f t="shared" si="7"/>
        <v>1</v>
      </c>
      <c r="D55" s="878"/>
      <c r="E55" s="49">
        <f t="shared" si="8"/>
        <v>1</v>
      </c>
      <c r="F55" s="878"/>
      <c r="G55" s="49">
        <f t="shared" si="9"/>
        <v>1</v>
      </c>
      <c r="H55" s="878"/>
      <c r="I55" s="49">
        <f t="shared" si="10"/>
        <v>1</v>
      </c>
      <c r="J55" s="878"/>
      <c r="K55" s="49">
        <f t="shared" si="11"/>
        <v>1</v>
      </c>
      <c r="L55" s="878"/>
      <c r="M55" s="49">
        <f t="shared" si="12"/>
        <v>1</v>
      </c>
      <c r="N55" s="878"/>
      <c r="O55" s="49">
        <f t="shared" si="13"/>
        <v>1</v>
      </c>
      <c r="P55" s="878"/>
      <c r="Q55" s="49">
        <f t="shared" si="14"/>
        <v>1</v>
      </c>
      <c r="R55" s="49">
        <f t="shared" si="15"/>
        <v>0</v>
      </c>
      <c r="S55" s="734">
        <f t="shared" ref="S55:S77" si="16">ROUND(R55*B55/10000,0)</f>
        <v>0</v>
      </c>
    </row>
    <row r="56" spans="1:19">
      <c r="A56" s="879"/>
      <c r="B56" s="126"/>
      <c r="C56" s="49">
        <f t="shared" si="7"/>
        <v>1</v>
      </c>
      <c r="D56" s="878"/>
      <c r="E56" s="49">
        <f t="shared" si="8"/>
        <v>1</v>
      </c>
      <c r="F56" s="878"/>
      <c r="G56" s="49">
        <f t="shared" si="9"/>
        <v>1</v>
      </c>
      <c r="H56" s="878"/>
      <c r="I56" s="49">
        <f t="shared" si="10"/>
        <v>1</v>
      </c>
      <c r="J56" s="878"/>
      <c r="K56" s="49">
        <f t="shared" si="11"/>
        <v>1</v>
      </c>
      <c r="L56" s="878"/>
      <c r="M56" s="49">
        <f t="shared" si="12"/>
        <v>1</v>
      </c>
      <c r="N56" s="878"/>
      <c r="O56" s="49">
        <f t="shared" si="13"/>
        <v>1</v>
      </c>
      <c r="P56" s="878"/>
      <c r="Q56" s="49">
        <f t="shared" si="14"/>
        <v>1</v>
      </c>
      <c r="R56" s="49">
        <f t="shared" si="15"/>
        <v>0</v>
      </c>
      <c r="S56" s="734">
        <f t="shared" si="16"/>
        <v>0</v>
      </c>
    </row>
    <row r="57" spans="1:19">
      <c r="A57" s="879"/>
      <c r="B57" s="126"/>
      <c r="C57" s="49">
        <f t="shared" si="7"/>
        <v>1</v>
      </c>
      <c r="D57" s="878"/>
      <c r="E57" s="49">
        <f t="shared" si="8"/>
        <v>1</v>
      </c>
      <c r="F57" s="878"/>
      <c r="G57" s="49">
        <f t="shared" si="9"/>
        <v>1</v>
      </c>
      <c r="H57" s="878"/>
      <c r="I57" s="49">
        <f t="shared" si="10"/>
        <v>1</v>
      </c>
      <c r="J57" s="878"/>
      <c r="K57" s="49">
        <f t="shared" si="11"/>
        <v>1</v>
      </c>
      <c r="L57" s="878"/>
      <c r="M57" s="49">
        <f t="shared" si="12"/>
        <v>1</v>
      </c>
      <c r="N57" s="878"/>
      <c r="O57" s="49">
        <f t="shared" si="13"/>
        <v>1</v>
      </c>
      <c r="P57" s="878"/>
      <c r="Q57" s="49">
        <f t="shared" si="14"/>
        <v>1</v>
      </c>
      <c r="R57" s="49">
        <f t="shared" si="15"/>
        <v>0</v>
      </c>
      <c r="S57" s="734">
        <f t="shared" si="16"/>
        <v>0</v>
      </c>
    </row>
    <row r="58" spans="1:19">
      <c r="A58" s="879"/>
      <c r="B58" s="126"/>
      <c r="C58" s="49">
        <f t="shared" si="7"/>
        <v>1</v>
      </c>
      <c r="D58" s="878"/>
      <c r="E58" s="49">
        <f t="shared" si="8"/>
        <v>1</v>
      </c>
      <c r="F58" s="878"/>
      <c r="G58" s="49">
        <f t="shared" si="9"/>
        <v>1</v>
      </c>
      <c r="H58" s="878"/>
      <c r="I58" s="49">
        <f t="shared" si="10"/>
        <v>1</v>
      </c>
      <c r="J58" s="878"/>
      <c r="K58" s="49">
        <f t="shared" si="11"/>
        <v>1</v>
      </c>
      <c r="L58" s="878"/>
      <c r="M58" s="49">
        <f t="shared" si="12"/>
        <v>1</v>
      </c>
      <c r="N58" s="878"/>
      <c r="O58" s="49">
        <f t="shared" si="13"/>
        <v>1</v>
      </c>
      <c r="P58" s="878"/>
      <c r="Q58" s="49">
        <f t="shared" si="14"/>
        <v>1</v>
      </c>
      <c r="R58" s="49">
        <f t="shared" si="15"/>
        <v>0</v>
      </c>
      <c r="S58" s="734">
        <f t="shared" si="16"/>
        <v>0</v>
      </c>
    </row>
    <row r="59" spans="1:19">
      <c r="A59" s="879"/>
      <c r="B59" s="126"/>
      <c r="C59" s="49">
        <f t="shared" si="7"/>
        <v>1</v>
      </c>
      <c r="D59" s="878"/>
      <c r="E59" s="49">
        <f t="shared" si="8"/>
        <v>1</v>
      </c>
      <c r="F59" s="878"/>
      <c r="G59" s="49">
        <f t="shared" si="9"/>
        <v>1</v>
      </c>
      <c r="H59" s="878"/>
      <c r="I59" s="49">
        <f t="shared" si="10"/>
        <v>1</v>
      </c>
      <c r="J59" s="878"/>
      <c r="K59" s="49">
        <f t="shared" si="11"/>
        <v>1</v>
      </c>
      <c r="L59" s="878"/>
      <c r="M59" s="49">
        <f t="shared" si="12"/>
        <v>1</v>
      </c>
      <c r="N59" s="878"/>
      <c r="O59" s="49">
        <f t="shared" si="13"/>
        <v>1</v>
      </c>
      <c r="P59" s="878"/>
      <c r="Q59" s="49">
        <f t="shared" si="14"/>
        <v>1</v>
      </c>
      <c r="R59" s="49">
        <f t="shared" si="15"/>
        <v>0</v>
      </c>
      <c r="S59" s="734">
        <f t="shared" si="16"/>
        <v>0</v>
      </c>
    </row>
    <row r="60" spans="1:19">
      <c r="A60" s="879"/>
      <c r="B60" s="126"/>
      <c r="C60" s="49">
        <f t="shared" si="7"/>
        <v>1</v>
      </c>
      <c r="D60" s="878"/>
      <c r="E60" s="49">
        <f t="shared" si="8"/>
        <v>1</v>
      </c>
      <c r="F60" s="878"/>
      <c r="G60" s="49">
        <f t="shared" si="9"/>
        <v>1</v>
      </c>
      <c r="H60" s="878"/>
      <c r="I60" s="49">
        <f t="shared" si="10"/>
        <v>1</v>
      </c>
      <c r="J60" s="878"/>
      <c r="K60" s="49">
        <f t="shared" si="11"/>
        <v>1</v>
      </c>
      <c r="L60" s="878"/>
      <c r="M60" s="49">
        <f t="shared" si="12"/>
        <v>1</v>
      </c>
      <c r="N60" s="878"/>
      <c r="O60" s="49">
        <f t="shared" si="13"/>
        <v>1</v>
      </c>
      <c r="P60" s="878"/>
      <c r="Q60" s="49">
        <f t="shared" si="14"/>
        <v>1</v>
      </c>
      <c r="R60" s="49">
        <f t="shared" si="15"/>
        <v>0</v>
      </c>
      <c r="S60" s="734">
        <f t="shared" si="16"/>
        <v>0</v>
      </c>
    </row>
    <row r="61" spans="1:19">
      <c r="A61" s="879"/>
      <c r="B61" s="126"/>
      <c r="C61" s="49">
        <f t="shared" si="7"/>
        <v>1</v>
      </c>
      <c r="D61" s="878"/>
      <c r="E61" s="49">
        <f t="shared" si="8"/>
        <v>1</v>
      </c>
      <c r="F61" s="878"/>
      <c r="G61" s="49">
        <f t="shared" si="9"/>
        <v>1</v>
      </c>
      <c r="H61" s="878"/>
      <c r="I61" s="49">
        <f t="shared" si="10"/>
        <v>1</v>
      </c>
      <c r="J61" s="878"/>
      <c r="K61" s="49">
        <f t="shared" si="11"/>
        <v>1</v>
      </c>
      <c r="L61" s="878"/>
      <c r="M61" s="49">
        <f t="shared" si="12"/>
        <v>1</v>
      </c>
      <c r="N61" s="878"/>
      <c r="O61" s="49">
        <f t="shared" si="13"/>
        <v>1</v>
      </c>
      <c r="P61" s="878"/>
      <c r="Q61" s="49">
        <f t="shared" si="14"/>
        <v>1</v>
      </c>
      <c r="R61" s="49">
        <f t="shared" si="15"/>
        <v>0</v>
      </c>
      <c r="S61" s="734">
        <f t="shared" si="16"/>
        <v>0</v>
      </c>
    </row>
    <row r="62" spans="1:19">
      <c r="A62" s="879"/>
      <c r="B62" s="126"/>
      <c r="C62" s="49">
        <f t="shared" si="7"/>
        <v>1</v>
      </c>
      <c r="D62" s="878"/>
      <c r="E62" s="49">
        <f t="shared" si="8"/>
        <v>1</v>
      </c>
      <c r="F62" s="878"/>
      <c r="G62" s="49">
        <f t="shared" si="9"/>
        <v>1</v>
      </c>
      <c r="H62" s="878"/>
      <c r="I62" s="49">
        <f t="shared" si="10"/>
        <v>1</v>
      </c>
      <c r="J62" s="878"/>
      <c r="K62" s="49">
        <f t="shared" si="11"/>
        <v>1</v>
      </c>
      <c r="L62" s="878"/>
      <c r="M62" s="49">
        <f t="shared" si="12"/>
        <v>1</v>
      </c>
      <c r="N62" s="878"/>
      <c r="O62" s="49">
        <f t="shared" si="13"/>
        <v>1</v>
      </c>
      <c r="P62" s="878"/>
      <c r="Q62" s="49">
        <f t="shared" si="14"/>
        <v>1</v>
      </c>
      <c r="R62" s="49">
        <f t="shared" si="15"/>
        <v>0</v>
      </c>
      <c r="S62" s="734">
        <f t="shared" si="16"/>
        <v>0</v>
      </c>
    </row>
    <row r="63" spans="1:19">
      <c r="A63" s="879"/>
      <c r="B63" s="126"/>
      <c r="C63" s="49">
        <f t="shared" si="7"/>
        <v>1</v>
      </c>
      <c r="D63" s="878"/>
      <c r="E63" s="49">
        <f t="shared" si="8"/>
        <v>1</v>
      </c>
      <c r="F63" s="878"/>
      <c r="G63" s="49">
        <f t="shared" si="9"/>
        <v>1</v>
      </c>
      <c r="H63" s="878"/>
      <c r="I63" s="49">
        <f t="shared" si="10"/>
        <v>1</v>
      </c>
      <c r="J63" s="878"/>
      <c r="K63" s="49">
        <f t="shared" si="11"/>
        <v>1</v>
      </c>
      <c r="L63" s="878"/>
      <c r="M63" s="49">
        <f t="shared" si="12"/>
        <v>1</v>
      </c>
      <c r="N63" s="878"/>
      <c r="O63" s="49">
        <f t="shared" si="13"/>
        <v>1</v>
      </c>
      <c r="P63" s="878"/>
      <c r="Q63" s="49">
        <f t="shared" si="14"/>
        <v>1</v>
      </c>
      <c r="R63" s="49">
        <f t="shared" si="15"/>
        <v>0</v>
      </c>
      <c r="S63" s="734">
        <f t="shared" si="16"/>
        <v>0</v>
      </c>
    </row>
    <row r="64" spans="1:19">
      <c r="A64" s="879"/>
      <c r="B64" s="126"/>
      <c r="C64" s="49">
        <f t="shared" si="7"/>
        <v>1</v>
      </c>
      <c r="D64" s="878"/>
      <c r="E64" s="49">
        <f t="shared" si="8"/>
        <v>1</v>
      </c>
      <c r="F64" s="878"/>
      <c r="G64" s="49">
        <f t="shared" si="9"/>
        <v>1</v>
      </c>
      <c r="H64" s="878"/>
      <c r="I64" s="49">
        <f t="shared" si="10"/>
        <v>1</v>
      </c>
      <c r="J64" s="878"/>
      <c r="K64" s="49">
        <f t="shared" si="11"/>
        <v>1</v>
      </c>
      <c r="L64" s="878"/>
      <c r="M64" s="49">
        <f t="shared" si="12"/>
        <v>1</v>
      </c>
      <c r="N64" s="878"/>
      <c r="O64" s="49">
        <f t="shared" si="13"/>
        <v>1</v>
      </c>
      <c r="P64" s="878"/>
      <c r="Q64" s="49">
        <f t="shared" si="14"/>
        <v>1</v>
      </c>
      <c r="R64" s="49">
        <f t="shared" si="15"/>
        <v>0</v>
      </c>
      <c r="S64" s="734">
        <f t="shared" si="16"/>
        <v>0</v>
      </c>
    </row>
    <row r="65" spans="1:19">
      <c r="A65" s="879"/>
      <c r="B65" s="126"/>
      <c r="C65" s="49">
        <f t="shared" si="7"/>
        <v>1</v>
      </c>
      <c r="D65" s="878"/>
      <c r="E65" s="49">
        <f t="shared" si="8"/>
        <v>1</v>
      </c>
      <c r="F65" s="878"/>
      <c r="G65" s="49">
        <f t="shared" si="9"/>
        <v>1</v>
      </c>
      <c r="H65" s="878"/>
      <c r="I65" s="49">
        <f t="shared" si="10"/>
        <v>1</v>
      </c>
      <c r="J65" s="878"/>
      <c r="K65" s="49">
        <f t="shared" si="11"/>
        <v>1</v>
      </c>
      <c r="L65" s="878"/>
      <c r="M65" s="49">
        <f t="shared" si="12"/>
        <v>1</v>
      </c>
      <c r="N65" s="878"/>
      <c r="O65" s="49">
        <f t="shared" si="13"/>
        <v>1</v>
      </c>
      <c r="P65" s="878"/>
      <c r="Q65" s="49">
        <f t="shared" si="14"/>
        <v>1</v>
      </c>
      <c r="R65" s="49">
        <f t="shared" si="15"/>
        <v>0</v>
      </c>
      <c r="S65" s="734">
        <f t="shared" si="16"/>
        <v>0</v>
      </c>
    </row>
    <row r="66" spans="1:19">
      <c r="A66" s="879"/>
      <c r="B66" s="126"/>
      <c r="C66" s="49">
        <f t="shared" si="7"/>
        <v>1</v>
      </c>
      <c r="D66" s="878"/>
      <c r="E66" s="49">
        <f t="shared" si="8"/>
        <v>1</v>
      </c>
      <c r="F66" s="878"/>
      <c r="G66" s="49">
        <f t="shared" si="9"/>
        <v>1</v>
      </c>
      <c r="H66" s="878"/>
      <c r="I66" s="49">
        <f t="shared" si="10"/>
        <v>1</v>
      </c>
      <c r="J66" s="878"/>
      <c r="K66" s="49">
        <f t="shared" si="11"/>
        <v>1</v>
      </c>
      <c r="L66" s="878"/>
      <c r="M66" s="49">
        <f t="shared" si="12"/>
        <v>1</v>
      </c>
      <c r="N66" s="878"/>
      <c r="O66" s="49">
        <f t="shared" si="13"/>
        <v>1</v>
      </c>
      <c r="P66" s="878"/>
      <c r="Q66" s="49">
        <f t="shared" si="14"/>
        <v>1</v>
      </c>
      <c r="R66" s="49">
        <f t="shared" si="15"/>
        <v>0</v>
      </c>
      <c r="S66" s="734">
        <f t="shared" si="16"/>
        <v>0</v>
      </c>
    </row>
    <row r="67" spans="1:19">
      <c r="A67" s="879"/>
      <c r="B67" s="126"/>
      <c r="C67" s="49">
        <f t="shared" si="7"/>
        <v>1</v>
      </c>
      <c r="D67" s="878"/>
      <c r="E67" s="49">
        <f t="shared" si="8"/>
        <v>1</v>
      </c>
      <c r="F67" s="878"/>
      <c r="G67" s="49">
        <f t="shared" si="9"/>
        <v>1</v>
      </c>
      <c r="H67" s="878"/>
      <c r="I67" s="49">
        <f t="shared" si="10"/>
        <v>1</v>
      </c>
      <c r="J67" s="878"/>
      <c r="K67" s="49">
        <f t="shared" si="11"/>
        <v>1</v>
      </c>
      <c r="L67" s="878"/>
      <c r="M67" s="49">
        <f t="shared" si="12"/>
        <v>1</v>
      </c>
      <c r="N67" s="878"/>
      <c r="O67" s="49">
        <f t="shared" si="13"/>
        <v>1</v>
      </c>
      <c r="P67" s="878"/>
      <c r="Q67" s="49">
        <f t="shared" si="14"/>
        <v>1</v>
      </c>
      <c r="R67" s="49">
        <f t="shared" si="15"/>
        <v>0</v>
      </c>
      <c r="S67" s="734">
        <f t="shared" si="16"/>
        <v>0</v>
      </c>
    </row>
    <row r="68" spans="1:19">
      <c r="A68" s="879"/>
      <c r="B68" s="126"/>
      <c r="C68" s="49">
        <f t="shared" si="7"/>
        <v>1</v>
      </c>
      <c r="D68" s="878"/>
      <c r="E68" s="49">
        <f t="shared" si="8"/>
        <v>1</v>
      </c>
      <c r="F68" s="878"/>
      <c r="G68" s="49">
        <f t="shared" si="9"/>
        <v>1</v>
      </c>
      <c r="H68" s="878"/>
      <c r="I68" s="49">
        <f t="shared" si="10"/>
        <v>1</v>
      </c>
      <c r="J68" s="878"/>
      <c r="K68" s="49">
        <f t="shared" si="11"/>
        <v>1</v>
      </c>
      <c r="L68" s="878"/>
      <c r="M68" s="49">
        <f t="shared" si="12"/>
        <v>1</v>
      </c>
      <c r="N68" s="878"/>
      <c r="O68" s="49">
        <f t="shared" si="13"/>
        <v>1</v>
      </c>
      <c r="P68" s="878"/>
      <c r="Q68" s="49">
        <f t="shared" si="14"/>
        <v>1</v>
      </c>
      <c r="R68" s="49">
        <f t="shared" si="15"/>
        <v>0</v>
      </c>
      <c r="S68" s="734">
        <f t="shared" si="16"/>
        <v>0</v>
      </c>
    </row>
    <row r="69" spans="1:19">
      <c r="A69" s="879"/>
      <c r="B69" s="126"/>
      <c r="C69" s="49">
        <f t="shared" si="7"/>
        <v>1</v>
      </c>
      <c r="D69" s="878"/>
      <c r="E69" s="49">
        <f t="shared" si="8"/>
        <v>1</v>
      </c>
      <c r="F69" s="878"/>
      <c r="G69" s="49">
        <f t="shared" si="9"/>
        <v>1</v>
      </c>
      <c r="H69" s="878"/>
      <c r="I69" s="49">
        <f t="shared" si="10"/>
        <v>1</v>
      </c>
      <c r="J69" s="878"/>
      <c r="K69" s="49">
        <f t="shared" si="11"/>
        <v>1</v>
      </c>
      <c r="L69" s="878"/>
      <c r="M69" s="49">
        <f t="shared" si="12"/>
        <v>1</v>
      </c>
      <c r="N69" s="878"/>
      <c r="O69" s="49">
        <f t="shared" si="13"/>
        <v>1</v>
      </c>
      <c r="P69" s="878"/>
      <c r="Q69" s="49">
        <f t="shared" si="14"/>
        <v>1</v>
      </c>
      <c r="R69" s="49">
        <f t="shared" si="15"/>
        <v>0</v>
      </c>
      <c r="S69" s="734">
        <f t="shared" si="16"/>
        <v>0</v>
      </c>
    </row>
    <row r="70" spans="1:19">
      <c r="A70" s="879"/>
      <c r="B70" s="126"/>
      <c r="C70" s="49">
        <f t="shared" si="7"/>
        <v>1</v>
      </c>
      <c r="D70" s="878"/>
      <c r="E70" s="49">
        <f t="shared" si="8"/>
        <v>1</v>
      </c>
      <c r="F70" s="878"/>
      <c r="G70" s="49">
        <f t="shared" si="9"/>
        <v>1</v>
      </c>
      <c r="H70" s="878"/>
      <c r="I70" s="49">
        <f t="shared" si="10"/>
        <v>1</v>
      </c>
      <c r="J70" s="878"/>
      <c r="K70" s="49">
        <f t="shared" si="11"/>
        <v>1</v>
      </c>
      <c r="L70" s="878"/>
      <c r="M70" s="49">
        <f t="shared" si="12"/>
        <v>1</v>
      </c>
      <c r="N70" s="878"/>
      <c r="O70" s="49">
        <f t="shared" si="13"/>
        <v>1</v>
      </c>
      <c r="P70" s="878"/>
      <c r="Q70" s="49">
        <f t="shared" si="14"/>
        <v>1</v>
      </c>
      <c r="R70" s="49">
        <f t="shared" si="15"/>
        <v>0</v>
      </c>
      <c r="S70" s="734">
        <f t="shared" si="16"/>
        <v>0</v>
      </c>
    </row>
    <row r="71" spans="1:19">
      <c r="A71" s="879"/>
      <c r="B71" s="126"/>
      <c r="C71" s="49">
        <f t="shared" si="7"/>
        <v>1</v>
      </c>
      <c r="D71" s="878"/>
      <c r="E71" s="49">
        <f t="shared" si="8"/>
        <v>1</v>
      </c>
      <c r="F71" s="878"/>
      <c r="G71" s="49">
        <f t="shared" si="9"/>
        <v>1</v>
      </c>
      <c r="H71" s="878"/>
      <c r="I71" s="49">
        <f t="shared" si="10"/>
        <v>1</v>
      </c>
      <c r="J71" s="878"/>
      <c r="K71" s="49">
        <f t="shared" si="11"/>
        <v>1</v>
      </c>
      <c r="L71" s="878"/>
      <c r="M71" s="49">
        <f t="shared" si="12"/>
        <v>1</v>
      </c>
      <c r="N71" s="878"/>
      <c r="O71" s="49">
        <f t="shared" si="13"/>
        <v>1</v>
      </c>
      <c r="P71" s="878"/>
      <c r="Q71" s="49">
        <f t="shared" si="14"/>
        <v>1</v>
      </c>
      <c r="R71" s="49">
        <f t="shared" si="15"/>
        <v>0</v>
      </c>
      <c r="S71" s="734">
        <f t="shared" si="16"/>
        <v>0</v>
      </c>
    </row>
    <row r="72" spans="1:19">
      <c r="A72" s="879"/>
      <c r="B72" s="126"/>
      <c r="C72" s="49">
        <f t="shared" si="7"/>
        <v>1</v>
      </c>
      <c r="D72" s="878"/>
      <c r="E72" s="49">
        <f t="shared" si="8"/>
        <v>1</v>
      </c>
      <c r="F72" s="878"/>
      <c r="G72" s="49">
        <f t="shared" si="9"/>
        <v>1</v>
      </c>
      <c r="H72" s="878"/>
      <c r="I72" s="49">
        <f t="shared" si="10"/>
        <v>1</v>
      </c>
      <c r="J72" s="878"/>
      <c r="K72" s="49">
        <f t="shared" si="11"/>
        <v>1</v>
      </c>
      <c r="L72" s="878"/>
      <c r="M72" s="49">
        <f t="shared" si="12"/>
        <v>1</v>
      </c>
      <c r="N72" s="878"/>
      <c r="O72" s="49">
        <f t="shared" si="13"/>
        <v>1</v>
      </c>
      <c r="P72" s="878"/>
      <c r="Q72" s="49">
        <f t="shared" si="14"/>
        <v>1</v>
      </c>
      <c r="R72" s="49">
        <f t="shared" si="15"/>
        <v>0</v>
      </c>
      <c r="S72" s="734">
        <f t="shared" si="16"/>
        <v>0</v>
      </c>
    </row>
    <row r="73" spans="1:19">
      <c r="A73" s="879"/>
      <c r="B73" s="126"/>
      <c r="C73" s="49">
        <f t="shared" si="7"/>
        <v>1</v>
      </c>
      <c r="D73" s="878"/>
      <c r="E73" s="49">
        <f t="shared" si="8"/>
        <v>1</v>
      </c>
      <c r="F73" s="878"/>
      <c r="G73" s="49">
        <f t="shared" si="9"/>
        <v>1</v>
      </c>
      <c r="H73" s="878"/>
      <c r="I73" s="49">
        <f t="shared" si="10"/>
        <v>1</v>
      </c>
      <c r="J73" s="878"/>
      <c r="K73" s="49">
        <f t="shared" si="11"/>
        <v>1</v>
      </c>
      <c r="L73" s="878"/>
      <c r="M73" s="49">
        <f t="shared" si="12"/>
        <v>1</v>
      </c>
      <c r="N73" s="878"/>
      <c r="O73" s="49">
        <f t="shared" si="13"/>
        <v>1</v>
      </c>
      <c r="P73" s="878"/>
      <c r="Q73" s="49">
        <f t="shared" si="14"/>
        <v>1</v>
      </c>
      <c r="R73" s="49">
        <f t="shared" si="15"/>
        <v>0</v>
      </c>
      <c r="S73" s="734">
        <f t="shared" si="16"/>
        <v>0</v>
      </c>
    </row>
    <row r="74" spans="1:19">
      <c r="A74" s="879"/>
      <c r="B74" s="126"/>
      <c r="C74" s="49">
        <f t="shared" si="7"/>
        <v>1</v>
      </c>
      <c r="D74" s="878"/>
      <c r="E74" s="49">
        <f t="shared" si="8"/>
        <v>1</v>
      </c>
      <c r="F74" s="878"/>
      <c r="G74" s="49">
        <f t="shared" si="9"/>
        <v>1</v>
      </c>
      <c r="H74" s="878"/>
      <c r="I74" s="49">
        <f t="shared" si="10"/>
        <v>1</v>
      </c>
      <c r="J74" s="878"/>
      <c r="K74" s="49">
        <f t="shared" si="11"/>
        <v>1</v>
      </c>
      <c r="L74" s="878"/>
      <c r="M74" s="49">
        <f t="shared" si="12"/>
        <v>1</v>
      </c>
      <c r="N74" s="878"/>
      <c r="O74" s="49">
        <f t="shared" si="13"/>
        <v>1</v>
      </c>
      <c r="P74" s="878"/>
      <c r="Q74" s="49">
        <f t="shared" si="14"/>
        <v>1</v>
      </c>
      <c r="R74" s="49">
        <f t="shared" si="15"/>
        <v>0</v>
      </c>
      <c r="S74" s="734">
        <f t="shared" si="16"/>
        <v>0</v>
      </c>
    </row>
    <row r="75" spans="1:19">
      <c r="A75" s="879"/>
      <c r="B75" s="126"/>
      <c r="C75" s="49">
        <f t="shared" si="7"/>
        <v>1</v>
      </c>
      <c r="D75" s="878"/>
      <c r="E75" s="49">
        <f t="shared" si="8"/>
        <v>1</v>
      </c>
      <c r="F75" s="878"/>
      <c r="G75" s="49">
        <f t="shared" si="9"/>
        <v>1</v>
      </c>
      <c r="H75" s="878"/>
      <c r="I75" s="49">
        <f t="shared" si="10"/>
        <v>1</v>
      </c>
      <c r="J75" s="878"/>
      <c r="K75" s="49">
        <f t="shared" si="11"/>
        <v>1</v>
      </c>
      <c r="L75" s="878"/>
      <c r="M75" s="49">
        <f t="shared" si="12"/>
        <v>1</v>
      </c>
      <c r="N75" s="878"/>
      <c r="O75" s="49">
        <f t="shared" si="13"/>
        <v>1</v>
      </c>
      <c r="P75" s="878"/>
      <c r="Q75" s="49">
        <f t="shared" si="14"/>
        <v>1</v>
      </c>
      <c r="R75" s="49">
        <f t="shared" si="15"/>
        <v>0</v>
      </c>
      <c r="S75" s="734">
        <f t="shared" si="16"/>
        <v>0</v>
      </c>
    </row>
    <row r="76" spans="1:19">
      <c r="A76" s="879"/>
      <c r="B76" s="126"/>
      <c r="C76" s="49">
        <f t="shared" si="7"/>
        <v>1</v>
      </c>
      <c r="D76" s="878"/>
      <c r="E76" s="49">
        <f t="shared" si="8"/>
        <v>1</v>
      </c>
      <c r="F76" s="878"/>
      <c r="G76" s="49">
        <f t="shared" si="9"/>
        <v>1</v>
      </c>
      <c r="H76" s="878"/>
      <c r="I76" s="49">
        <f t="shared" si="10"/>
        <v>1</v>
      </c>
      <c r="J76" s="878"/>
      <c r="K76" s="49">
        <f t="shared" si="11"/>
        <v>1</v>
      </c>
      <c r="L76" s="878"/>
      <c r="M76" s="49">
        <f t="shared" si="12"/>
        <v>1</v>
      </c>
      <c r="N76" s="878"/>
      <c r="O76" s="49">
        <f t="shared" si="13"/>
        <v>1</v>
      </c>
      <c r="P76" s="878"/>
      <c r="Q76" s="49">
        <f t="shared" si="14"/>
        <v>1</v>
      </c>
      <c r="R76" s="49">
        <f t="shared" si="15"/>
        <v>0</v>
      </c>
      <c r="S76" s="734">
        <f t="shared" si="16"/>
        <v>0</v>
      </c>
    </row>
    <row r="77" spans="1:19">
      <c r="A77" s="879"/>
      <c r="B77" s="126"/>
      <c r="C77" s="49">
        <f t="shared" si="7"/>
        <v>1</v>
      </c>
      <c r="D77" s="878"/>
      <c r="E77" s="49">
        <f t="shared" si="8"/>
        <v>1</v>
      </c>
      <c r="F77" s="878"/>
      <c r="G77" s="49">
        <f t="shared" si="9"/>
        <v>1</v>
      </c>
      <c r="H77" s="878"/>
      <c r="I77" s="49">
        <f t="shared" si="10"/>
        <v>1</v>
      </c>
      <c r="J77" s="878"/>
      <c r="K77" s="49">
        <f t="shared" si="11"/>
        <v>1</v>
      </c>
      <c r="L77" s="878"/>
      <c r="M77" s="49">
        <f t="shared" si="12"/>
        <v>1</v>
      </c>
      <c r="N77" s="878"/>
      <c r="O77" s="49">
        <f t="shared" si="13"/>
        <v>1</v>
      </c>
      <c r="P77" s="878"/>
      <c r="Q77" s="49">
        <f t="shared" si="14"/>
        <v>1</v>
      </c>
      <c r="R77" s="49">
        <f t="shared" si="15"/>
        <v>0</v>
      </c>
      <c r="S77" s="734">
        <f t="shared" si="16"/>
        <v>0</v>
      </c>
    </row>
    <row r="78" spans="1:19">
      <c r="A78" s="879"/>
      <c r="B78" s="126"/>
      <c r="C78" s="49">
        <f t="shared" si="7"/>
        <v>1</v>
      </c>
      <c r="D78" s="878"/>
      <c r="E78" s="49">
        <f t="shared" si="8"/>
        <v>1</v>
      </c>
      <c r="F78" s="878"/>
      <c r="G78" s="49">
        <f t="shared" si="9"/>
        <v>1</v>
      </c>
      <c r="H78" s="878"/>
      <c r="I78" s="49">
        <f t="shared" si="10"/>
        <v>1</v>
      </c>
      <c r="J78" s="878"/>
      <c r="K78" s="49">
        <f t="shared" si="11"/>
        <v>1</v>
      </c>
      <c r="L78" s="878"/>
      <c r="M78" s="49">
        <f t="shared" si="12"/>
        <v>1</v>
      </c>
      <c r="N78" s="878"/>
      <c r="O78" s="49">
        <f t="shared" si="13"/>
        <v>1</v>
      </c>
      <c r="P78" s="878"/>
      <c r="Q78" s="49">
        <f t="shared" si="14"/>
        <v>1</v>
      </c>
      <c r="R78" s="49">
        <f t="shared" si="15"/>
        <v>0</v>
      </c>
      <c r="S78" s="734">
        <f t="shared" ref="S78:S122" si="17">ROUND(R78*B78/10000,0)</f>
        <v>0</v>
      </c>
    </row>
    <row r="79" spans="1:19">
      <c r="A79" s="879"/>
      <c r="B79" s="126"/>
      <c r="C79" s="49">
        <f t="shared" si="7"/>
        <v>1</v>
      </c>
      <c r="D79" s="878"/>
      <c r="E79" s="49">
        <f t="shared" si="8"/>
        <v>1</v>
      </c>
      <c r="F79" s="878"/>
      <c r="G79" s="49">
        <f t="shared" si="9"/>
        <v>1</v>
      </c>
      <c r="H79" s="878"/>
      <c r="I79" s="49">
        <f t="shared" si="10"/>
        <v>1</v>
      </c>
      <c r="J79" s="878"/>
      <c r="K79" s="49">
        <f t="shared" si="11"/>
        <v>1</v>
      </c>
      <c r="L79" s="878"/>
      <c r="M79" s="49">
        <f t="shared" si="12"/>
        <v>1</v>
      </c>
      <c r="N79" s="878"/>
      <c r="O79" s="49">
        <f t="shared" si="13"/>
        <v>1</v>
      </c>
      <c r="P79" s="878"/>
      <c r="Q79" s="49">
        <f t="shared" si="14"/>
        <v>1</v>
      </c>
      <c r="R79" s="49">
        <f t="shared" si="15"/>
        <v>0</v>
      </c>
      <c r="S79" s="734">
        <f t="shared" si="17"/>
        <v>0</v>
      </c>
    </row>
    <row r="80" spans="1:19">
      <c r="A80" s="879"/>
      <c r="B80" s="126"/>
      <c r="C80" s="49">
        <f t="shared" si="7"/>
        <v>1</v>
      </c>
      <c r="D80" s="878"/>
      <c r="E80" s="49">
        <f t="shared" si="8"/>
        <v>1</v>
      </c>
      <c r="F80" s="878"/>
      <c r="G80" s="49">
        <f t="shared" si="9"/>
        <v>1</v>
      </c>
      <c r="H80" s="878"/>
      <c r="I80" s="49">
        <f t="shared" si="10"/>
        <v>1</v>
      </c>
      <c r="J80" s="878"/>
      <c r="K80" s="49">
        <f t="shared" si="11"/>
        <v>1</v>
      </c>
      <c r="L80" s="878"/>
      <c r="M80" s="49">
        <f t="shared" si="12"/>
        <v>1</v>
      </c>
      <c r="N80" s="878"/>
      <c r="O80" s="49">
        <f t="shared" si="13"/>
        <v>1</v>
      </c>
      <c r="P80" s="878"/>
      <c r="Q80" s="49">
        <f t="shared" si="14"/>
        <v>1</v>
      </c>
      <c r="R80" s="49">
        <f t="shared" si="15"/>
        <v>0</v>
      </c>
      <c r="S80" s="734">
        <f t="shared" si="17"/>
        <v>0</v>
      </c>
    </row>
    <row r="81" spans="1:19">
      <c r="A81" s="879"/>
      <c r="B81" s="126"/>
      <c r="C81" s="49">
        <f t="shared" si="7"/>
        <v>1</v>
      </c>
      <c r="D81" s="878"/>
      <c r="E81" s="49">
        <f t="shared" si="8"/>
        <v>1</v>
      </c>
      <c r="F81" s="878"/>
      <c r="G81" s="49">
        <f t="shared" si="9"/>
        <v>1</v>
      </c>
      <c r="H81" s="878"/>
      <c r="I81" s="49">
        <f t="shared" si="10"/>
        <v>1</v>
      </c>
      <c r="J81" s="878"/>
      <c r="K81" s="49">
        <f t="shared" si="11"/>
        <v>1</v>
      </c>
      <c r="L81" s="878"/>
      <c r="M81" s="49">
        <f t="shared" si="12"/>
        <v>1</v>
      </c>
      <c r="N81" s="878"/>
      <c r="O81" s="49">
        <f t="shared" si="13"/>
        <v>1</v>
      </c>
      <c r="P81" s="878"/>
      <c r="Q81" s="49">
        <f t="shared" si="14"/>
        <v>1</v>
      </c>
      <c r="R81" s="49">
        <f t="shared" si="15"/>
        <v>0</v>
      </c>
      <c r="S81" s="734">
        <f t="shared" si="17"/>
        <v>0</v>
      </c>
    </row>
    <row r="82" spans="1:19">
      <c r="A82" s="879"/>
      <c r="B82" s="126"/>
      <c r="C82" s="49">
        <f t="shared" si="7"/>
        <v>1</v>
      </c>
      <c r="D82" s="878"/>
      <c r="E82" s="49">
        <f t="shared" si="8"/>
        <v>1</v>
      </c>
      <c r="F82" s="878"/>
      <c r="G82" s="49">
        <f t="shared" si="9"/>
        <v>1</v>
      </c>
      <c r="H82" s="878"/>
      <c r="I82" s="49">
        <f t="shared" si="10"/>
        <v>1</v>
      </c>
      <c r="J82" s="878"/>
      <c r="K82" s="49">
        <f t="shared" si="11"/>
        <v>1</v>
      </c>
      <c r="L82" s="878"/>
      <c r="M82" s="49">
        <f t="shared" si="12"/>
        <v>1</v>
      </c>
      <c r="N82" s="878"/>
      <c r="O82" s="49">
        <f t="shared" si="13"/>
        <v>1</v>
      </c>
      <c r="P82" s="878"/>
      <c r="Q82" s="49">
        <f t="shared" si="14"/>
        <v>1</v>
      </c>
      <c r="R82" s="49">
        <f t="shared" si="15"/>
        <v>0</v>
      </c>
      <c r="S82" s="734">
        <f t="shared" si="17"/>
        <v>0</v>
      </c>
    </row>
    <row r="83" spans="1:19">
      <c r="A83" s="879"/>
      <c r="B83" s="126"/>
      <c r="C83" s="49">
        <f t="shared" si="7"/>
        <v>1</v>
      </c>
      <c r="D83" s="878"/>
      <c r="E83" s="49">
        <f t="shared" si="8"/>
        <v>1</v>
      </c>
      <c r="F83" s="878"/>
      <c r="G83" s="49">
        <f t="shared" si="9"/>
        <v>1</v>
      </c>
      <c r="H83" s="878"/>
      <c r="I83" s="49">
        <f t="shared" si="10"/>
        <v>1</v>
      </c>
      <c r="J83" s="878"/>
      <c r="K83" s="49">
        <f t="shared" si="11"/>
        <v>1</v>
      </c>
      <c r="L83" s="878"/>
      <c r="M83" s="49">
        <f t="shared" si="12"/>
        <v>1</v>
      </c>
      <c r="N83" s="878"/>
      <c r="O83" s="49">
        <f t="shared" si="13"/>
        <v>1</v>
      </c>
      <c r="P83" s="878"/>
      <c r="Q83" s="49">
        <f t="shared" si="14"/>
        <v>1</v>
      </c>
      <c r="R83" s="49">
        <f t="shared" si="15"/>
        <v>0</v>
      </c>
      <c r="S83" s="734">
        <f t="shared" si="17"/>
        <v>0</v>
      </c>
    </row>
    <row r="84" spans="1:19">
      <c r="A84" s="879"/>
      <c r="B84" s="126"/>
      <c r="C84" s="49">
        <f t="shared" si="7"/>
        <v>1</v>
      </c>
      <c r="D84" s="878"/>
      <c r="E84" s="49">
        <f t="shared" si="8"/>
        <v>1</v>
      </c>
      <c r="F84" s="878"/>
      <c r="G84" s="49">
        <f t="shared" si="9"/>
        <v>1</v>
      </c>
      <c r="H84" s="878"/>
      <c r="I84" s="49">
        <f t="shared" si="10"/>
        <v>1</v>
      </c>
      <c r="J84" s="878"/>
      <c r="K84" s="49">
        <f t="shared" si="11"/>
        <v>1</v>
      </c>
      <c r="L84" s="878"/>
      <c r="M84" s="49">
        <f t="shared" si="12"/>
        <v>1</v>
      </c>
      <c r="N84" s="878"/>
      <c r="O84" s="49">
        <f t="shared" si="13"/>
        <v>1</v>
      </c>
      <c r="P84" s="878"/>
      <c r="Q84" s="49">
        <f t="shared" si="14"/>
        <v>1</v>
      </c>
      <c r="R84" s="49">
        <f t="shared" si="15"/>
        <v>0</v>
      </c>
      <c r="S84" s="734">
        <f t="shared" si="17"/>
        <v>0</v>
      </c>
    </row>
    <row r="85" spans="1:19">
      <c r="A85" s="879"/>
      <c r="B85" s="126"/>
      <c r="C85" s="49">
        <f t="shared" si="7"/>
        <v>1</v>
      </c>
      <c r="D85" s="878"/>
      <c r="E85" s="49">
        <f t="shared" si="8"/>
        <v>1</v>
      </c>
      <c r="F85" s="878"/>
      <c r="G85" s="49">
        <f t="shared" si="9"/>
        <v>1</v>
      </c>
      <c r="H85" s="878"/>
      <c r="I85" s="49">
        <f t="shared" si="10"/>
        <v>1</v>
      </c>
      <c r="J85" s="878"/>
      <c r="K85" s="49">
        <f t="shared" si="11"/>
        <v>1</v>
      </c>
      <c r="L85" s="878"/>
      <c r="M85" s="49">
        <f t="shared" si="12"/>
        <v>1</v>
      </c>
      <c r="N85" s="878"/>
      <c r="O85" s="49">
        <f t="shared" si="13"/>
        <v>1</v>
      </c>
      <c r="P85" s="878"/>
      <c r="Q85" s="49">
        <f t="shared" si="14"/>
        <v>1</v>
      </c>
      <c r="R85" s="49">
        <f t="shared" si="15"/>
        <v>0</v>
      </c>
      <c r="S85" s="734">
        <f t="shared" si="17"/>
        <v>0</v>
      </c>
    </row>
    <row r="86" spans="1:19">
      <c r="A86" s="879"/>
      <c r="B86" s="126"/>
      <c r="C86" s="49">
        <f t="shared" si="7"/>
        <v>1</v>
      </c>
      <c r="D86" s="878"/>
      <c r="E86" s="49">
        <f t="shared" si="8"/>
        <v>1</v>
      </c>
      <c r="F86" s="878"/>
      <c r="G86" s="49">
        <f t="shared" si="9"/>
        <v>1</v>
      </c>
      <c r="H86" s="878"/>
      <c r="I86" s="49">
        <f t="shared" si="10"/>
        <v>1</v>
      </c>
      <c r="J86" s="878"/>
      <c r="K86" s="49">
        <f t="shared" si="11"/>
        <v>1</v>
      </c>
      <c r="L86" s="878"/>
      <c r="M86" s="49">
        <f t="shared" si="12"/>
        <v>1</v>
      </c>
      <c r="N86" s="878"/>
      <c r="O86" s="49">
        <f t="shared" si="13"/>
        <v>1</v>
      </c>
      <c r="P86" s="878"/>
      <c r="Q86" s="49">
        <f t="shared" si="14"/>
        <v>1</v>
      </c>
      <c r="R86" s="49">
        <f t="shared" si="15"/>
        <v>0</v>
      </c>
      <c r="S86" s="734">
        <f t="shared" si="17"/>
        <v>0</v>
      </c>
    </row>
    <row r="87" spans="1:19">
      <c r="A87" s="879"/>
      <c r="B87" s="126"/>
      <c r="C87" s="49">
        <f t="shared" si="7"/>
        <v>1</v>
      </c>
      <c r="D87" s="878"/>
      <c r="E87" s="49">
        <f t="shared" si="8"/>
        <v>1</v>
      </c>
      <c r="F87" s="878"/>
      <c r="G87" s="49">
        <f t="shared" si="9"/>
        <v>1</v>
      </c>
      <c r="H87" s="878"/>
      <c r="I87" s="49">
        <f t="shared" si="10"/>
        <v>1</v>
      </c>
      <c r="J87" s="878"/>
      <c r="K87" s="49">
        <f t="shared" si="11"/>
        <v>1</v>
      </c>
      <c r="L87" s="878"/>
      <c r="M87" s="49">
        <f t="shared" si="12"/>
        <v>1</v>
      </c>
      <c r="N87" s="878"/>
      <c r="O87" s="49">
        <f t="shared" si="13"/>
        <v>1</v>
      </c>
      <c r="P87" s="878"/>
      <c r="Q87" s="49">
        <f t="shared" si="14"/>
        <v>1</v>
      </c>
      <c r="R87" s="49">
        <f t="shared" si="15"/>
        <v>0</v>
      </c>
      <c r="S87" s="734">
        <f t="shared" si="17"/>
        <v>0</v>
      </c>
    </row>
    <row r="88" spans="1:19">
      <c r="A88" s="879"/>
      <c r="B88" s="126"/>
      <c r="C88" s="49">
        <f t="shared" si="7"/>
        <v>1</v>
      </c>
      <c r="D88" s="878"/>
      <c r="E88" s="49">
        <f t="shared" si="8"/>
        <v>1</v>
      </c>
      <c r="F88" s="878"/>
      <c r="G88" s="49">
        <f t="shared" si="9"/>
        <v>1</v>
      </c>
      <c r="H88" s="878"/>
      <c r="I88" s="49">
        <f t="shared" si="10"/>
        <v>1</v>
      </c>
      <c r="J88" s="878"/>
      <c r="K88" s="49">
        <f t="shared" si="11"/>
        <v>1</v>
      </c>
      <c r="L88" s="878"/>
      <c r="M88" s="49">
        <f t="shared" si="12"/>
        <v>1</v>
      </c>
      <c r="N88" s="878"/>
      <c r="O88" s="49">
        <f t="shared" si="13"/>
        <v>1</v>
      </c>
      <c r="P88" s="878"/>
      <c r="Q88" s="49">
        <f t="shared" si="14"/>
        <v>1</v>
      </c>
      <c r="R88" s="49">
        <f t="shared" si="15"/>
        <v>0</v>
      </c>
      <c r="S88" s="734">
        <f t="shared" si="17"/>
        <v>0</v>
      </c>
    </row>
    <row r="89" spans="1:19">
      <c r="A89" s="879"/>
      <c r="B89" s="126"/>
      <c r="C89" s="49">
        <f t="shared" si="7"/>
        <v>1</v>
      </c>
      <c r="D89" s="878"/>
      <c r="E89" s="49">
        <f t="shared" si="8"/>
        <v>1</v>
      </c>
      <c r="F89" s="878"/>
      <c r="G89" s="49">
        <f t="shared" si="9"/>
        <v>1</v>
      </c>
      <c r="H89" s="878"/>
      <c r="I89" s="49">
        <f t="shared" si="10"/>
        <v>1</v>
      </c>
      <c r="J89" s="878"/>
      <c r="K89" s="49">
        <f t="shared" si="11"/>
        <v>1</v>
      </c>
      <c r="L89" s="878"/>
      <c r="M89" s="49">
        <f t="shared" si="12"/>
        <v>1</v>
      </c>
      <c r="N89" s="878"/>
      <c r="O89" s="49">
        <f t="shared" si="13"/>
        <v>1</v>
      </c>
      <c r="P89" s="878"/>
      <c r="Q89" s="49">
        <f t="shared" si="14"/>
        <v>1</v>
      </c>
      <c r="R89" s="49">
        <f t="shared" si="15"/>
        <v>0</v>
      </c>
      <c r="S89" s="734">
        <f t="shared" si="17"/>
        <v>0</v>
      </c>
    </row>
    <row r="90" spans="1:19">
      <c r="A90" s="879"/>
      <c r="B90" s="126"/>
      <c r="C90" s="49">
        <f t="shared" ref="C90:C153" si="18">IF(B90="",1,(LOOKUP(B90,$3:$3,$4:$4)-LOOKUP($B$24,$3:$3,$4:$4)+100)/100)</f>
        <v>1</v>
      </c>
      <c r="D90" s="878"/>
      <c r="E90" s="49">
        <f t="shared" ref="E90:E153" si="19">(SUMIF($5:$5,D90,$6:$6)-SUMIF($5:$5,$D$24,$6:$6)+100)/100</f>
        <v>1</v>
      </c>
      <c r="F90" s="878"/>
      <c r="G90" s="49">
        <f t="shared" ref="G90:G153" si="20">(SUMIF($7:$7,F90,$8:$8)-SUMIF($7:$7,$F$24,$8:$8)+100)/100</f>
        <v>1</v>
      </c>
      <c r="H90" s="878"/>
      <c r="I90" s="49">
        <f t="shared" ref="I90:I153" si="21">(SUMIF($9:$9,H90,$10:$10)-SUMIF($9:$9,$H$24,$10:$10)+100)/100</f>
        <v>1</v>
      </c>
      <c r="J90" s="878"/>
      <c r="K90" s="49">
        <f t="shared" ref="K90:K153" si="22">(SUMIF($11:$11,J90,$12:$12)-SUMIF($11:$11,$J$24,$12:$12)+100)/100</f>
        <v>1</v>
      </c>
      <c r="L90" s="878"/>
      <c r="M90" s="49">
        <f t="shared" ref="M90:M153" si="23">(SUMIF($13:$13,L90,$14:$14)-SUMIF($13:$13,$L$24,$14:$14)+100)/100</f>
        <v>1</v>
      </c>
      <c r="N90" s="878"/>
      <c r="O90" s="49">
        <f t="shared" ref="O90:O153" si="24">(SUMIF($15:$15,N90,$16:$16)-SUMIF($15:$15,$N$24,$16:$16)+100)/100</f>
        <v>1</v>
      </c>
      <c r="P90" s="878"/>
      <c r="Q90" s="49">
        <f t="shared" ref="Q90:Q153" si="25">(SUMIF($17:$17,P90,$18:$18)-SUMIF($17:$17,$P$24,$18:$18)+100)/100</f>
        <v>1</v>
      </c>
      <c r="R90" s="49">
        <f t="shared" ref="R90:R153" si="26">IF(B90="",0,ROUND($R$24*C90*E90*G90*I90*K90*M90*O90*Q90,0))</f>
        <v>0</v>
      </c>
      <c r="S90" s="734">
        <f t="shared" si="17"/>
        <v>0</v>
      </c>
    </row>
    <row r="91" spans="1:19">
      <c r="A91" s="879"/>
      <c r="B91" s="126"/>
      <c r="C91" s="49">
        <f t="shared" si="18"/>
        <v>1</v>
      </c>
      <c r="D91" s="878"/>
      <c r="E91" s="49">
        <f t="shared" si="19"/>
        <v>1</v>
      </c>
      <c r="F91" s="878"/>
      <c r="G91" s="49">
        <f t="shared" si="20"/>
        <v>1</v>
      </c>
      <c r="H91" s="878"/>
      <c r="I91" s="49">
        <f t="shared" si="21"/>
        <v>1</v>
      </c>
      <c r="J91" s="878"/>
      <c r="K91" s="49">
        <f t="shared" si="22"/>
        <v>1</v>
      </c>
      <c r="L91" s="878"/>
      <c r="M91" s="49">
        <f t="shared" si="23"/>
        <v>1</v>
      </c>
      <c r="N91" s="878"/>
      <c r="O91" s="49">
        <f t="shared" si="24"/>
        <v>1</v>
      </c>
      <c r="P91" s="878"/>
      <c r="Q91" s="49">
        <f t="shared" si="25"/>
        <v>1</v>
      </c>
      <c r="R91" s="49">
        <f t="shared" si="26"/>
        <v>0</v>
      </c>
      <c r="S91" s="734">
        <f t="shared" si="17"/>
        <v>0</v>
      </c>
    </row>
    <row r="92" spans="1:19">
      <c r="A92" s="879"/>
      <c r="B92" s="126"/>
      <c r="C92" s="49">
        <f t="shared" si="18"/>
        <v>1</v>
      </c>
      <c r="D92" s="878"/>
      <c r="E92" s="49">
        <f t="shared" si="19"/>
        <v>1</v>
      </c>
      <c r="F92" s="878"/>
      <c r="G92" s="49">
        <f t="shared" si="20"/>
        <v>1</v>
      </c>
      <c r="H92" s="878"/>
      <c r="I92" s="49">
        <f t="shared" si="21"/>
        <v>1</v>
      </c>
      <c r="J92" s="878"/>
      <c r="K92" s="49">
        <f t="shared" si="22"/>
        <v>1</v>
      </c>
      <c r="L92" s="878"/>
      <c r="M92" s="49">
        <f t="shared" si="23"/>
        <v>1</v>
      </c>
      <c r="N92" s="878"/>
      <c r="O92" s="49">
        <f t="shared" si="24"/>
        <v>1</v>
      </c>
      <c r="P92" s="878"/>
      <c r="Q92" s="49">
        <f t="shared" si="25"/>
        <v>1</v>
      </c>
      <c r="R92" s="49">
        <f t="shared" si="26"/>
        <v>0</v>
      </c>
      <c r="S92" s="734">
        <f t="shared" si="17"/>
        <v>0</v>
      </c>
    </row>
    <row r="93" spans="1:19">
      <c r="A93" s="879"/>
      <c r="B93" s="126"/>
      <c r="C93" s="49">
        <f t="shared" si="18"/>
        <v>1</v>
      </c>
      <c r="D93" s="878"/>
      <c r="E93" s="49">
        <f t="shared" si="19"/>
        <v>1</v>
      </c>
      <c r="F93" s="878"/>
      <c r="G93" s="49">
        <f t="shared" si="20"/>
        <v>1</v>
      </c>
      <c r="H93" s="878"/>
      <c r="I93" s="49">
        <f t="shared" si="21"/>
        <v>1</v>
      </c>
      <c r="J93" s="878"/>
      <c r="K93" s="49">
        <f t="shared" si="22"/>
        <v>1</v>
      </c>
      <c r="L93" s="878"/>
      <c r="M93" s="49">
        <f t="shared" si="23"/>
        <v>1</v>
      </c>
      <c r="N93" s="878"/>
      <c r="O93" s="49">
        <f t="shared" si="24"/>
        <v>1</v>
      </c>
      <c r="P93" s="878"/>
      <c r="Q93" s="49">
        <f t="shared" si="25"/>
        <v>1</v>
      </c>
      <c r="R93" s="49">
        <f t="shared" si="26"/>
        <v>0</v>
      </c>
      <c r="S93" s="734">
        <f t="shared" si="17"/>
        <v>0</v>
      </c>
    </row>
    <row r="94" spans="1:19">
      <c r="A94" s="879"/>
      <c r="B94" s="126"/>
      <c r="C94" s="49">
        <f t="shared" si="18"/>
        <v>1</v>
      </c>
      <c r="D94" s="878"/>
      <c r="E94" s="49">
        <f t="shared" si="19"/>
        <v>1</v>
      </c>
      <c r="F94" s="878"/>
      <c r="G94" s="49">
        <f t="shared" si="20"/>
        <v>1</v>
      </c>
      <c r="H94" s="878"/>
      <c r="I94" s="49">
        <f t="shared" si="21"/>
        <v>1</v>
      </c>
      <c r="J94" s="878"/>
      <c r="K94" s="49">
        <f t="shared" si="22"/>
        <v>1</v>
      </c>
      <c r="L94" s="878"/>
      <c r="M94" s="49">
        <f t="shared" si="23"/>
        <v>1</v>
      </c>
      <c r="N94" s="878"/>
      <c r="O94" s="49">
        <f t="shared" si="24"/>
        <v>1</v>
      </c>
      <c r="P94" s="878"/>
      <c r="Q94" s="49">
        <f t="shared" si="25"/>
        <v>1</v>
      </c>
      <c r="R94" s="49">
        <f t="shared" si="26"/>
        <v>0</v>
      </c>
      <c r="S94" s="734">
        <f t="shared" si="17"/>
        <v>0</v>
      </c>
    </row>
    <row r="95" spans="1:19">
      <c r="A95" s="879"/>
      <c r="B95" s="126"/>
      <c r="C95" s="49">
        <f t="shared" si="18"/>
        <v>1</v>
      </c>
      <c r="D95" s="878"/>
      <c r="E95" s="49">
        <f t="shared" si="19"/>
        <v>1</v>
      </c>
      <c r="F95" s="878"/>
      <c r="G95" s="49">
        <f t="shared" si="20"/>
        <v>1</v>
      </c>
      <c r="H95" s="878"/>
      <c r="I95" s="49">
        <f t="shared" si="21"/>
        <v>1</v>
      </c>
      <c r="J95" s="878"/>
      <c r="K95" s="49">
        <f t="shared" si="22"/>
        <v>1</v>
      </c>
      <c r="L95" s="878"/>
      <c r="M95" s="49">
        <f t="shared" si="23"/>
        <v>1</v>
      </c>
      <c r="N95" s="878"/>
      <c r="O95" s="49">
        <f t="shared" si="24"/>
        <v>1</v>
      </c>
      <c r="P95" s="878"/>
      <c r="Q95" s="49">
        <f t="shared" si="25"/>
        <v>1</v>
      </c>
      <c r="R95" s="49">
        <f t="shared" si="26"/>
        <v>0</v>
      </c>
      <c r="S95" s="734">
        <f t="shared" si="17"/>
        <v>0</v>
      </c>
    </row>
    <row r="96" spans="1:19">
      <c r="A96" s="879"/>
      <c r="B96" s="126"/>
      <c r="C96" s="49">
        <f t="shared" si="18"/>
        <v>1</v>
      </c>
      <c r="D96" s="878"/>
      <c r="E96" s="49">
        <f t="shared" si="19"/>
        <v>1</v>
      </c>
      <c r="F96" s="878"/>
      <c r="G96" s="49">
        <f t="shared" si="20"/>
        <v>1</v>
      </c>
      <c r="H96" s="878"/>
      <c r="I96" s="49">
        <f t="shared" si="21"/>
        <v>1</v>
      </c>
      <c r="J96" s="878"/>
      <c r="K96" s="49">
        <f t="shared" si="22"/>
        <v>1</v>
      </c>
      <c r="L96" s="878"/>
      <c r="M96" s="49">
        <f t="shared" si="23"/>
        <v>1</v>
      </c>
      <c r="N96" s="878"/>
      <c r="O96" s="49">
        <f t="shared" si="24"/>
        <v>1</v>
      </c>
      <c r="P96" s="878"/>
      <c r="Q96" s="49">
        <f t="shared" si="25"/>
        <v>1</v>
      </c>
      <c r="R96" s="49">
        <f t="shared" si="26"/>
        <v>0</v>
      </c>
      <c r="S96" s="734">
        <f t="shared" si="17"/>
        <v>0</v>
      </c>
    </row>
    <row r="97" spans="1:19">
      <c r="A97" s="879"/>
      <c r="B97" s="126"/>
      <c r="C97" s="49">
        <f t="shared" si="18"/>
        <v>1</v>
      </c>
      <c r="D97" s="878"/>
      <c r="E97" s="49">
        <f t="shared" si="19"/>
        <v>1</v>
      </c>
      <c r="F97" s="878"/>
      <c r="G97" s="49">
        <f t="shared" si="20"/>
        <v>1</v>
      </c>
      <c r="H97" s="878"/>
      <c r="I97" s="49">
        <f t="shared" si="21"/>
        <v>1</v>
      </c>
      <c r="J97" s="878"/>
      <c r="K97" s="49">
        <f t="shared" si="22"/>
        <v>1</v>
      </c>
      <c r="L97" s="878"/>
      <c r="M97" s="49">
        <f t="shared" si="23"/>
        <v>1</v>
      </c>
      <c r="N97" s="878"/>
      <c r="O97" s="49">
        <f t="shared" si="24"/>
        <v>1</v>
      </c>
      <c r="P97" s="878"/>
      <c r="Q97" s="49">
        <f t="shared" si="25"/>
        <v>1</v>
      </c>
      <c r="R97" s="49">
        <f t="shared" si="26"/>
        <v>0</v>
      </c>
      <c r="S97" s="734">
        <f t="shared" si="17"/>
        <v>0</v>
      </c>
    </row>
    <row r="98" spans="1:19">
      <c r="A98" s="879"/>
      <c r="B98" s="126"/>
      <c r="C98" s="49">
        <f t="shared" si="18"/>
        <v>1</v>
      </c>
      <c r="D98" s="878"/>
      <c r="E98" s="49">
        <f t="shared" si="19"/>
        <v>1</v>
      </c>
      <c r="F98" s="878"/>
      <c r="G98" s="49">
        <f t="shared" si="20"/>
        <v>1</v>
      </c>
      <c r="H98" s="878"/>
      <c r="I98" s="49">
        <f t="shared" si="21"/>
        <v>1</v>
      </c>
      <c r="J98" s="878"/>
      <c r="K98" s="49">
        <f t="shared" si="22"/>
        <v>1</v>
      </c>
      <c r="L98" s="878"/>
      <c r="M98" s="49">
        <f t="shared" si="23"/>
        <v>1</v>
      </c>
      <c r="N98" s="878"/>
      <c r="O98" s="49">
        <f t="shared" si="24"/>
        <v>1</v>
      </c>
      <c r="P98" s="878"/>
      <c r="Q98" s="49">
        <f t="shared" si="25"/>
        <v>1</v>
      </c>
      <c r="R98" s="49">
        <f t="shared" si="26"/>
        <v>0</v>
      </c>
      <c r="S98" s="734">
        <f t="shared" si="17"/>
        <v>0</v>
      </c>
    </row>
    <row r="99" spans="1:19">
      <c r="A99" s="879"/>
      <c r="B99" s="126"/>
      <c r="C99" s="49">
        <f t="shared" si="18"/>
        <v>1</v>
      </c>
      <c r="D99" s="878"/>
      <c r="E99" s="49">
        <f t="shared" si="19"/>
        <v>1</v>
      </c>
      <c r="F99" s="878"/>
      <c r="G99" s="49">
        <f t="shared" si="20"/>
        <v>1</v>
      </c>
      <c r="H99" s="878"/>
      <c r="I99" s="49">
        <f t="shared" si="21"/>
        <v>1</v>
      </c>
      <c r="J99" s="878"/>
      <c r="K99" s="49">
        <f t="shared" si="22"/>
        <v>1</v>
      </c>
      <c r="L99" s="878"/>
      <c r="M99" s="49">
        <f t="shared" si="23"/>
        <v>1</v>
      </c>
      <c r="N99" s="878"/>
      <c r="O99" s="49">
        <f t="shared" si="24"/>
        <v>1</v>
      </c>
      <c r="P99" s="878"/>
      <c r="Q99" s="49">
        <f t="shared" si="25"/>
        <v>1</v>
      </c>
      <c r="R99" s="49">
        <f t="shared" si="26"/>
        <v>0</v>
      </c>
      <c r="S99" s="734">
        <f t="shared" si="17"/>
        <v>0</v>
      </c>
    </row>
    <row r="100" spans="1:19">
      <c r="A100" s="879"/>
      <c r="B100" s="126"/>
      <c r="C100" s="49">
        <f t="shared" si="18"/>
        <v>1</v>
      </c>
      <c r="D100" s="878"/>
      <c r="E100" s="49">
        <f t="shared" si="19"/>
        <v>1</v>
      </c>
      <c r="F100" s="878"/>
      <c r="G100" s="49">
        <f t="shared" si="20"/>
        <v>1</v>
      </c>
      <c r="H100" s="878"/>
      <c r="I100" s="49">
        <f t="shared" si="21"/>
        <v>1</v>
      </c>
      <c r="J100" s="878"/>
      <c r="K100" s="49">
        <f t="shared" si="22"/>
        <v>1</v>
      </c>
      <c r="L100" s="878"/>
      <c r="M100" s="49">
        <f t="shared" si="23"/>
        <v>1</v>
      </c>
      <c r="N100" s="878"/>
      <c r="O100" s="49">
        <f t="shared" si="24"/>
        <v>1</v>
      </c>
      <c r="P100" s="878"/>
      <c r="Q100" s="49">
        <f t="shared" si="25"/>
        <v>1</v>
      </c>
      <c r="R100" s="49">
        <f t="shared" si="26"/>
        <v>0</v>
      </c>
      <c r="S100" s="734">
        <f t="shared" si="17"/>
        <v>0</v>
      </c>
    </row>
    <row r="101" spans="1:19">
      <c r="A101" s="879"/>
      <c r="B101" s="126"/>
      <c r="C101" s="49">
        <f t="shared" si="18"/>
        <v>1</v>
      </c>
      <c r="D101" s="878"/>
      <c r="E101" s="49">
        <f t="shared" si="19"/>
        <v>1</v>
      </c>
      <c r="F101" s="878"/>
      <c r="G101" s="49">
        <f t="shared" si="20"/>
        <v>1</v>
      </c>
      <c r="H101" s="878"/>
      <c r="I101" s="49">
        <f t="shared" si="21"/>
        <v>1</v>
      </c>
      <c r="J101" s="878"/>
      <c r="K101" s="49">
        <f t="shared" si="22"/>
        <v>1</v>
      </c>
      <c r="L101" s="878"/>
      <c r="M101" s="49">
        <f t="shared" si="23"/>
        <v>1</v>
      </c>
      <c r="N101" s="878"/>
      <c r="O101" s="49">
        <f t="shared" si="24"/>
        <v>1</v>
      </c>
      <c r="P101" s="878"/>
      <c r="Q101" s="49">
        <f t="shared" si="25"/>
        <v>1</v>
      </c>
      <c r="R101" s="49">
        <f t="shared" si="26"/>
        <v>0</v>
      </c>
      <c r="S101" s="734">
        <f t="shared" si="17"/>
        <v>0</v>
      </c>
    </row>
    <row r="102" spans="1:19">
      <c r="A102" s="879"/>
      <c r="B102" s="126"/>
      <c r="C102" s="49">
        <f t="shared" si="18"/>
        <v>1</v>
      </c>
      <c r="D102" s="878"/>
      <c r="E102" s="49">
        <f t="shared" si="19"/>
        <v>1</v>
      </c>
      <c r="F102" s="878"/>
      <c r="G102" s="49">
        <f t="shared" si="20"/>
        <v>1</v>
      </c>
      <c r="H102" s="878"/>
      <c r="I102" s="49">
        <f t="shared" si="21"/>
        <v>1</v>
      </c>
      <c r="J102" s="878"/>
      <c r="K102" s="49">
        <f t="shared" si="22"/>
        <v>1</v>
      </c>
      <c r="L102" s="878"/>
      <c r="M102" s="49">
        <f t="shared" si="23"/>
        <v>1</v>
      </c>
      <c r="N102" s="878"/>
      <c r="O102" s="49">
        <f t="shared" si="24"/>
        <v>1</v>
      </c>
      <c r="P102" s="878"/>
      <c r="Q102" s="49">
        <f t="shared" si="25"/>
        <v>1</v>
      </c>
      <c r="R102" s="49">
        <f t="shared" si="26"/>
        <v>0</v>
      </c>
      <c r="S102" s="734">
        <f t="shared" si="17"/>
        <v>0</v>
      </c>
    </row>
    <row r="103" spans="1:19">
      <c r="A103" s="879"/>
      <c r="B103" s="126"/>
      <c r="C103" s="49">
        <f t="shared" si="18"/>
        <v>1</v>
      </c>
      <c r="D103" s="878"/>
      <c r="E103" s="49">
        <f t="shared" si="19"/>
        <v>1</v>
      </c>
      <c r="F103" s="878"/>
      <c r="G103" s="49">
        <f t="shared" si="20"/>
        <v>1</v>
      </c>
      <c r="H103" s="878"/>
      <c r="I103" s="49">
        <f t="shared" si="21"/>
        <v>1</v>
      </c>
      <c r="J103" s="878"/>
      <c r="K103" s="49">
        <f t="shared" si="22"/>
        <v>1</v>
      </c>
      <c r="L103" s="878"/>
      <c r="M103" s="49">
        <f t="shared" si="23"/>
        <v>1</v>
      </c>
      <c r="N103" s="878"/>
      <c r="O103" s="49">
        <f t="shared" si="24"/>
        <v>1</v>
      </c>
      <c r="P103" s="878"/>
      <c r="Q103" s="49">
        <f t="shared" si="25"/>
        <v>1</v>
      </c>
      <c r="R103" s="49">
        <f t="shared" si="26"/>
        <v>0</v>
      </c>
      <c r="S103" s="734">
        <f t="shared" si="17"/>
        <v>0</v>
      </c>
    </row>
    <row r="104" spans="1:19">
      <c r="A104" s="879"/>
      <c r="B104" s="126"/>
      <c r="C104" s="49">
        <f t="shared" si="18"/>
        <v>1</v>
      </c>
      <c r="D104" s="878"/>
      <c r="E104" s="49">
        <f t="shared" si="19"/>
        <v>1</v>
      </c>
      <c r="F104" s="878"/>
      <c r="G104" s="49">
        <f t="shared" si="20"/>
        <v>1</v>
      </c>
      <c r="H104" s="878"/>
      <c r="I104" s="49">
        <f t="shared" si="21"/>
        <v>1</v>
      </c>
      <c r="J104" s="878"/>
      <c r="K104" s="49">
        <f t="shared" si="22"/>
        <v>1</v>
      </c>
      <c r="L104" s="878"/>
      <c r="M104" s="49">
        <f t="shared" si="23"/>
        <v>1</v>
      </c>
      <c r="N104" s="878"/>
      <c r="O104" s="49">
        <f t="shared" si="24"/>
        <v>1</v>
      </c>
      <c r="P104" s="878"/>
      <c r="Q104" s="49">
        <f t="shared" si="25"/>
        <v>1</v>
      </c>
      <c r="R104" s="49">
        <f t="shared" si="26"/>
        <v>0</v>
      </c>
      <c r="S104" s="734">
        <f t="shared" si="17"/>
        <v>0</v>
      </c>
    </row>
    <row r="105" spans="1:19">
      <c r="A105" s="879"/>
      <c r="B105" s="126"/>
      <c r="C105" s="49">
        <f t="shared" si="18"/>
        <v>1</v>
      </c>
      <c r="D105" s="878"/>
      <c r="E105" s="49">
        <f t="shared" si="19"/>
        <v>1</v>
      </c>
      <c r="F105" s="878"/>
      <c r="G105" s="49">
        <f t="shared" si="20"/>
        <v>1</v>
      </c>
      <c r="H105" s="878"/>
      <c r="I105" s="49">
        <f t="shared" si="21"/>
        <v>1</v>
      </c>
      <c r="J105" s="878"/>
      <c r="K105" s="49">
        <f t="shared" si="22"/>
        <v>1</v>
      </c>
      <c r="L105" s="878"/>
      <c r="M105" s="49">
        <f t="shared" si="23"/>
        <v>1</v>
      </c>
      <c r="N105" s="878"/>
      <c r="O105" s="49">
        <f t="shared" si="24"/>
        <v>1</v>
      </c>
      <c r="P105" s="878"/>
      <c r="Q105" s="49">
        <f t="shared" si="25"/>
        <v>1</v>
      </c>
      <c r="R105" s="49">
        <f t="shared" si="26"/>
        <v>0</v>
      </c>
      <c r="S105" s="734">
        <f t="shared" si="17"/>
        <v>0</v>
      </c>
    </row>
    <row r="106" spans="1:19">
      <c r="A106" s="879"/>
      <c r="B106" s="126"/>
      <c r="C106" s="49">
        <f t="shared" si="18"/>
        <v>1</v>
      </c>
      <c r="D106" s="878"/>
      <c r="E106" s="49">
        <f t="shared" si="19"/>
        <v>1</v>
      </c>
      <c r="F106" s="878"/>
      <c r="G106" s="49">
        <f t="shared" si="20"/>
        <v>1</v>
      </c>
      <c r="H106" s="878"/>
      <c r="I106" s="49">
        <f t="shared" si="21"/>
        <v>1</v>
      </c>
      <c r="J106" s="878"/>
      <c r="K106" s="49">
        <f t="shared" si="22"/>
        <v>1</v>
      </c>
      <c r="L106" s="878"/>
      <c r="M106" s="49">
        <f t="shared" si="23"/>
        <v>1</v>
      </c>
      <c r="N106" s="878"/>
      <c r="O106" s="49">
        <f t="shared" si="24"/>
        <v>1</v>
      </c>
      <c r="P106" s="878"/>
      <c r="Q106" s="49">
        <f t="shared" si="25"/>
        <v>1</v>
      </c>
      <c r="R106" s="49">
        <f t="shared" si="26"/>
        <v>0</v>
      </c>
      <c r="S106" s="734">
        <f t="shared" si="17"/>
        <v>0</v>
      </c>
    </row>
    <row r="107" spans="1:19">
      <c r="A107" s="879"/>
      <c r="B107" s="126"/>
      <c r="C107" s="49">
        <f t="shared" si="18"/>
        <v>1</v>
      </c>
      <c r="D107" s="878"/>
      <c r="E107" s="49">
        <f t="shared" si="19"/>
        <v>1</v>
      </c>
      <c r="F107" s="878"/>
      <c r="G107" s="49">
        <f t="shared" si="20"/>
        <v>1</v>
      </c>
      <c r="H107" s="878"/>
      <c r="I107" s="49">
        <f t="shared" si="21"/>
        <v>1</v>
      </c>
      <c r="J107" s="878"/>
      <c r="K107" s="49">
        <f t="shared" si="22"/>
        <v>1</v>
      </c>
      <c r="L107" s="878"/>
      <c r="M107" s="49">
        <f t="shared" si="23"/>
        <v>1</v>
      </c>
      <c r="N107" s="878"/>
      <c r="O107" s="49">
        <f t="shared" si="24"/>
        <v>1</v>
      </c>
      <c r="P107" s="878"/>
      <c r="Q107" s="49">
        <f t="shared" si="25"/>
        <v>1</v>
      </c>
      <c r="R107" s="49">
        <f t="shared" si="26"/>
        <v>0</v>
      </c>
      <c r="S107" s="734">
        <f t="shared" si="17"/>
        <v>0</v>
      </c>
    </row>
    <row r="108" spans="1:19">
      <c r="A108" s="879"/>
      <c r="B108" s="126"/>
      <c r="C108" s="49">
        <f t="shared" si="18"/>
        <v>1</v>
      </c>
      <c r="D108" s="878"/>
      <c r="E108" s="49">
        <f t="shared" si="19"/>
        <v>1</v>
      </c>
      <c r="F108" s="878"/>
      <c r="G108" s="49">
        <f t="shared" si="20"/>
        <v>1</v>
      </c>
      <c r="H108" s="878"/>
      <c r="I108" s="49">
        <f t="shared" si="21"/>
        <v>1</v>
      </c>
      <c r="J108" s="878"/>
      <c r="K108" s="49">
        <f t="shared" si="22"/>
        <v>1</v>
      </c>
      <c r="L108" s="878"/>
      <c r="M108" s="49">
        <f t="shared" si="23"/>
        <v>1</v>
      </c>
      <c r="N108" s="878"/>
      <c r="O108" s="49">
        <f t="shared" si="24"/>
        <v>1</v>
      </c>
      <c r="P108" s="878"/>
      <c r="Q108" s="49">
        <f t="shared" si="25"/>
        <v>1</v>
      </c>
      <c r="R108" s="49">
        <f t="shared" si="26"/>
        <v>0</v>
      </c>
      <c r="S108" s="734">
        <f t="shared" si="17"/>
        <v>0</v>
      </c>
    </row>
    <row r="109" spans="1:19">
      <c r="A109" s="879"/>
      <c r="B109" s="126"/>
      <c r="C109" s="49">
        <f t="shared" si="18"/>
        <v>1</v>
      </c>
      <c r="D109" s="878"/>
      <c r="E109" s="49">
        <f t="shared" si="19"/>
        <v>1</v>
      </c>
      <c r="F109" s="878"/>
      <c r="G109" s="49">
        <f t="shared" si="20"/>
        <v>1</v>
      </c>
      <c r="H109" s="878"/>
      <c r="I109" s="49">
        <f t="shared" si="21"/>
        <v>1</v>
      </c>
      <c r="J109" s="878"/>
      <c r="K109" s="49">
        <f t="shared" si="22"/>
        <v>1</v>
      </c>
      <c r="L109" s="878"/>
      <c r="M109" s="49">
        <f t="shared" si="23"/>
        <v>1</v>
      </c>
      <c r="N109" s="878"/>
      <c r="O109" s="49">
        <f t="shared" si="24"/>
        <v>1</v>
      </c>
      <c r="P109" s="878"/>
      <c r="Q109" s="49">
        <f t="shared" si="25"/>
        <v>1</v>
      </c>
      <c r="R109" s="49">
        <f t="shared" si="26"/>
        <v>0</v>
      </c>
      <c r="S109" s="734">
        <f t="shared" si="17"/>
        <v>0</v>
      </c>
    </row>
    <row r="110" spans="1:19">
      <c r="A110" s="879"/>
      <c r="B110" s="126"/>
      <c r="C110" s="49">
        <f t="shared" si="18"/>
        <v>1</v>
      </c>
      <c r="D110" s="878"/>
      <c r="E110" s="49">
        <f t="shared" si="19"/>
        <v>1</v>
      </c>
      <c r="F110" s="878"/>
      <c r="G110" s="49">
        <f t="shared" si="20"/>
        <v>1</v>
      </c>
      <c r="H110" s="878"/>
      <c r="I110" s="49">
        <f t="shared" si="21"/>
        <v>1</v>
      </c>
      <c r="J110" s="878"/>
      <c r="K110" s="49">
        <f t="shared" si="22"/>
        <v>1</v>
      </c>
      <c r="L110" s="878"/>
      <c r="M110" s="49">
        <f t="shared" si="23"/>
        <v>1</v>
      </c>
      <c r="N110" s="878"/>
      <c r="O110" s="49">
        <f t="shared" si="24"/>
        <v>1</v>
      </c>
      <c r="P110" s="878"/>
      <c r="Q110" s="49">
        <f t="shared" si="25"/>
        <v>1</v>
      </c>
      <c r="R110" s="49">
        <f t="shared" si="26"/>
        <v>0</v>
      </c>
      <c r="S110" s="734">
        <f t="shared" si="17"/>
        <v>0</v>
      </c>
    </row>
    <row r="111" spans="1:19">
      <c r="A111" s="879"/>
      <c r="B111" s="126"/>
      <c r="C111" s="49">
        <f t="shared" si="18"/>
        <v>1</v>
      </c>
      <c r="D111" s="878"/>
      <c r="E111" s="49">
        <f t="shared" si="19"/>
        <v>1</v>
      </c>
      <c r="F111" s="878"/>
      <c r="G111" s="49">
        <f t="shared" si="20"/>
        <v>1</v>
      </c>
      <c r="H111" s="878"/>
      <c r="I111" s="49">
        <f t="shared" si="21"/>
        <v>1</v>
      </c>
      <c r="J111" s="878"/>
      <c r="K111" s="49">
        <f t="shared" si="22"/>
        <v>1</v>
      </c>
      <c r="L111" s="878"/>
      <c r="M111" s="49">
        <f t="shared" si="23"/>
        <v>1</v>
      </c>
      <c r="N111" s="878"/>
      <c r="O111" s="49">
        <f t="shared" si="24"/>
        <v>1</v>
      </c>
      <c r="P111" s="878"/>
      <c r="Q111" s="49">
        <f t="shared" si="25"/>
        <v>1</v>
      </c>
      <c r="R111" s="49">
        <f t="shared" si="26"/>
        <v>0</v>
      </c>
      <c r="S111" s="734">
        <f t="shared" si="17"/>
        <v>0</v>
      </c>
    </row>
    <row r="112" spans="1:19">
      <c r="A112" s="879"/>
      <c r="B112" s="126"/>
      <c r="C112" s="49">
        <f t="shared" si="18"/>
        <v>1</v>
      </c>
      <c r="D112" s="878"/>
      <c r="E112" s="49">
        <f t="shared" si="19"/>
        <v>1</v>
      </c>
      <c r="F112" s="878"/>
      <c r="G112" s="49">
        <f t="shared" si="20"/>
        <v>1</v>
      </c>
      <c r="H112" s="878"/>
      <c r="I112" s="49">
        <f t="shared" si="21"/>
        <v>1</v>
      </c>
      <c r="J112" s="878"/>
      <c r="K112" s="49">
        <f t="shared" si="22"/>
        <v>1</v>
      </c>
      <c r="L112" s="878"/>
      <c r="M112" s="49">
        <f t="shared" si="23"/>
        <v>1</v>
      </c>
      <c r="N112" s="878"/>
      <c r="O112" s="49">
        <f t="shared" si="24"/>
        <v>1</v>
      </c>
      <c r="P112" s="878"/>
      <c r="Q112" s="49">
        <f t="shared" si="25"/>
        <v>1</v>
      </c>
      <c r="R112" s="49">
        <f t="shared" si="26"/>
        <v>0</v>
      </c>
      <c r="S112" s="734">
        <f t="shared" si="17"/>
        <v>0</v>
      </c>
    </row>
    <row r="113" spans="1:19">
      <c r="A113" s="879"/>
      <c r="B113" s="126"/>
      <c r="C113" s="49">
        <f t="shared" si="18"/>
        <v>1</v>
      </c>
      <c r="D113" s="878"/>
      <c r="E113" s="49">
        <f t="shared" si="19"/>
        <v>1</v>
      </c>
      <c r="F113" s="878"/>
      <c r="G113" s="49">
        <f t="shared" si="20"/>
        <v>1</v>
      </c>
      <c r="H113" s="878"/>
      <c r="I113" s="49">
        <f t="shared" si="21"/>
        <v>1</v>
      </c>
      <c r="J113" s="878"/>
      <c r="K113" s="49">
        <f t="shared" si="22"/>
        <v>1</v>
      </c>
      <c r="L113" s="878"/>
      <c r="M113" s="49">
        <f t="shared" si="23"/>
        <v>1</v>
      </c>
      <c r="N113" s="878"/>
      <c r="O113" s="49">
        <f t="shared" si="24"/>
        <v>1</v>
      </c>
      <c r="P113" s="878"/>
      <c r="Q113" s="49">
        <f t="shared" si="25"/>
        <v>1</v>
      </c>
      <c r="R113" s="49">
        <f t="shared" si="26"/>
        <v>0</v>
      </c>
      <c r="S113" s="734">
        <f t="shared" si="17"/>
        <v>0</v>
      </c>
    </row>
    <row r="114" spans="1:19">
      <c r="A114" s="879"/>
      <c r="B114" s="126"/>
      <c r="C114" s="49">
        <f t="shared" si="18"/>
        <v>1</v>
      </c>
      <c r="D114" s="878"/>
      <c r="E114" s="49">
        <f t="shared" si="19"/>
        <v>1</v>
      </c>
      <c r="F114" s="878"/>
      <c r="G114" s="49">
        <f t="shared" si="20"/>
        <v>1</v>
      </c>
      <c r="H114" s="878"/>
      <c r="I114" s="49">
        <f t="shared" si="21"/>
        <v>1</v>
      </c>
      <c r="J114" s="878"/>
      <c r="K114" s="49">
        <f t="shared" si="22"/>
        <v>1</v>
      </c>
      <c r="L114" s="878"/>
      <c r="M114" s="49">
        <f t="shared" si="23"/>
        <v>1</v>
      </c>
      <c r="N114" s="878"/>
      <c r="O114" s="49">
        <f t="shared" si="24"/>
        <v>1</v>
      </c>
      <c r="P114" s="878"/>
      <c r="Q114" s="49">
        <f t="shared" si="25"/>
        <v>1</v>
      </c>
      <c r="R114" s="49">
        <f t="shared" si="26"/>
        <v>0</v>
      </c>
      <c r="S114" s="734">
        <f t="shared" si="17"/>
        <v>0</v>
      </c>
    </row>
    <row r="115" spans="1:19">
      <c r="A115" s="879"/>
      <c r="B115" s="126"/>
      <c r="C115" s="49">
        <f t="shared" si="18"/>
        <v>1</v>
      </c>
      <c r="D115" s="878"/>
      <c r="E115" s="49">
        <f t="shared" si="19"/>
        <v>1</v>
      </c>
      <c r="F115" s="878"/>
      <c r="G115" s="49">
        <f t="shared" si="20"/>
        <v>1</v>
      </c>
      <c r="H115" s="878"/>
      <c r="I115" s="49">
        <f t="shared" si="21"/>
        <v>1</v>
      </c>
      <c r="J115" s="878"/>
      <c r="K115" s="49">
        <f t="shared" si="22"/>
        <v>1</v>
      </c>
      <c r="L115" s="878"/>
      <c r="M115" s="49">
        <f t="shared" si="23"/>
        <v>1</v>
      </c>
      <c r="N115" s="878"/>
      <c r="O115" s="49">
        <f t="shared" si="24"/>
        <v>1</v>
      </c>
      <c r="P115" s="878"/>
      <c r="Q115" s="49">
        <f t="shared" si="25"/>
        <v>1</v>
      </c>
      <c r="R115" s="49">
        <f t="shared" si="26"/>
        <v>0</v>
      </c>
      <c r="S115" s="734">
        <f t="shared" si="17"/>
        <v>0</v>
      </c>
    </row>
    <row r="116" spans="1:19">
      <c r="A116" s="879"/>
      <c r="B116" s="126"/>
      <c r="C116" s="49">
        <f t="shared" si="18"/>
        <v>1</v>
      </c>
      <c r="D116" s="878"/>
      <c r="E116" s="49">
        <f t="shared" si="19"/>
        <v>1</v>
      </c>
      <c r="F116" s="878"/>
      <c r="G116" s="49">
        <f t="shared" si="20"/>
        <v>1</v>
      </c>
      <c r="H116" s="878"/>
      <c r="I116" s="49">
        <f t="shared" si="21"/>
        <v>1</v>
      </c>
      <c r="J116" s="878"/>
      <c r="K116" s="49">
        <f t="shared" si="22"/>
        <v>1</v>
      </c>
      <c r="L116" s="878"/>
      <c r="M116" s="49">
        <f t="shared" si="23"/>
        <v>1</v>
      </c>
      <c r="N116" s="878"/>
      <c r="O116" s="49">
        <f t="shared" si="24"/>
        <v>1</v>
      </c>
      <c r="P116" s="878"/>
      <c r="Q116" s="49">
        <f t="shared" si="25"/>
        <v>1</v>
      </c>
      <c r="R116" s="49">
        <f t="shared" si="26"/>
        <v>0</v>
      </c>
      <c r="S116" s="734">
        <f t="shared" si="17"/>
        <v>0</v>
      </c>
    </row>
    <row r="117" spans="1:19">
      <c r="A117" s="879"/>
      <c r="B117" s="126"/>
      <c r="C117" s="49">
        <f t="shared" si="18"/>
        <v>1</v>
      </c>
      <c r="D117" s="878"/>
      <c r="E117" s="49">
        <f t="shared" si="19"/>
        <v>1</v>
      </c>
      <c r="F117" s="878"/>
      <c r="G117" s="49">
        <f t="shared" si="20"/>
        <v>1</v>
      </c>
      <c r="H117" s="878"/>
      <c r="I117" s="49">
        <f t="shared" si="21"/>
        <v>1</v>
      </c>
      <c r="J117" s="878"/>
      <c r="K117" s="49">
        <f t="shared" si="22"/>
        <v>1</v>
      </c>
      <c r="L117" s="878"/>
      <c r="M117" s="49">
        <f t="shared" si="23"/>
        <v>1</v>
      </c>
      <c r="N117" s="878"/>
      <c r="O117" s="49">
        <f t="shared" si="24"/>
        <v>1</v>
      </c>
      <c r="P117" s="878"/>
      <c r="Q117" s="49">
        <f t="shared" si="25"/>
        <v>1</v>
      </c>
      <c r="R117" s="49">
        <f t="shared" si="26"/>
        <v>0</v>
      </c>
      <c r="S117" s="734">
        <f t="shared" si="17"/>
        <v>0</v>
      </c>
    </row>
    <row r="118" spans="1:19">
      <c r="A118" s="879"/>
      <c r="B118" s="126"/>
      <c r="C118" s="49">
        <f t="shared" si="18"/>
        <v>1</v>
      </c>
      <c r="D118" s="878"/>
      <c r="E118" s="49">
        <f t="shared" si="19"/>
        <v>1</v>
      </c>
      <c r="F118" s="878"/>
      <c r="G118" s="49">
        <f t="shared" si="20"/>
        <v>1</v>
      </c>
      <c r="H118" s="878"/>
      <c r="I118" s="49">
        <f t="shared" si="21"/>
        <v>1</v>
      </c>
      <c r="J118" s="878"/>
      <c r="K118" s="49">
        <f t="shared" si="22"/>
        <v>1</v>
      </c>
      <c r="L118" s="878"/>
      <c r="M118" s="49">
        <f t="shared" si="23"/>
        <v>1</v>
      </c>
      <c r="N118" s="878"/>
      <c r="O118" s="49">
        <f t="shared" si="24"/>
        <v>1</v>
      </c>
      <c r="P118" s="878"/>
      <c r="Q118" s="49">
        <f t="shared" si="25"/>
        <v>1</v>
      </c>
      <c r="R118" s="49">
        <f t="shared" si="26"/>
        <v>0</v>
      </c>
      <c r="S118" s="734">
        <f t="shared" si="17"/>
        <v>0</v>
      </c>
    </row>
    <row r="119" spans="1:19">
      <c r="A119" s="879"/>
      <c r="B119" s="126"/>
      <c r="C119" s="49">
        <f t="shared" si="18"/>
        <v>1</v>
      </c>
      <c r="D119" s="878"/>
      <c r="E119" s="49">
        <f t="shared" si="19"/>
        <v>1</v>
      </c>
      <c r="F119" s="878"/>
      <c r="G119" s="49">
        <f t="shared" si="20"/>
        <v>1</v>
      </c>
      <c r="H119" s="878"/>
      <c r="I119" s="49">
        <f t="shared" si="21"/>
        <v>1</v>
      </c>
      <c r="J119" s="878"/>
      <c r="K119" s="49">
        <f t="shared" si="22"/>
        <v>1</v>
      </c>
      <c r="L119" s="878"/>
      <c r="M119" s="49">
        <f t="shared" si="23"/>
        <v>1</v>
      </c>
      <c r="N119" s="878"/>
      <c r="O119" s="49">
        <f t="shared" si="24"/>
        <v>1</v>
      </c>
      <c r="P119" s="878"/>
      <c r="Q119" s="49">
        <f t="shared" si="25"/>
        <v>1</v>
      </c>
      <c r="R119" s="49">
        <f t="shared" si="26"/>
        <v>0</v>
      </c>
      <c r="S119" s="734">
        <f t="shared" si="17"/>
        <v>0</v>
      </c>
    </row>
    <row r="120" spans="1:19">
      <c r="A120" s="879"/>
      <c r="B120" s="126"/>
      <c r="C120" s="49">
        <f t="shared" si="18"/>
        <v>1</v>
      </c>
      <c r="D120" s="878"/>
      <c r="E120" s="49">
        <f t="shared" si="19"/>
        <v>1</v>
      </c>
      <c r="F120" s="878"/>
      <c r="G120" s="49">
        <f t="shared" si="20"/>
        <v>1</v>
      </c>
      <c r="H120" s="878"/>
      <c r="I120" s="49">
        <f t="shared" si="21"/>
        <v>1</v>
      </c>
      <c r="J120" s="878"/>
      <c r="K120" s="49">
        <f t="shared" si="22"/>
        <v>1</v>
      </c>
      <c r="L120" s="878"/>
      <c r="M120" s="49">
        <f t="shared" si="23"/>
        <v>1</v>
      </c>
      <c r="N120" s="878"/>
      <c r="O120" s="49">
        <f t="shared" si="24"/>
        <v>1</v>
      </c>
      <c r="P120" s="878"/>
      <c r="Q120" s="49">
        <f t="shared" si="25"/>
        <v>1</v>
      </c>
      <c r="R120" s="49">
        <f t="shared" si="26"/>
        <v>0</v>
      </c>
      <c r="S120" s="734">
        <f t="shared" si="17"/>
        <v>0</v>
      </c>
    </row>
    <row r="121" spans="1:19">
      <c r="A121" s="879"/>
      <c r="B121" s="126"/>
      <c r="C121" s="49">
        <f t="shared" si="18"/>
        <v>1</v>
      </c>
      <c r="D121" s="878"/>
      <c r="E121" s="49">
        <f t="shared" si="19"/>
        <v>1</v>
      </c>
      <c r="F121" s="878"/>
      <c r="G121" s="49">
        <f t="shared" si="20"/>
        <v>1</v>
      </c>
      <c r="H121" s="878"/>
      <c r="I121" s="49">
        <f t="shared" si="21"/>
        <v>1</v>
      </c>
      <c r="J121" s="878"/>
      <c r="K121" s="49">
        <f t="shared" si="22"/>
        <v>1</v>
      </c>
      <c r="L121" s="878"/>
      <c r="M121" s="49">
        <f t="shared" si="23"/>
        <v>1</v>
      </c>
      <c r="N121" s="878"/>
      <c r="O121" s="49">
        <f t="shared" si="24"/>
        <v>1</v>
      </c>
      <c r="P121" s="878"/>
      <c r="Q121" s="49">
        <f t="shared" si="25"/>
        <v>1</v>
      </c>
      <c r="R121" s="49">
        <f t="shared" si="26"/>
        <v>0</v>
      </c>
      <c r="S121" s="734">
        <f t="shared" si="17"/>
        <v>0</v>
      </c>
    </row>
    <row r="122" spans="1:19">
      <c r="A122" s="879"/>
      <c r="B122" s="126"/>
      <c r="C122" s="49">
        <f t="shared" si="18"/>
        <v>1</v>
      </c>
      <c r="D122" s="878"/>
      <c r="E122" s="49">
        <f t="shared" si="19"/>
        <v>1</v>
      </c>
      <c r="F122" s="878"/>
      <c r="G122" s="49">
        <f t="shared" si="20"/>
        <v>1</v>
      </c>
      <c r="H122" s="878"/>
      <c r="I122" s="49">
        <f t="shared" si="21"/>
        <v>1</v>
      </c>
      <c r="J122" s="878"/>
      <c r="K122" s="49">
        <f t="shared" si="22"/>
        <v>1</v>
      </c>
      <c r="L122" s="878"/>
      <c r="M122" s="49">
        <f t="shared" si="23"/>
        <v>1</v>
      </c>
      <c r="N122" s="878"/>
      <c r="O122" s="49">
        <f t="shared" si="24"/>
        <v>1</v>
      </c>
      <c r="P122" s="878"/>
      <c r="Q122" s="49">
        <f t="shared" si="25"/>
        <v>1</v>
      </c>
      <c r="R122" s="49">
        <f t="shared" si="26"/>
        <v>0</v>
      </c>
      <c r="S122" s="734">
        <f t="shared" si="17"/>
        <v>0</v>
      </c>
    </row>
    <row r="123" spans="1:19">
      <c r="A123" s="879"/>
      <c r="B123" s="126"/>
      <c r="C123" s="49">
        <f t="shared" si="18"/>
        <v>1</v>
      </c>
      <c r="D123" s="878"/>
      <c r="E123" s="49">
        <f t="shared" si="19"/>
        <v>1</v>
      </c>
      <c r="F123" s="878"/>
      <c r="G123" s="49">
        <f t="shared" si="20"/>
        <v>1</v>
      </c>
      <c r="H123" s="878"/>
      <c r="I123" s="49">
        <f t="shared" si="21"/>
        <v>1</v>
      </c>
      <c r="J123" s="878"/>
      <c r="K123" s="49">
        <f t="shared" si="22"/>
        <v>1</v>
      </c>
      <c r="L123" s="878"/>
      <c r="M123" s="49">
        <f t="shared" si="23"/>
        <v>1</v>
      </c>
      <c r="N123" s="878"/>
      <c r="O123" s="49">
        <f t="shared" si="24"/>
        <v>1</v>
      </c>
      <c r="P123" s="878"/>
      <c r="Q123" s="49">
        <f t="shared" si="25"/>
        <v>1</v>
      </c>
      <c r="R123" s="49">
        <f t="shared" si="26"/>
        <v>0</v>
      </c>
      <c r="S123" s="734">
        <f t="shared" ref="S123:S186" si="27">ROUND(R123*B123/10000,0)</f>
        <v>0</v>
      </c>
    </row>
    <row r="124" spans="1:19">
      <c r="A124" s="879"/>
      <c r="B124" s="126"/>
      <c r="C124" s="49">
        <f t="shared" si="18"/>
        <v>1</v>
      </c>
      <c r="D124" s="878"/>
      <c r="E124" s="49">
        <f t="shared" si="19"/>
        <v>1</v>
      </c>
      <c r="F124" s="878"/>
      <c r="G124" s="49">
        <f t="shared" si="20"/>
        <v>1</v>
      </c>
      <c r="H124" s="878"/>
      <c r="I124" s="49">
        <f t="shared" si="21"/>
        <v>1</v>
      </c>
      <c r="J124" s="878"/>
      <c r="K124" s="49">
        <f t="shared" si="22"/>
        <v>1</v>
      </c>
      <c r="L124" s="878"/>
      <c r="M124" s="49">
        <f t="shared" si="23"/>
        <v>1</v>
      </c>
      <c r="N124" s="878"/>
      <c r="O124" s="49">
        <f t="shared" si="24"/>
        <v>1</v>
      </c>
      <c r="P124" s="878"/>
      <c r="Q124" s="49">
        <f t="shared" si="25"/>
        <v>1</v>
      </c>
      <c r="R124" s="49">
        <f t="shared" si="26"/>
        <v>0</v>
      </c>
      <c r="S124" s="734">
        <f t="shared" si="27"/>
        <v>0</v>
      </c>
    </row>
    <row r="125" spans="1:19">
      <c r="A125" s="879"/>
      <c r="B125" s="126"/>
      <c r="C125" s="49">
        <f t="shared" si="18"/>
        <v>1</v>
      </c>
      <c r="D125" s="878"/>
      <c r="E125" s="49">
        <f t="shared" si="19"/>
        <v>1</v>
      </c>
      <c r="F125" s="878"/>
      <c r="G125" s="49">
        <f t="shared" si="20"/>
        <v>1</v>
      </c>
      <c r="H125" s="878"/>
      <c r="I125" s="49">
        <f t="shared" si="21"/>
        <v>1</v>
      </c>
      <c r="J125" s="878"/>
      <c r="K125" s="49">
        <f t="shared" si="22"/>
        <v>1</v>
      </c>
      <c r="L125" s="878"/>
      <c r="M125" s="49">
        <f t="shared" si="23"/>
        <v>1</v>
      </c>
      <c r="N125" s="878"/>
      <c r="O125" s="49">
        <f t="shared" si="24"/>
        <v>1</v>
      </c>
      <c r="P125" s="878"/>
      <c r="Q125" s="49">
        <f t="shared" si="25"/>
        <v>1</v>
      </c>
      <c r="R125" s="49">
        <f t="shared" si="26"/>
        <v>0</v>
      </c>
      <c r="S125" s="734">
        <f t="shared" si="27"/>
        <v>0</v>
      </c>
    </row>
    <row r="126" spans="1:19">
      <c r="A126" s="879"/>
      <c r="B126" s="126"/>
      <c r="C126" s="49">
        <f t="shared" si="18"/>
        <v>1</v>
      </c>
      <c r="D126" s="878"/>
      <c r="E126" s="49">
        <f t="shared" si="19"/>
        <v>1</v>
      </c>
      <c r="F126" s="878"/>
      <c r="G126" s="49">
        <f t="shared" si="20"/>
        <v>1</v>
      </c>
      <c r="H126" s="878"/>
      <c r="I126" s="49">
        <f t="shared" si="21"/>
        <v>1</v>
      </c>
      <c r="J126" s="878"/>
      <c r="K126" s="49">
        <f t="shared" si="22"/>
        <v>1</v>
      </c>
      <c r="L126" s="878"/>
      <c r="M126" s="49">
        <f t="shared" si="23"/>
        <v>1</v>
      </c>
      <c r="N126" s="878"/>
      <c r="O126" s="49">
        <f t="shared" si="24"/>
        <v>1</v>
      </c>
      <c r="P126" s="878"/>
      <c r="Q126" s="49">
        <f t="shared" si="25"/>
        <v>1</v>
      </c>
      <c r="R126" s="49">
        <f t="shared" si="26"/>
        <v>0</v>
      </c>
      <c r="S126" s="734">
        <f t="shared" si="27"/>
        <v>0</v>
      </c>
    </row>
    <row r="127" spans="1:19">
      <c r="A127" s="879"/>
      <c r="B127" s="126"/>
      <c r="C127" s="49">
        <f t="shared" si="18"/>
        <v>1</v>
      </c>
      <c r="D127" s="878"/>
      <c r="E127" s="49">
        <f t="shared" si="19"/>
        <v>1</v>
      </c>
      <c r="F127" s="878"/>
      <c r="G127" s="49">
        <f t="shared" si="20"/>
        <v>1</v>
      </c>
      <c r="H127" s="878"/>
      <c r="I127" s="49">
        <f t="shared" si="21"/>
        <v>1</v>
      </c>
      <c r="J127" s="878"/>
      <c r="K127" s="49">
        <f t="shared" si="22"/>
        <v>1</v>
      </c>
      <c r="L127" s="878"/>
      <c r="M127" s="49">
        <f t="shared" si="23"/>
        <v>1</v>
      </c>
      <c r="N127" s="878"/>
      <c r="O127" s="49">
        <f t="shared" si="24"/>
        <v>1</v>
      </c>
      <c r="P127" s="878"/>
      <c r="Q127" s="49">
        <f t="shared" si="25"/>
        <v>1</v>
      </c>
      <c r="R127" s="49">
        <f t="shared" si="26"/>
        <v>0</v>
      </c>
      <c r="S127" s="734">
        <f t="shared" si="27"/>
        <v>0</v>
      </c>
    </row>
    <row r="128" spans="1:19">
      <c r="A128" s="879"/>
      <c r="B128" s="126"/>
      <c r="C128" s="49">
        <f t="shared" si="18"/>
        <v>1</v>
      </c>
      <c r="D128" s="878"/>
      <c r="E128" s="49">
        <f t="shared" si="19"/>
        <v>1</v>
      </c>
      <c r="F128" s="878"/>
      <c r="G128" s="49">
        <f t="shared" si="20"/>
        <v>1</v>
      </c>
      <c r="H128" s="878"/>
      <c r="I128" s="49">
        <f t="shared" si="21"/>
        <v>1</v>
      </c>
      <c r="J128" s="878"/>
      <c r="K128" s="49">
        <f t="shared" si="22"/>
        <v>1</v>
      </c>
      <c r="L128" s="878"/>
      <c r="M128" s="49">
        <f t="shared" si="23"/>
        <v>1</v>
      </c>
      <c r="N128" s="878"/>
      <c r="O128" s="49">
        <f t="shared" si="24"/>
        <v>1</v>
      </c>
      <c r="P128" s="878"/>
      <c r="Q128" s="49">
        <f t="shared" si="25"/>
        <v>1</v>
      </c>
      <c r="R128" s="49">
        <f t="shared" si="26"/>
        <v>0</v>
      </c>
      <c r="S128" s="734">
        <f t="shared" si="27"/>
        <v>0</v>
      </c>
    </row>
    <row r="129" spans="1:19">
      <c r="A129" s="879"/>
      <c r="B129" s="126"/>
      <c r="C129" s="49">
        <f t="shared" si="18"/>
        <v>1</v>
      </c>
      <c r="D129" s="878"/>
      <c r="E129" s="49">
        <f t="shared" si="19"/>
        <v>1</v>
      </c>
      <c r="F129" s="878"/>
      <c r="G129" s="49">
        <f t="shared" si="20"/>
        <v>1</v>
      </c>
      <c r="H129" s="878"/>
      <c r="I129" s="49">
        <f t="shared" si="21"/>
        <v>1</v>
      </c>
      <c r="J129" s="878"/>
      <c r="K129" s="49">
        <f t="shared" si="22"/>
        <v>1</v>
      </c>
      <c r="L129" s="878"/>
      <c r="M129" s="49">
        <f t="shared" si="23"/>
        <v>1</v>
      </c>
      <c r="N129" s="878"/>
      <c r="O129" s="49">
        <f t="shared" si="24"/>
        <v>1</v>
      </c>
      <c r="P129" s="878"/>
      <c r="Q129" s="49">
        <f t="shared" si="25"/>
        <v>1</v>
      </c>
      <c r="R129" s="49">
        <f t="shared" si="26"/>
        <v>0</v>
      </c>
      <c r="S129" s="734">
        <f t="shared" si="27"/>
        <v>0</v>
      </c>
    </row>
    <row r="130" spans="1:19">
      <c r="A130" s="879"/>
      <c r="B130" s="126"/>
      <c r="C130" s="49">
        <f t="shared" si="18"/>
        <v>1</v>
      </c>
      <c r="D130" s="878"/>
      <c r="E130" s="49">
        <f t="shared" si="19"/>
        <v>1</v>
      </c>
      <c r="F130" s="878"/>
      <c r="G130" s="49">
        <f t="shared" si="20"/>
        <v>1</v>
      </c>
      <c r="H130" s="878"/>
      <c r="I130" s="49">
        <f t="shared" si="21"/>
        <v>1</v>
      </c>
      <c r="J130" s="878"/>
      <c r="K130" s="49">
        <f t="shared" si="22"/>
        <v>1</v>
      </c>
      <c r="L130" s="878"/>
      <c r="M130" s="49">
        <f t="shared" si="23"/>
        <v>1</v>
      </c>
      <c r="N130" s="878"/>
      <c r="O130" s="49">
        <f t="shared" si="24"/>
        <v>1</v>
      </c>
      <c r="P130" s="878"/>
      <c r="Q130" s="49">
        <f t="shared" si="25"/>
        <v>1</v>
      </c>
      <c r="R130" s="49">
        <f t="shared" si="26"/>
        <v>0</v>
      </c>
      <c r="S130" s="734">
        <f t="shared" si="27"/>
        <v>0</v>
      </c>
    </row>
    <row r="131" spans="1:19">
      <c r="A131" s="879"/>
      <c r="B131" s="126"/>
      <c r="C131" s="49">
        <f t="shared" si="18"/>
        <v>1</v>
      </c>
      <c r="D131" s="878"/>
      <c r="E131" s="49">
        <f t="shared" si="19"/>
        <v>1</v>
      </c>
      <c r="F131" s="878"/>
      <c r="G131" s="49">
        <f t="shared" si="20"/>
        <v>1</v>
      </c>
      <c r="H131" s="878"/>
      <c r="I131" s="49">
        <f t="shared" si="21"/>
        <v>1</v>
      </c>
      <c r="J131" s="878"/>
      <c r="K131" s="49">
        <f t="shared" si="22"/>
        <v>1</v>
      </c>
      <c r="L131" s="878"/>
      <c r="M131" s="49">
        <f t="shared" si="23"/>
        <v>1</v>
      </c>
      <c r="N131" s="878"/>
      <c r="O131" s="49">
        <f t="shared" si="24"/>
        <v>1</v>
      </c>
      <c r="P131" s="878"/>
      <c r="Q131" s="49">
        <f t="shared" si="25"/>
        <v>1</v>
      </c>
      <c r="R131" s="49">
        <f t="shared" si="26"/>
        <v>0</v>
      </c>
      <c r="S131" s="734">
        <f t="shared" si="27"/>
        <v>0</v>
      </c>
    </row>
    <row r="132" spans="1:19">
      <c r="A132" s="879"/>
      <c r="B132" s="126"/>
      <c r="C132" s="49">
        <f t="shared" si="18"/>
        <v>1</v>
      </c>
      <c r="D132" s="878"/>
      <c r="E132" s="49">
        <f t="shared" si="19"/>
        <v>1</v>
      </c>
      <c r="F132" s="878"/>
      <c r="G132" s="49">
        <f t="shared" si="20"/>
        <v>1</v>
      </c>
      <c r="H132" s="878"/>
      <c r="I132" s="49">
        <f t="shared" si="21"/>
        <v>1</v>
      </c>
      <c r="J132" s="878"/>
      <c r="K132" s="49">
        <f t="shared" si="22"/>
        <v>1</v>
      </c>
      <c r="L132" s="878"/>
      <c r="M132" s="49">
        <f t="shared" si="23"/>
        <v>1</v>
      </c>
      <c r="N132" s="878"/>
      <c r="O132" s="49">
        <f t="shared" si="24"/>
        <v>1</v>
      </c>
      <c r="P132" s="878"/>
      <c r="Q132" s="49">
        <f t="shared" si="25"/>
        <v>1</v>
      </c>
      <c r="R132" s="49">
        <f t="shared" si="26"/>
        <v>0</v>
      </c>
      <c r="S132" s="734">
        <f t="shared" si="27"/>
        <v>0</v>
      </c>
    </row>
    <row r="133" spans="1:19">
      <c r="A133" s="879"/>
      <c r="B133" s="126"/>
      <c r="C133" s="49">
        <f t="shared" si="18"/>
        <v>1</v>
      </c>
      <c r="D133" s="878"/>
      <c r="E133" s="49">
        <f t="shared" si="19"/>
        <v>1</v>
      </c>
      <c r="F133" s="878"/>
      <c r="G133" s="49">
        <f t="shared" si="20"/>
        <v>1</v>
      </c>
      <c r="H133" s="878"/>
      <c r="I133" s="49">
        <f t="shared" si="21"/>
        <v>1</v>
      </c>
      <c r="J133" s="878"/>
      <c r="K133" s="49">
        <f t="shared" si="22"/>
        <v>1</v>
      </c>
      <c r="L133" s="878"/>
      <c r="M133" s="49">
        <f t="shared" si="23"/>
        <v>1</v>
      </c>
      <c r="N133" s="878"/>
      <c r="O133" s="49">
        <f t="shared" si="24"/>
        <v>1</v>
      </c>
      <c r="P133" s="878"/>
      <c r="Q133" s="49">
        <f t="shared" si="25"/>
        <v>1</v>
      </c>
      <c r="R133" s="49">
        <f t="shared" si="26"/>
        <v>0</v>
      </c>
      <c r="S133" s="734">
        <f t="shared" si="27"/>
        <v>0</v>
      </c>
    </row>
    <row r="134" spans="1:19">
      <c r="A134" s="879"/>
      <c r="B134" s="126"/>
      <c r="C134" s="49">
        <f t="shared" si="18"/>
        <v>1</v>
      </c>
      <c r="D134" s="878"/>
      <c r="E134" s="49">
        <f t="shared" si="19"/>
        <v>1</v>
      </c>
      <c r="F134" s="878"/>
      <c r="G134" s="49">
        <f t="shared" si="20"/>
        <v>1</v>
      </c>
      <c r="H134" s="878"/>
      <c r="I134" s="49">
        <f t="shared" si="21"/>
        <v>1</v>
      </c>
      <c r="J134" s="878"/>
      <c r="K134" s="49">
        <f t="shared" si="22"/>
        <v>1</v>
      </c>
      <c r="L134" s="878"/>
      <c r="M134" s="49">
        <f t="shared" si="23"/>
        <v>1</v>
      </c>
      <c r="N134" s="878"/>
      <c r="O134" s="49">
        <f t="shared" si="24"/>
        <v>1</v>
      </c>
      <c r="P134" s="878"/>
      <c r="Q134" s="49">
        <f t="shared" si="25"/>
        <v>1</v>
      </c>
      <c r="R134" s="49">
        <f t="shared" si="26"/>
        <v>0</v>
      </c>
      <c r="S134" s="734">
        <f t="shared" si="27"/>
        <v>0</v>
      </c>
    </row>
    <row r="135" spans="1:19">
      <c r="A135" s="879"/>
      <c r="B135" s="126"/>
      <c r="C135" s="49">
        <f t="shared" si="18"/>
        <v>1</v>
      </c>
      <c r="D135" s="878"/>
      <c r="E135" s="49">
        <f t="shared" si="19"/>
        <v>1</v>
      </c>
      <c r="F135" s="878"/>
      <c r="G135" s="49">
        <f t="shared" si="20"/>
        <v>1</v>
      </c>
      <c r="H135" s="878"/>
      <c r="I135" s="49">
        <f t="shared" si="21"/>
        <v>1</v>
      </c>
      <c r="J135" s="878"/>
      <c r="K135" s="49">
        <f t="shared" si="22"/>
        <v>1</v>
      </c>
      <c r="L135" s="878"/>
      <c r="M135" s="49">
        <f t="shared" si="23"/>
        <v>1</v>
      </c>
      <c r="N135" s="878"/>
      <c r="O135" s="49">
        <f t="shared" si="24"/>
        <v>1</v>
      </c>
      <c r="P135" s="878"/>
      <c r="Q135" s="49">
        <f t="shared" si="25"/>
        <v>1</v>
      </c>
      <c r="R135" s="49">
        <f t="shared" si="26"/>
        <v>0</v>
      </c>
      <c r="S135" s="734">
        <f t="shared" si="27"/>
        <v>0</v>
      </c>
    </row>
    <row r="136" spans="1:19">
      <c r="A136" s="879"/>
      <c r="B136" s="126"/>
      <c r="C136" s="49">
        <f t="shared" si="18"/>
        <v>1</v>
      </c>
      <c r="D136" s="878"/>
      <c r="E136" s="49">
        <f t="shared" si="19"/>
        <v>1</v>
      </c>
      <c r="F136" s="878"/>
      <c r="G136" s="49">
        <f t="shared" si="20"/>
        <v>1</v>
      </c>
      <c r="H136" s="878"/>
      <c r="I136" s="49">
        <f t="shared" si="21"/>
        <v>1</v>
      </c>
      <c r="J136" s="878"/>
      <c r="K136" s="49">
        <f t="shared" si="22"/>
        <v>1</v>
      </c>
      <c r="L136" s="878"/>
      <c r="M136" s="49">
        <f t="shared" si="23"/>
        <v>1</v>
      </c>
      <c r="N136" s="878"/>
      <c r="O136" s="49">
        <f t="shared" si="24"/>
        <v>1</v>
      </c>
      <c r="P136" s="878"/>
      <c r="Q136" s="49">
        <f t="shared" si="25"/>
        <v>1</v>
      </c>
      <c r="R136" s="49">
        <f t="shared" si="26"/>
        <v>0</v>
      </c>
      <c r="S136" s="734">
        <f t="shared" si="27"/>
        <v>0</v>
      </c>
    </row>
    <row r="137" spans="1:19">
      <c r="A137" s="879"/>
      <c r="B137" s="126"/>
      <c r="C137" s="49">
        <f t="shared" si="18"/>
        <v>1</v>
      </c>
      <c r="D137" s="878"/>
      <c r="E137" s="49">
        <f t="shared" si="19"/>
        <v>1</v>
      </c>
      <c r="F137" s="878"/>
      <c r="G137" s="49">
        <f t="shared" si="20"/>
        <v>1</v>
      </c>
      <c r="H137" s="878"/>
      <c r="I137" s="49">
        <f t="shared" si="21"/>
        <v>1</v>
      </c>
      <c r="J137" s="878"/>
      <c r="K137" s="49">
        <f t="shared" si="22"/>
        <v>1</v>
      </c>
      <c r="L137" s="878"/>
      <c r="M137" s="49">
        <f t="shared" si="23"/>
        <v>1</v>
      </c>
      <c r="N137" s="878"/>
      <c r="O137" s="49">
        <f t="shared" si="24"/>
        <v>1</v>
      </c>
      <c r="P137" s="878"/>
      <c r="Q137" s="49">
        <f t="shared" si="25"/>
        <v>1</v>
      </c>
      <c r="R137" s="49">
        <f t="shared" si="26"/>
        <v>0</v>
      </c>
      <c r="S137" s="734">
        <f t="shared" si="27"/>
        <v>0</v>
      </c>
    </row>
    <row r="138" spans="1:19">
      <c r="A138" s="879"/>
      <c r="B138" s="126"/>
      <c r="C138" s="49">
        <f t="shared" si="18"/>
        <v>1</v>
      </c>
      <c r="D138" s="878"/>
      <c r="E138" s="49">
        <f t="shared" si="19"/>
        <v>1</v>
      </c>
      <c r="F138" s="878"/>
      <c r="G138" s="49">
        <f t="shared" si="20"/>
        <v>1</v>
      </c>
      <c r="H138" s="878"/>
      <c r="I138" s="49">
        <f t="shared" si="21"/>
        <v>1</v>
      </c>
      <c r="J138" s="878"/>
      <c r="K138" s="49">
        <f t="shared" si="22"/>
        <v>1</v>
      </c>
      <c r="L138" s="878"/>
      <c r="M138" s="49">
        <f t="shared" si="23"/>
        <v>1</v>
      </c>
      <c r="N138" s="878"/>
      <c r="O138" s="49">
        <f t="shared" si="24"/>
        <v>1</v>
      </c>
      <c r="P138" s="878"/>
      <c r="Q138" s="49">
        <f t="shared" si="25"/>
        <v>1</v>
      </c>
      <c r="R138" s="49">
        <f t="shared" si="26"/>
        <v>0</v>
      </c>
      <c r="S138" s="734">
        <f t="shared" si="27"/>
        <v>0</v>
      </c>
    </row>
    <row r="139" spans="1:19">
      <c r="A139" s="879"/>
      <c r="B139" s="126"/>
      <c r="C139" s="49">
        <f t="shared" si="18"/>
        <v>1</v>
      </c>
      <c r="D139" s="878"/>
      <c r="E139" s="49">
        <f t="shared" si="19"/>
        <v>1</v>
      </c>
      <c r="F139" s="878"/>
      <c r="G139" s="49">
        <f t="shared" si="20"/>
        <v>1</v>
      </c>
      <c r="H139" s="878"/>
      <c r="I139" s="49">
        <f t="shared" si="21"/>
        <v>1</v>
      </c>
      <c r="J139" s="878"/>
      <c r="K139" s="49">
        <f t="shared" si="22"/>
        <v>1</v>
      </c>
      <c r="L139" s="878"/>
      <c r="M139" s="49">
        <f t="shared" si="23"/>
        <v>1</v>
      </c>
      <c r="N139" s="878"/>
      <c r="O139" s="49">
        <f t="shared" si="24"/>
        <v>1</v>
      </c>
      <c r="P139" s="878"/>
      <c r="Q139" s="49">
        <f t="shared" si="25"/>
        <v>1</v>
      </c>
      <c r="R139" s="49">
        <f t="shared" si="26"/>
        <v>0</v>
      </c>
      <c r="S139" s="734">
        <f t="shared" si="27"/>
        <v>0</v>
      </c>
    </row>
    <row r="140" spans="1:19">
      <c r="A140" s="879"/>
      <c r="B140" s="126"/>
      <c r="C140" s="49">
        <f t="shared" si="18"/>
        <v>1</v>
      </c>
      <c r="D140" s="878"/>
      <c r="E140" s="49">
        <f t="shared" si="19"/>
        <v>1</v>
      </c>
      <c r="F140" s="878"/>
      <c r="G140" s="49">
        <f t="shared" si="20"/>
        <v>1</v>
      </c>
      <c r="H140" s="878"/>
      <c r="I140" s="49">
        <f t="shared" si="21"/>
        <v>1</v>
      </c>
      <c r="J140" s="878"/>
      <c r="K140" s="49">
        <f t="shared" si="22"/>
        <v>1</v>
      </c>
      <c r="L140" s="878"/>
      <c r="M140" s="49">
        <f t="shared" si="23"/>
        <v>1</v>
      </c>
      <c r="N140" s="878"/>
      <c r="O140" s="49">
        <f t="shared" si="24"/>
        <v>1</v>
      </c>
      <c r="P140" s="878"/>
      <c r="Q140" s="49">
        <f t="shared" si="25"/>
        <v>1</v>
      </c>
      <c r="R140" s="49">
        <f t="shared" si="26"/>
        <v>0</v>
      </c>
      <c r="S140" s="734">
        <f t="shared" si="27"/>
        <v>0</v>
      </c>
    </row>
    <row r="141" spans="1:19">
      <c r="A141" s="879"/>
      <c r="B141" s="126"/>
      <c r="C141" s="49">
        <f t="shared" si="18"/>
        <v>1</v>
      </c>
      <c r="D141" s="878"/>
      <c r="E141" s="49">
        <f t="shared" si="19"/>
        <v>1</v>
      </c>
      <c r="F141" s="878"/>
      <c r="G141" s="49">
        <f t="shared" si="20"/>
        <v>1</v>
      </c>
      <c r="H141" s="878"/>
      <c r="I141" s="49">
        <f t="shared" si="21"/>
        <v>1</v>
      </c>
      <c r="J141" s="878"/>
      <c r="K141" s="49">
        <f t="shared" si="22"/>
        <v>1</v>
      </c>
      <c r="L141" s="878"/>
      <c r="M141" s="49">
        <f t="shared" si="23"/>
        <v>1</v>
      </c>
      <c r="N141" s="878"/>
      <c r="O141" s="49">
        <f t="shared" si="24"/>
        <v>1</v>
      </c>
      <c r="P141" s="878"/>
      <c r="Q141" s="49">
        <f t="shared" si="25"/>
        <v>1</v>
      </c>
      <c r="R141" s="49">
        <f t="shared" si="26"/>
        <v>0</v>
      </c>
      <c r="S141" s="734">
        <f t="shared" si="27"/>
        <v>0</v>
      </c>
    </row>
    <row r="142" spans="1:19">
      <c r="A142" s="879"/>
      <c r="B142" s="126"/>
      <c r="C142" s="49">
        <f t="shared" si="18"/>
        <v>1</v>
      </c>
      <c r="D142" s="878"/>
      <c r="E142" s="49">
        <f t="shared" si="19"/>
        <v>1</v>
      </c>
      <c r="F142" s="878"/>
      <c r="G142" s="49">
        <f t="shared" si="20"/>
        <v>1</v>
      </c>
      <c r="H142" s="878"/>
      <c r="I142" s="49">
        <f t="shared" si="21"/>
        <v>1</v>
      </c>
      <c r="J142" s="878"/>
      <c r="K142" s="49">
        <f t="shared" si="22"/>
        <v>1</v>
      </c>
      <c r="L142" s="878"/>
      <c r="M142" s="49">
        <f t="shared" si="23"/>
        <v>1</v>
      </c>
      <c r="N142" s="878"/>
      <c r="O142" s="49">
        <f t="shared" si="24"/>
        <v>1</v>
      </c>
      <c r="P142" s="878"/>
      <c r="Q142" s="49">
        <f t="shared" si="25"/>
        <v>1</v>
      </c>
      <c r="R142" s="49">
        <f t="shared" si="26"/>
        <v>0</v>
      </c>
      <c r="S142" s="734">
        <f t="shared" si="27"/>
        <v>0</v>
      </c>
    </row>
    <row r="143" spans="1:19">
      <c r="A143" s="879"/>
      <c r="B143" s="126"/>
      <c r="C143" s="49">
        <f t="shared" si="18"/>
        <v>1</v>
      </c>
      <c r="D143" s="878"/>
      <c r="E143" s="49">
        <f t="shared" si="19"/>
        <v>1</v>
      </c>
      <c r="F143" s="878"/>
      <c r="G143" s="49">
        <f t="shared" si="20"/>
        <v>1</v>
      </c>
      <c r="H143" s="878"/>
      <c r="I143" s="49">
        <f t="shared" si="21"/>
        <v>1</v>
      </c>
      <c r="J143" s="878"/>
      <c r="K143" s="49">
        <f t="shared" si="22"/>
        <v>1</v>
      </c>
      <c r="L143" s="878"/>
      <c r="M143" s="49">
        <f t="shared" si="23"/>
        <v>1</v>
      </c>
      <c r="N143" s="878"/>
      <c r="O143" s="49">
        <f t="shared" si="24"/>
        <v>1</v>
      </c>
      <c r="P143" s="878"/>
      <c r="Q143" s="49">
        <f t="shared" si="25"/>
        <v>1</v>
      </c>
      <c r="R143" s="49">
        <f t="shared" si="26"/>
        <v>0</v>
      </c>
      <c r="S143" s="734">
        <f t="shared" si="27"/>
        <v>0</v>
      </c>
    </row>
    <row r="144" spans="1:19">
      <c r="A144" s="879"/>
      <c r="B144" s="126"/>
      <c r="C144" s="49">
        <f t="shared" si="18"/>
        <v>1</v>
      </c>
      <c r="D144" s="878"/>
      <c r="E144" s="49">
        <f t="shared" si="19"/>
        <v>1</v>
      </c>
      <c r="F144" s="878"/>
      <c r="G144" s="49">
        <f t="shared" si="20"/>
        <v>1</v>
      </c>
      <c r="H144" s="878"/>
      <c r="I144" s="49">
        <f t="shared" si="21"/>
        <v>1</v>
      </c>
      <c r="J144" s="878"/>
      <c r="K144" s="49">
        <f t="shared" si="22"/>
        <v>1</v>
      </c>
      <c r="L144" s="878"/>
      <c r="M144" s="49">
        <f t="shared" si="23"/>
        <v>1</v>
      </c>
      <c r="N144" s="878"/>
      <c r="O144" s="49">
        <f t="shared" si="24"/>
        <v>1</v>
      </c>
      <c r="P144" s="878"/>
      <c r="Q144" s="49">
        <f t="shared" si="25"/>
        <v>1</v>
      </c>
      <c r="R144" s="49">
        <f t="shared" si="26"/>
        <v>0</v>
      </c>
      <c r="S144" s="734">
        <f t="shared" si="27"/>
        <v>0</v>
      </c>
    </row>
    <row r="145" spans="1:19">
      <c r="A145" s="879"/>
      <c r="B145" s="126"/>
      <c r="C145" s="49">
        <f t="shared" si="18"/>
        <v>1</v>
      </c>
      <c r="D145" s="878"/>
      <c r="E145" s="49">
        <f t="shared" si="19"/>
        <v>1</v>
      </c>
      <c r="F145" s="878"/>
      <c r="G145" s="49">
        <f t="shared" si="20"/>
        <v>1</v>
      </c>
      <c r="H145" s="878"/>
      <c r="I145" s="49">
        <f t="shared" si="21"/>
        <v>1</v>
      </c>
      <c r="J145" s="878"/>
      <c r="K145" s="49">
        <f t="shared" si="22"/>
        <v>1</v>
      </c>
      <c r="L145" s="878"/>
      <c r="M145" s="49">
        <f t="shared" si="23"/>
        <v>1</v>
      </c>
      <c r="N145" s="878"/>
      <c r="O145" s="49">
        <f t="shared" si="24"/>
        <v>1</v>
      </c>
      <c r="P145" s="878"/>
      <c r="Q145" s="49">
        <f t="shared" si="25"/>
        <v>1</v>
      </c>
      <c r="R145" s="49">
        <f t="shared" si="26"/>
        <v>0</v>
      </c>
      <c r="S145" s="734">
        <f t="shared" si="27"/>
        <v>0</v>
      </c>
    </row>
    <row r="146" spans="1:19">
      <c r="A146" s="879"/>
      <c r="B146" s="126"/>
      <c r="C146" s="49">
        <f t="shared" si="18"/>
        <v>1</v>
      </c>
      <c r="D146" s="878"/>
      <c r="E146" s="49">
        <f t="shared" si="19"/>
        <v>1</v>
      </c>
      <c r="F146" s="878"/>
      <c r="G146" s="49">
        <f t="shared" si="20"/>
        <v>1</v>
      </c>
      <c r="H146" s="878"/>
      <c r="I146" s="49">
        <f t="shared" si="21"/>
        <v>1</v>
      </c>
      <c r="J146" s="878"/>
      <c r="K146" s="49">
        <f t="shared" si="22"/>
        <v>1</v>
      </c>
      <c r="L146" s="878"/>
      <c r="M146" s="49">
        <f t="shared" si="23"/>
        <v>1</v>
      </c>
      <c r="N146" s="878"/>
      <c r="O146" s="49">
        <f t="shared" si="24"/>
        <v>1</v>
      </c>
      <c r="P146" s="878"/>
      <c r="Q146" s="49">
        <f t="shared" si="25"/>
        <v>1</v>
      </c>
      <c r="R146" s="49">
        <f t="shared" si="26"/>
        <v>0</v>
      </c>
      <c r="S146" s="734">
        <f t="shared" si="27"/>
        <v>0</v>
      </c>
    </row>
    <row r="147" spans="1:19">
      <c r="A147" s="879"/>
      <c r="B147" s="126"/>
      <c r="C147" s="49">
        <f t="shared" si="18"/>
        <v>1</v>
      </c>
      <c r="D147" s="878"/>
      <c r="E147" s="49">
        <f t="shared" si="19"/>
        <v>1</v>
      </c>
      <c r="F147" s="878"/>
      <c r="G147" s="49">
        <f t="shared" si="20"/>
        <v>1</v>
      </c>
      <c r="H147" s="878"/>
      <c r="I147" s="49">
        <f t="shared" si="21"/>
        <v>1</v>
      </c>
      <c r="J147" s="878"/>
      <c r="K147" s="49">
        <f t="shared" si="22"/>
        <v>1</v>
      </c>
      <c r="L147" s="878"/>
      <c r="M147" s="49">
        <f t="shared" si="23"/>
        <v>1</v>
      </c>
      <c r="N147" s="878"/>
      <c r="O147" s="49">
        <f t="shared" si="24"/>
        <v>1</v>
      </c>
      <c r="P147" s="878"/>
      <c r="Q147" s="49">
        <f t="shared" si="25"/>
        <v>1</v>
      </c>
      <c r="R147" s="49">
        <f t="shared" si="26"/>
        <v>0</v>
      </c>
      <c r="S147" s="734">
        <f t="shared" si="27"/>
        <v>0</v>
      </c>
    </row>
    <row r="148" spans="1:19">
      <c r="A148" s="879"/>
      <c r="B148" s="126"/>
      <c r="C148" s="49">
        <f t="shared" si="18"/>
        <v>1</v>
      </c>
      <c r="D148" s="878"/>
      <c r="E148" s="49">
        <f t="shared" si="19"/>
        <v>1</v>
      </c>
      <c r="F148" s="878"/>
      <c r="G148" s="49">
        <f t="shared" si="20"/>
        <v>1</v>
      </c>
      <c r="H148" s="878"/>
      <c r="I148" s="49">
        <f t="shared" si="21"/>
        <v>1</v>
      </c>
      <c r="J148" s="878"/>
      <c r="K148" s="49">
        <f t="shared" si="22"/>
        <v>1</v>
      </c>
      <c r="L148" s="878"/>
      <c r="M148" s="49">
        <f t="shared" si="23"/>
        <v>1</v>
      </c>
      <c r="N148" s="878"/>
      <c r="O148" s="49">
        <f t="shared" si="24"/>
        <v>1</v>
      </c>
      <c r="P148" s="878"/>
      <c r="Q148" s="49">
        <f t="shared" si="25"/>
        <v>1</v>
      </c>
      <c r="R148" s="49">
        <f t="shared" si="26"/>
        <v>0</v>
      </c>
      <c r="S148" s="734">
        <f t="shared" si="27"/>
        <v>0</v>
      </c>
    </row>
    <row r="149" spans="1:19">
      <c r="A149" s="879"/>
      <c r="B149" s="126"/>
      <c r="C149" s="49">
        <f t="shared" si="18"/>
        <v>1</v>
      </c>
      <c r="D149" s="878"/>
      <c r="E149" s="49">
        <f t="shared" si="19"/>
        <v>1</v>
      </c>
      <c r="F149" s="878"/>
      <c r="G149" s="49">
        <f t="shared" si="20"/>
        <v>1</v>
      </c>
      <c r="H149" s="878"/>
      <c r="I149" s="49">
        <f t="shared" si="21"/>
        <v>1</v>
      </c>
      <c r="J149" s="878"/>
      <c r="K149" s="49">
        <f t="shared" si="22"/>
        <v>1</v>
      </c>
      <c r="L149" s="878"/>
      <c r="M149" s="49">
        <f t="shared" si="23"/>
        <v>1</v>
      </c>
      <c r="N149" s="878"/>
      <c r="O149" s="49">
        <f t="shared" si="24"/>
        <v>1</v>
      </c>
      <c r="P149" s="878"/>
      <c r="Q149" s="49">
        <f t="shared" si="25"/>
        <v>1</v>
      </c>
      <c r="R149" s="49">
        <f t="shared" si="26"/>
        <v>0</v>
      </c>
      <c r="S149" s="734">
        <f t="shared" si="27"/>
        <v>0</v>
      </c>
    </row>
    <row r="150" spans="1:19">
      <c r="A150" s="879"/>
      <c r="B150" s="126"/>
      <c r="C150" s="49">
        <f t="shared" si="18"/>
        <v>1</v>
      </c>
      <c r="D150" s="878"/>
      <c r="E150" s="49">
        <f t="shared" si="19"/>
        <v>1</v>
      </c>
      <c r="F150" s="878"/>
      <c r="G150" s="49">
        <f t="shared" si="20"/>
        <v>1</v>
      </c>
      <c r="H150" s="878"/>
      <c r="I150" s="49">
        <f t="shared" si="21"/>
        <v>1</v>
      </c>
      <c r="J150" s="878"/>
      <c r="K150" s="49">
        <f t="shared" si="22"/>
        <v>1</v>
      </c>
      <c r="L150" s="878"/>
      <c r="M150" s="49">
        <f t="shared" si="23"/>
        <v>1</v>
      </c>
      <c r="N150" s="878"/>
      <c r="O150" s="49">
        <f t="shared" si="24"/>
        <v>1</v>
      </c>
      <c r="P150" s="878"/>
      <c r="Q150" s="49">
        <f t="shared" si="25"/>
        <v>1</v>
      </c>
      <c r="R150" s="49">
        <f t="shared" si="26"/>
        <v>0</v>
      </c>
      <c r="S150" s="734">
        <f t="shared" si="27"/>
        <v>0</v>
      </c>
    </row>
    <row r="151" spans="1:19">
      <c r="A151" s="879"/>
      <c r="B151" s="126"/>
      <c r="C151" s="49">
        <f t="shared" si="18"/>
        <v>1</v>
      </c>
      <c r="D151" s="878"/>
      <c r="E151" s="49">
        <f t="shared" si="19"/>
        <v>1</v>
      </c>
      <c r="F151" s="878"/>
      <c r="G151" s="49">
        <f t="shared" si="20"/>
        <v>1</v>
      </c>
      <c r="H151" s="878"/>
      <c r="I151" s="49">
        <f t="shared" si="21"/>
        <v>1</v>
      </c>
      <c r="J151" s="878"/>
      <c r="K151" s="49">
        <f t="shared" si="22"/>
        <v>1</v>
      </c>
      <c r="L151" s="878"/>
      <c r="M151" s="49">
        <f t="shared" si="23"/>
        <v>1</v>
      </c>
      <c r="N151" s="878"/>
      <c r="O151" s="49">
        <f t="shared" si="24"/>
        <v>1</v>
      </c>
      <c r="P151" s="878"/>
      <c r="Q151" s="49">
        <f t="shared" si="25"/>
        <v>1</v>
      </c>
      <c r="R151" s="49">
        <f t="shared" si="26"/>
        <v>0</v>
      </c>
      <c r="S151" s="734">
        <f t="shared" si="27"/>
        <v>0</v>
      </c>
    </row>
    <row r="152" spans="1:19">
      <c r="A152" s="879"/>
      <c r="B152" s="126"/>
      <c r="C152" s="49">
        <f t="shared" si="18"/>
        <v>1</v>
      </c>
      <c r="D152" s="878"/>
      <c r="E152" s="49">
        <f t="shared" si="19"/>
        <v>1</v>
      </c>
      <c r="F152" s="878"/>
      <c r="G152" s="49">
        <f t="shared" si="20"/>
        <v>1</v>
      </c>
      <c r="H152" s="878"/>
      <c r="I152" s="49">
        <f t="shared" si="21"/>
        <v>1</v>
      </c>
      <c r="J152" s="878"/>
      <c r="K152" s="49">
        <f t="shared" si="22"/>
        <v>1</v>
      </c>
      <c r="L152" s="878"/>
      <c r="M152" s="49">
        <f t="shared" si="23"/>
        <v>1</v>
      </c>
      <c r="N152" s="878"/>
      <c r="O152" s="49">
        <f t="shared" si="24"/>
        <v>1</v>
      </c>
      <c r="P152" s="878"/>
      <c r="Q152" s="49">
        <f t="shared" si="25"/>
        <v>1</v>
      </c>
      <c r="R152" s="49">
        <f t="shared" si="26"/>
        <v>0</v>
      </c>
      <c r="S152" s="734">
        <f t="shared" si="27"/>
        <v>0</v>
      </c>
    </row>
    <row r="153" spans="1:19">
      <c r="A153" s="879"/>
      <c r="B153" s="126"/>
      <c r="C153" s="49">
        <f t="shared" si="18"/>
        <v>1</v>
      </c>
      <c r="D153" s="878"/>
      <c r="E153" s="49">
        <f t="shared" si="19"/>
        <v>1</v>
      </c>
      <c r="F153" s="878"/>
      <c r="G153" s="49">
        <f t="shared" si="20"/>
        <v>1</v>
      </c>
      <c r="H153" s="878"/>
      <c r="I153" s="49">
        <f t="shared" si="21"/>
        <v>1</v>
      </c>
      <c r="J153" s="878"/>
      <c r="K153" s="49">
        <f t="shared" si="22"/>
        <v>1</v>
      </c>
      <c r="L153" s="878"/>
      <c r="M153" s="49">
        <f t="shared" si="23"/>
        <v>1</v>
      </c>
      <c r="N153" s="878"/>
      <c r="O153" s="49">
        <f t="shared" si="24"/>
        <v>1</v>
      </c>
      <c r="P153" s="878"/>
      <c r="Q153" s="49">
        <f t="shared" si="25"/>
        <v>1</v>
      </c>
      <c r="R153" s="49">
        <f t="shared" si="26"/>
        <v>0</v>
      </c>
      <c r="S153" s="734">
        <f t="shared" si="27"/>
        <v>0</v>
      </c>
    </row>
    <row r="154" spans="1:19">
      <c r="A154" s="879"/>
      <c r="B154" s="126"/>
      <c r="C154" s="49">
        <f t="shared" ref="C154:C217" si="28">IF(B154="",1,(LOOKUP(B154,$3:$3,$4:$4)-LOOKUP($B$24,$3:$3,$4:$4)+100)/100)</f>
        <v>1</v>
      </c>
      <c r="D154" s="878"/>
      <c r="E154" s="49">
        <f t="shared" ref="E154:E217" si="29">(SUMIF($5:$5,D154,$6:$6)-SUMIF($5:$5,$D$24,$6:$6)+100)/100</f>
        <v>1</v>
      </c>
      <c r="F154" s="878"/>
      <c r="G154" s="49">
        <f t="shared" ref="G154:G217" si="30">(SUMIF($7:$7,F154,$8:$8)-SUMIF($7:$7,$F$24,$8:$8)+100)/100</f>
        <v>1</v>
      </c>
      <c r="H154" s="878"/>
      <c r="I154" s="49">
        <f t="shared" ref="I154:I217" si="31">(SUMIF($9:$9,H154,$10:$10)-SUMIF($9:$9,$H$24,$10:$10)+100)/100</f>
        <v>1</v>
      </c>
      <c r="J154" s="878"/>
      <c r="K154" s="49">
        <f t="shared" ref="K154:K217" si="32">(SUMIF($11:$11,J154,$12:$12)-SUMIF($11:$11,$J$24,$12:$12)+100)/100</f>
        <v>1</v>
      </c>
      <c r="L154" s="878"/>
      <c r="M154" s="49">
        <f t="shared" ref="M154:M217" si="33">(SUMIF($13:$13,L154,$14:$14)-SUMIF($13:$13,$L$24,$14:$14)+100)/100</f>
        <v>1</v>
      </c>
      <c r="N154" s="878"/>
      <c r="O154" s="49">
        <f t="shared" ref="O154:O217" si="34">(SUMIF($15:$15,N154,$16:$16)-SUMIF($15:$15,$N$24,$16:$16)+100)/100</f>
        <v>1</v>
      </c>
      <c r="P154" s="878"/>
      <c r="Q154" s="49">
        <f t="shared" ref="Q154:Q217" si="35">(SUMIF($17:$17,P154,$18:$18)-SUMIF($17:$17,$P$24,$18:$18)+100)/100</f>
        <v>1</v>
      </c>
      <c r="R154" s="49">
        <f t="shared" ref="R154:R217" si="36">IF(B154="",0,ROUND($R$24*C154*E154*G154*I154*K154*M154*O154*Q154,0))</f>
        <v>0</v>
      </c>
      <c r="S154" s="734">
        <f t="shared" si="27"/>
        <v>0</v>
      </c>
    </row>
    <row r="155" spans="1:19">
      <c r="A155" s="879"/>
      <c r="B155" s="126"/>
      <c r="C155" s="49">
        <f t="shared" si="28"/>
        <v>1</v>
      </c>
      <c r="D155" s="878"/>
      <c r="E155" s="49">
        <f t="shared" si="29"/>
        <v>1</v>
      </c>
      <c r="F155" s="878"/>
      <c r="G155" s="49">
        <f t="shared" si="30"/>
        <v>1</v>
      </c>
      <c r="H155" s="878"/>
      <c r="I155" s="49">
        <f t="shared" si="31"/>
        <v>1</v>
      </c>
      <c r="J155" s="878"/>
      <c r="K155" s="49">
        <f t="shared" si="32"/>
        <v>1</v>
      </c>
      <c r="L155" s="878"/>
      <c r="M155" s="49">
        <f t="shared" si="33"/>
        <v>1</v>
      </c>
      <c r="N155" s="878"/>
      <c r="O155" s="49">
        <f t="shared" si="34"/>
        <v>1</v>
      </c>
      <c r="P155" s="878"/>
      <c r="Q155" s="49">
        <f t="shared" si="35"/>
        <v>1</v>
      </c>
      <c r="R155" s="49">
        <f t="shared" si="36"/>
        <v>0</v>
      </c>
      <c r="S155" s="734">
        <f t="shared" si="27"/>
        <v>0</v>
      </c>
    </row>
    <row r="156" spans="1:19">
      <c r="A156" s="879"/>
      <c r="B156" s="126"/>
      <c r="C156" s="49">
        <f t="shared" si="28"/>
        <v>1</v>
      </c>
      <c r="D156" s="878"/>
      <c r="E156" s="49">
        <f t="shared" si="29"/>
        <v>1</v>
      </c>
      <c r="F156" s="878"/>
      <c r="G156" s="49">
        <f t="shared" si="30"/>
        <v>1</v>
      </c>
      <c r="H156" s="878"/>
      <c r="I156" s="49">
        <f t="shared" si="31"/>
        <v>1</v>
      </c>
      <c r="J156" s="878"/>
      <c r="K156" s="49">
        <f t="shared" si="32"/>
        <v>1</v>
      </c>
      <c r="L156" s="878"/>
      <c r="M156" s="49">
        <f t="shared" si="33"/>
        <v>1</v>
      </c>
      <c r="N156" s="878"/>
      <c r="O156" s="49">
        <f t="shared" si="34"/>
        <v>1</v>
      </c>
      <c r="P156" s="878"/>
      <c r="Q156" s="49">
        <f t="shared" si="35"/>
        <v>1</v>
      </c>
      <c r="R156" s="49">
        <f t="shared" si="36"/>
        <v>0</v>
      </c>
      <c r="S156" s="734">
        <f t="shared" si="27"/>
        <v>0</v>
      </c>
    </row>
    <row r="157" spans="1:19">
      <c r="A157" s="879"/>
      <c r="B157" s="126"/>
      <c r="C157" s="49">
        <f t="shared" si="28"/>
        <v>1</v>
      </c>
      <c r="D157" s="878"/>
      <c r="E157" s="49">
        <f t="shared" si="29"/>
        <v>1</v>
      </c>
      <c r="F157" s="878"/>
      <c r="G157" s="49">
        <f t="shared" si="30"/>
        <v>1</v>
      </c>
      <c r="H157" s="878"/>
      <c r="I157" s="49">
        <f t="shared" si="31"/>
        <v>1</v>
      </c>
      <c r="J157" s="878"/>
      <c r="K157" s="49">
        <f t="shared" si="32"/>
        <v>1</v>
      </c>
      <c r="L157" s="878"/>
      <c r="M157" s="49">
        <f t="shared" si="33"/>
        <v>1</v>
      </c>
      <c r="N157" s="878"/>
      <c r="O157" s="49">
        <f t="shared" si="34"/>
        <v>1</v>
      </c>
      <c r="P157" s="878"/>
      <c r="Q157" s="49">
        <f t="shared" si="35"/>
        <v>1</v>
      </c>
      <c r="R157" s="49">
        <f t="shared" si="36"/>
        <v>0</v>
      </c>
      <c r="S157" s="734">
        <f t="shared" si="27"/>
        <v>0</v>
      </c>
    </row>
    <row r="158" spans="1:19">
      <c r="A158" s="879"/>
      <c r="B158" s="126"/>
      <c r="C158" s="49">
        <f t="shared" si="28"/>
        <v>1</v>
      </c>
      <c r="D158" s="878"/>
      <c r="E158" s="49">
        <f t="shared" si="29"/>
        <v>1</v>
      </c>
      <c r="F158" s="878"/>
      <c r="G158" s="49">
        <f t="shared" si="30"/>
        <v>1</v>
      </c>
      <c r="H158" s="878"/>
      <c r="I158" s="49">
        <f t="shared" si="31"/>
        <v>1</v>
      </c>
      <c r="J158" s="878"/>
      <c r="K158" s="49">
        <f t="shared" si="32"/>
        <v>1</v>
      </c>
      <c r="L158" s="878"/>
      <c r="M158" s="49">
        <f t="shared" si="33"/>
        <v>1</v>
      </c>
      <c r="N158" s="878"/>
      <c r="O158" s="49">
        <f t="shared" si="34"/>
        <v>1</v>
      </c>
      <c r="P158" s="878"/>
      <c r="Q158" s="49">
        <f t="shared" si="35"/>
        <v>1</v>
      </c>
      <c r="R158" s="49">
        <f t="shared" si="36"/>
        <v>0</v>
      </c>
      <c r="S158" s="734">
        <f t="shared" si="27"/>
        <v>0</v>
      </c>
    </row>
    <row r="159" spans="1:19">
      <c r="A159" s="879"/>
      <c r="B159" s="126"/>
      <c r="C159" s="49">
        <f t="shared" si="28"/>
        <v>1</v>
      </c>
      <c r="D159" s="878"/>
      <c r="E159" s="49">
        <f t="shared" si="29"/>
        <v>1</v>
      </c>
      <c r="F159" s="878"/>
      <c r="G159" s="49">
        <f t="shared" si="30"/>
        <v>1</v>
      </c>
      <c r="H159" s="878"/>
      <c r="I159" s="49">
        <f t="shared" si="31"/>
        <v>1</v>
      </c>
      <c r="J159" s="878"/>
      <c r="K159" s="49">
        <f t="shared" si="32"/>
        <v>1</v>
      </c>
      <c r="L159" s="878"/>
      <c r="M159" s="49">
        <f t="shared" si="33"/>
        <v>1</v>
      </c>
      <c r="N159" s="878"/>
      <c r="O159" s="49">
        <f t="shared" si="34"/>
        <v>1</v>
      </c>
      <c r="P159" s="878"/>
      <c r="Q159" s="49">
        <f t="shared" si="35"/>
        <v>1</v>
      </c>
      <c r="R159" s="49">
        <f t="shared" si="36"/>
        <v>0</v>
      </c>
      <c r="S159" s="734">
        <f t="shared" si="27"/>
        <v>0</v>
      </c>
    </row>
    <row r="160" spans="1:19">
      <c r="A160" s="879"/>
      <c r="B160" s="126"/>
      <c r="C160" s="49">
        <f t="shared" si="28"/>
        <v>1</v>
      </c>
      <c r="D160" s="878"/>
      <c r="E160" s="49">
        <f t="shared" si="29"/>
        <v>1</v>
      </c>
      <c r="F160" s="878"/>
      <c r="G160" s="49">
        <f t="shared" si="30"/>
        <v>1</v>
      </c>
      <c r="H160" s="878"/>
      <c r="I160" s="49">
        <f t="shared" si="31"/>
        <v>1</v>
      </c>
      <c r="J160" s="878"/>
      <c r="K160" s="49">
        <f t="shared" si="32"/>
        <v>1</v>
      </c>
      <c r="L160" s="878"/>
      <c r="M160" s="49">
        <f t="shared" si="33"/>
        <v>1</v>
      </c>
      <c r="N160" s="878"/>
      <c r="O160" s="49">
        <f t="shared" si="34"/>
        <v>1</v>
      </c>
      <c r="P160" s="878"/>
      <c r="Q160" s="49">
        <f t="shared" si="35"/>
        <v>1</v>
      </c>
      <c r="R160" s="49">
        <f t="shared" si="36"/>
        <v>0</v>
      </c>
      <c r="S160" s="734">
        <f t="shared" si="27"/>
        <v>0</v>
      </c>
    </row>
    <row r="161" spans="1:19">
      <c r="A161" s="879"/>
      <c r="B161" s="126"/>
      <c r="C161" s="49">
        <f t="shared" si="28"/>
        <v>1</v>
      </c>
      <c r="D161" s="878"/>
      <c r="E161" s="49">
        <f t="shared" si="29"/>
        <v>1</v>
      </c>
      <c r="F161" s="878"/>
      <c r="G161" s="49">
        <f t="shared" si="30"/>
        <v>1</v>
      </c>
      <c r="H161" s="878"/>
      <c r="I161" s="49">
        <f t="shared" si="31"/>
        <v>1</v>
      </c>
      <c r="J161" s="878"/>
      <c r="K161" s="49">
        <f t="shared" si="32"/>
        <v>1</v>
      </c>
      <c r="L161" s="878"/>
      <c r="M161" s="49">
        <f t="shared" si="33"/>
        <v>1</v>
      </c>
      <c r="N161" s="878"/>
      <c r="O161" s="49">
        <f t="shared" si="34"/>
        <v>1</v>
      </c>
      <c r="P161" s="878"/>
      <c r="Q161" s="49">
        <f t="shared" si="35"/>
        <v>1</v>
      </c>
      <c r="R161" s="49">
        <f t="shared" si="36"/>
        <v>0</v>
      </c>
      <c r="S161" s="734">
        <f t="shared" si="27"/>
        <v>0</v>
      </c>
    </row>
    <row r="162" spans="1:19">
      <c r="A162" s="879"/>
      <c r="B162" s="126"/>
      <c r="C162" s="49">
        <f t="shared" si="28"/>
        <v>1</v>
      </c>
      <c r="D162" s="878"/>
      <c r="E162" s="49">
        <f t="shared" si="29"/>
        <v>1</v>
      </c>
      <c r="F162" s="878"/>
      <c r="G162" s="49">
        <f t="shared" si="30"/>
        <v>1</v>
      </c>
      <c r="H162" s="878"/>
      <c r="I162" s="49">
        <f t="shared" si="31"/>
        <v>1</v>
      </c>
      <c r="J162" s="878"/>
      <c r="K162" s="49">
        <f t="shared" si="32"/>
        <v>1</v>
      </c>
      <c r="L162" s="878"/>
      <c r="M162" s="49">
        <f t="shared" si="33"/>
        <v>1</v>
      </c>
      <c r="N162" s="878"/>
      <c r="O162" s="49">
        <f t="shared" si="34"/>
        <v>1</v>
      </c>
      <c r="P162" s="878"/>
      <c r="Q162" s="49">
        <f t="shared" si="35"/>
        <v>1</v>
      </c>
      <c r="R162" s="49">
        <f t="shared" si="36"/>
        <v>0</v>
      </c>
      <c r="S162" s="734">
        <f t="shared" si="27"/>
        <v>0</v>
      </c>
    </row>
    <row r="163" spans="1:19">
      <c r="A163" s="879"/>
      <c r="B163" s="126"/>
      <c r="C163" s="49">
        <f t="shared" si="28"/>
        <v>1</v>
      </c>
      <c r="D163" s="878"/>
      <c r="E163" s="49">
        <f t="shared" si="29"/>
        <v>1</v>
      </c>
      <c r="F163" s="878"/>
      <c r="G163" s="49">
        <f t="shared" si="30"/>
        <v>1</v>
      </c>
      <c r="H163" s="878"/>
      <c r="I163" s="49">
        <f t="shared" si="31"/>
        <v>1</v>
      </c>
      <c r="J163" s="878"/>
      <c r="K163" s="49">
        <f t="shared" si="32"/>
        <v>1</v>
      </c>
      <c r="L163" s="878"/>
      <c r="M163" s="49">
        <f t="shared" si="33"/>
        <v>1</v>
      </c>
      <c r="N163" s="878"/>
      <c r="O163" s="49">
        <f t="shared" si="34"/>
        <v>1</v>
      </c>
      <c r="P163" s="878"/>
      <c r="Q163" s="49">
        <f t="shared" si="35"/>
        <v>1</v>
      </c>
      <c r="R163" s="49">
        <f t="shared" si="36"/>
        <v>0</v>
      </c>
      <c r="S163" s="734">
        <f t="shared" si="27"/>
        <v>0</v>
      </c>
    </row>
    <row r="164" spans="1:19">
      <c r="A164" s="879"/>
      <c r="B164" s="126"/>
      <c r="C164" s="49">
        <f t="shared" si="28"/>
        <v>1</v>
      </c>
      <c r="D164" s="878"/>
      <c r="E164" s="49">
        <f t="shared" si="29"/>
        <v>1</v>
      </c>
      <c r="F164" s="878"/>
      <c r="G164" s="49">
        <f t="shared" si="30"/>
        <v>1</v>
      </c>
      <c r="H164" s="878"/>
      <c r="I164" s="49">
        <f t="shared" si="31"/>
        <v>1</v>
      </c>
      <c r="J164" s="878"/>
      <c r="K164" s="49">
        <f t="shared" si="32"/>
        <v>1</v>
      </c>
      <c r="L164" s="878"/>
      <c r="M164" s="49">
        <f t="shared" si="33"/>
        <v>1</v>
      </c>
      <c r="N164" s="878"/>
      <c r="O164" s="49">
        <f t="shared" si="34"/>
        <v>1</v>
      </c>
      <c r="P164" s="878"/>
      <c r="Q164" s="49">
        <f t="shared" si="35"/>
        <v>1</v>
      </c>
      <c r="R164" s="49">
        <f t="shared" si="36"/>
        <v>0</v>
      </c>
      <c r="S164" s="734">
        <f t="shared" si="27"/>
        <v>0</v>
      </c>
    </row>
    <row r="165" spans="1:19">
      <c r="A165" s="879"/>
      <c r="B165" s="126"/>
      <c r="C165" s="49">
        <f t="shared" si="28"/>
        <v>1</v>
      </c>
      <c r="D165" s="878"/>
      <c r="E165" s="49">
        <f t="shared" si="29"/>
        <v>1</v>
      </c>
      <c r="F165" s="878"/>
      <c r="G165" s="49">
        <f t="shared" si="30"/>
        <v>1</v>
      </c>
      <c r="H165" s="878"/>
      <c r="I165" s="49">
        <f t="shared" si="31"/>
        <v>1</v>
      </c>
      <c r="J165" s="878"/>
      <c r="K165" s="49">
        <f t="shared" si="32"/>
        <v>1</v>
      </c>
      <c r="L165" s="878"/>
      <c r="M165" s="49">
        <f t="shared" si="33"/>
        <v>1</v>
      </c>
      <c r="N165" s="878"/>
      <c r="O165" s="49">
        <f t="shared" si="34"/>
        <v>1</v>
      </c>
      <c r="P165" s="878"/>
      <c r="Q165" s="49">
        <f t="shared" si="35"/>
        <v>1</v>
      </c>
      <c r="R165" s="49">
        <f t="shared" si="36"/>
        <v>0</v>
      </c>
      <c r="S165" s="734">
        <f t="shared" si="27"/>
        <v>0</v>
      </c>
    </row>
    <row r="166" spans="1:19">
      <c r="A166" s="879"/>
      <c r="B166" s="126"/>
      <c r="C166" s="49">
        <f t="shared" si="28"/>
        <v>1</v>
      </c>
      <c r="D166" s="878"/>
      <c r="E166" s="49">
        <f t="shared" si="29"/>
        <v>1</v>
      </c>
      <c r="F166" s="878"/>
      <c r="G166" s="49">
        <f t="shared" si="30"/>
        <v>1</v>
      </c>
      <c r="H166" s="878"/>
      <c r="I166" s="49">
        <f t="shared" si="31"/>
        <v>1</v>
      </c>
      <c r="J166" s="878"/>
      <c r="K166" s="49">
        <f t="shared" si="32"/>
        <v>1</v>
      </c>
      <c r="L166" s="878"/>
      <c r="M166" s="49">
        <f t="shared" si="33"/>
        <v>1</v>
      </c>
      <c r="N166" s="878"/>
      <c r="O166" s="49">
        <f t="shared" si="34"/>
        <v>1</v>
      </c>
      <c r="P166" s="878"/>
      <c r="Q166" s="49">
        <f t="shared" si="35"/>
        <v>1</v>
      </c>
      <c r="R166" s="49">
        <f t="shared" si="36"/>
        <v>0</v>
      </c>
      <c r="S166" s="734">
        <f t="shared" si="27"/>
        <v>0</v>
      </c>
    </row>
    <row r="167" spans="1:19">
      <c r="A167" s="879"/>
      <c r="B167" s="126"/>
      <c r="C167" s="49">
        <f t="shared" si="28"/>
        <v>1</v>
      </c>
      <c r="D167" s="878"/>
      <c r="E167" s="49">
        <f t="shared" si="29"/>
        <v>1</v>
      </c>
      <c r="F167" s="878"/>
      <c r="G167" s="49">
        <f t="shared" si="30"/>
        <v>1</v>
      </c>
      <c r="H167" s="878"/>
      <c r="I167" s="49">
        <f t="shared" si="31"/>
        <v>1</v>
      </c>
      <c r="J167" s="878"/>
      <c r="K167" s="49">
        <f t="shared" si="32"/>
        <v>1</v>
      </c>
      <c r="L167" s="878"/>
      <c r="M167" s="49">
        <f t="shared" si="33"/>
        <v>1</v>
      </c>
      <c r="N167" s="878"/>
      <c r="O167" s="49">
        <f t="shared" si="34"/>
        <v>1</v>
      </c>
      <c r="P167" s="878"/>
      <c r="Q167" s="49">
        <f t="shared" si="35"/>
        <v>1</v>
      </c>
      <c r="R167" s="49">
        <f t="shared" si="36"/>
        <v>0</v>
      </c>
      <c r="S167" s="734">
        <f t="shared" si="27"/>
        <v>0</v>
      </c>
    </row>
    <row r="168" spans="1:19">
      <c r="A168" s="879"/>
      <c r="B168" s="126"/>
      <c r="C168" s="49">
        <f t="shared" si="28"/>
        <v>1</v>
      </c>
      <c r="D168" s="878"/>
      <c r="E168" s="49">
        <f t="shared" si="29"/>
        <v>1</v>
      </c>
      <c r="F168" s="878"/>
      <c r="G168" s="49">
        <f t="shared" si="30"/>
        <v>1</v>
      </c>
      <c r="H168" s="878"/>
      <c r="I168" s="49">
        <f t="shared" si="31"/>
        <v>1</v>
      </c>
      <c r="J168" s="878"/>
      <c r="K168" s="49">
        <f t="shared" si="32"/>
        <v>1</v>
      </c>
      <c r="L168" s="878"/>
      <c r="M168" s="49">
        <f t="shared" si="33"/>
        <v>1</v>
      </c>
      <c r="N168" s="878"/>
      <c r="O168" s="49">
        <f t="shared" si="34"/>
        <v>1</v>
      </c>
      <c r="P168" s="878"/>
      <c r="Q168" s="49">
        <f t="shared" si="35"/>
        <v>1</v>
      </c>
      <c r="R168" s="49">
        <f t="shared" si="36"/>
        <v>0</v>
      </c>
      <c r="S168" s="734">
        <f t="shared" si="27"/>
        <v>0</v>
      </c>
    </row>
    <row r="169" spans="1:19">
      <c r="A169" s="879"/>
      <c r="B169" s="126"/>
      <c r="C169" s="49">
        <f t="shared" si="28"/>
        <v>1</v>
      </c>
      <c r="D169" s="878"/>
      <c r="E169" s="49">
        <f t="shared" si="29"/>
        <v>1</v>
      </c>
      <c r="F169" s="878"/>
      <c r="G169" s="49">
        <f t="shared" si="30"/>
        <v>1</v>
      </c>
      <c r="H169" s="878"/>
      <c r="I169" s="49">
        <f t="shared" si="31"/>
        <v>1</v>
      </c>
      <c r="J169" s="878"/>
      <c r="K169" s="49">
        <f t="shared" si="32"/>
        <v>1</v>
      </c>
      <c r="L169" s="878"/>
      <c r="M169" s="49">
        <f t="shared" si="33"/>
        <v>1</v>
      </c>
      <c r="N169" s="878"/>
      <c r="O169" s="49">
        <f t="shared" si="34"/>
        <v>1</v>
      </c>
      <c r="P169" s="878"/>
      <c r="Q169" s="49">
        <f t="shared" si="35"/>
        <v>1</v>
      </c>
      <c r="R169" s="49">
        <f t="shared" si="36"/>
        <v>0</v>
      </c>
      <c r="S169" s="734">
        <f t="shared" si="27"/>
        <v>0</v>
      </c>
    </row>
    <row r="170" spans="1:19">
      <c r="A170" s="879"/>
      <c r="B170" s="126"/>
      <c r="C170" s="49">
        <f t="shared" si="28"/>
        <v>1</v>
      </c>
      <c r="D170" s="878"/>
      <c r="E170" s="49">
        <f t="shared" si="29"/>
        <v>1</v>
      </c>
      <c r="F170" s="878"/>
      <c r="G170" s="49">
        <f t="shared" si="30"/>
        <v>1</v>
      </c>
      <c r="H170" s="878"/>
      <c r="I170" s="49">
        <f t="shared" si="31"/>
        <v>1</v>
      </c>
      <c r="J170" s="878"/>
      <c r="K170" s="49">
        <f t="shared" si="32"/>
        <v>1</v>
      </c>
      <c r="L170" s="878"/>
      <c r="M170" s="49">
        <f t="shared" si="33"/>
        <v>1</v>
      </c>
      <c r="N170" s="878"/>
      <c r="O170" s="49">
        <f t="shared" si="34"/>
        <v>1</v>
      </c>
      <c r="P170" s="878"/>
      <c r="Q170" s="49">
        <f t="shared" si="35"/>
        <v>1</v>
      </c>
      <c r="R170" s="49">
        <f t="shared" si="36"/>
        <v>0</v>
      </c>
      <c r="S170" s="734">
        <f t="shared" si="27"/>
        <v>0</v>
      </c>
    </row>
    <row r="171" spans="1:19">
      <c r="A171" s="879"/>
      <c r="B171" s="126"/>
      <c r="C171" s="49">
        <f t="shared" si="28"/>
        <v>1</v>
      </c>
      <c r="D171" s="878"/>
      <c r="E171" s="49">
        <f t="shared" si="29"/>
        <v>1</v>
      </c>
      <c r="F171" s="878"/>
      <c r="G171" s="49">
        <f t="shared" si="30"/>
        <v>1</v>
      </c>
      <c r="H171" s="878"/>
      <c r="I171" s="49">
        <f t="shared" si="31"/>
        <v>1</v>
      </c>
      <c r="J171" s="878"/>
      <c r="K171" s="49">
        <f t="shared" si="32"/>
        <v>1</v>
      </c>
      <c r="L171" s="878"/>
      <c r="M171" s="49">
        <f t="shared" si="33"/>
        <v>1</v>
      </c>
      <c r="N171" s="878"/>
      <c r="O171" s="49">
        <f t="shared" si="34"/>
        <v>1</v>
      </c>
      <c r="P171" s="878"/>
      <c r="Q171" s="49">
        <f t="shared" si="35"/>
        <v>1</v>
      </c>
      <c r="R171" s="49">
        <f t="shared" si="36"/>
        <v>0</v>
      </c>
      <c r="S171" s="734">
        <f t="shared" si="27"/>
        <v>0</v>
      </c>
    </row>
    <row r="172" spans="1:19">
      <c r="A172" s="879"/>
      <c r="B172" s="126"/>
      <c r="C172" s="49">
        <f t="shared" si="28"/>
        <v>1</v>
      </c>
      <c r="D172" s="878"/>
      <c r="E172" s="49">
        <f t="shared" si="29"/>
        <v>1</v>
      </c>
      <c r="F172" s="878"/>
      <c r="G172" s="49">
        <f t="shared" si="30"/>
        <v>1</v>
      </c>
      <c r="H172" s="878"/>
      <c r="I172" s="49">
        <f t="shared" si="31"/>
        <v>1</v>
      </c>
      <c r="J172" s="878"/>
      <c r="K172" s="49">
        <f t="shared" si="32"/>
        <v>1</v>
      </c>
      <c r="L172" s="878"/>
      <c r="M172" s="49">
        <f t="shared" si="33"/>
        <v>1</v>
      </c>
      <c r="N172" s="878"/>
      <c r="O172" s="49">
        <f t="shared" si="34"/>
        <v>1</v>
      </c>
      <c r="P172" s="878"/>
      <c r="Q172" s="49">
        <f t="shared" si="35"/>
        <v>1</v>
      </c>
      <c r="R172" s="49">
        <f t="shared" si="36"/>
        <v>0</v>
      </c>
      <c r="S172" s="734">
        <f t="shared" si="27"/>
        <v>0</v>
      </c>
    </row>
    <row r="173" spans="1:19">
      <c r="A173" s="879"/>
      <c r="B173" s="126"/>
      <c r="C173" s="49">
        <f t="shared" si="28"/>
        <v>1</v>
      </c>
      <c r="D173" s="878"/>
      <c r="E173" s="49">
        <f t="shared" si="29"/>
        <v>1</v>
      </c>
      <c r="F173" s="878"/>
      <c r="G173" s="49">
        <f t="shared" si="30"/>
        <v>1</v>
      </c>
      <c r="H173" s="878"/>
      <c r="I173" s="49">
        <f t="shared" si="31"/>
        <v>1</v>
      </c>
      <c r="J173" s="878"/>
      <c r="K173" s="49">
        <f t="shared" si="32"/>
        <v>1</v>
      </c>
      <c r="L173" s="878"/>
      <c r="M173" s="49">
        <f t="shared" si="33"/>
        <v>1</v>
      </c>
      <c r="N173" s="878"/>
      <c r="O173" s="49">
        <f t="shared" si="34"/>
        <v>1</v>
      </c>
      <c r="P173" s="878"/>
      <c r="Q173" s="49">
        <f t="shared" si="35"/>
        <v>1</v>
      </c>
      <c r="R173" s="49">
        <f t="shared" si="36"/>
        <v>0</v>
      </c>
      <c r="S173" s="734">
        <f t="shared" si="27"/>
        <v>0</v>
      </c>
    </row>
    <row r="174" spans="1:19">
      <c r="A174" s="879"/>
      <c r="B174" s="126"/>
      <c r="C174" s="49">
        <f t="shared" si="28"/>
        <v>1</v>
      </c>
      <c r="D174" s="878"/>
      <c r="E174" s="49">
        <f t="shared" si="29"/>
        <v>1</v>
      </c>
      <c r="F174" s="878"/>
      <c r="G174" s="49">
        <f t="shared" si="30"/>
        <v>1</v>
      </c>
      <c r="H174" s="878"/>
      <c r="I174" s="49">
        <f t="shared" si="31"/>
        <v>1</v>
      </c>
      <c r="J174" s="878"/>
      <c r="K174" s="49">
        <f t="shared" si="32"/>
        <v>1</v>
      </c>
      <c r="L174" s="878"/>
      <c r="M174" s="49">
        <f t="shared" si="33"/>
        <v>1</v>
      </c>
      <c r="N174" s="878"/>
      <c r="O174" s="49">
        <f t="shared" si="34"/>
        <v>1</v>
      </c>
      <c r="P174" s="878"/>
      <c r="Q174" s="49">
        <f t="shared" si="35"/>
        <v>1</v>
      </c>
      <c r="R174" s="49">
        <f t="shared" si="36"/>
        <v>0</v>
      </c>
      <c r="S174" s="734">
        <f t="shared" si="27"/>
        <v>0</v>
      </c>
    </row>
    <row r="175" spans="1:19">
      <c r="A175" s="879"/>
      <c r="B175" s="126"/>
      <c r="C175" s="49">
        <f t="shared" si="28"/>
        <v>1</v>
      </c>
      <c r="D175" s="878"/>
      <c r="E175" s="49">
        <f t="shared" si="29"/>
        <v>1</v>
      </c>
      <c r="F175" s="878"/>
      <c r="G175" s="49">
        <f t="shared" si="30"/>
        <v>1</v>
      </c>
      <c r="H175" s="878"/>
      <c r="I175" s="49">
        <f t="shared" si="31"/>
        <v>1</v>
      </c>
      <c r="J175" s="878"/>
      <c r="K175" s="49">
        <f t="shared" si="32"/>
        <v>1</v>
      </c>
      <c r="L175" s="878"/>
      <c r="M175" s="49">
        <f t="shared" si="33"/>
        <v>1</v>
      </c>
      <c r="N175" s="878"/>
      <c r="O175" s="49">
        <f t="shared" si="34"/>
        <v>1</v>
      </c>
      <c r="P175" s="878"/>
      <c r="Q175" s="49">
        <f t="shared" si="35"/>
        <v>1</v>
      </c>
      <c r="R175" s="49">
        <f t="shared" si="36"/>
        <v>0</v>
      </c>
      <c r="S175" s="734">
        <f t="shared" si="27"/>
        <v>0</v>
      </c>
    </row>
    <row r="176" spans="1:19">
      <c r="A176" s="879"/>
      <c r="B176" s="126"/>
      <c r="C176" s="49">
        <f t="shared" si="28"/>
        <v>1</v>
      </c>
      <c r="D176" s="878"/>
      <c r="E176" s="49">
        <f t="shared" si="29"/>
        <v>1</v>
      </c>
      <c r="F176" s="878"/>
      <c r="G176" s="49">
        <f t="shared" si="30"/>
        <v>1</v>
      </c>
      <c r="H176" s="878"/>
      <c r="I176" s="49">
        <f t="shared" si="31"/>
        <v>1</v>
      </c>
      <c r="J176" s="878"/>
      <c r="K176" s="49">
        <f t="shared" si="32"/>
        <v>1</v>
      </c>
      <c r="L176" s="878"/>
      <c r="M176" s="49">
        <f t="shared" si="33"/>
        <v>1</v>
      </c>
      <c r="N176" s="878"/>
      <c r="O176" s="49">
        <f t="shared" si="34"/>
        <v>1</v>
      </c>
      <c r="P176" s="878"/>
      <c r="Q176" s="49">
        <f t="shared" si="35"/>
        <v>1</v>
      </c>
      <c r="R176" s="49">
        <f t="shared" si="36"/>
        <v>0</v>
      </c>
      <c r="S176" s="734">
        <f t="shared" si="27"/>
        <v>0</v>
      </c>
    </row>
    <row r="177" spans="1:19">
      <c r="A177" s="879"/>
      <c r="B177" s="126"/>
      <c r="C177" s="49">
        <f t="shared" si="28"/>
        <v>1</v>
      </c>
      <c r="D177" s="878"/>
      <c r="E177" s="49">
        <f t="shared" si="29"/>
        <v>1</v>
      </c>
      <c r="F177" s="878"/>
      <c r="G177" s="49">
        <f t="shared" si="30"/>
        <v>1</v>
      </c>
      <c r="H177" s="878"/>
      <c r="I177" s="49">
        <f t="shared" si="31"/>
        <v>1</v>
      </c>
      <c r="J177" s="878"/>
      <c r="K177" s="49">
        <f t="shared" si="32"/>
        <v>1</v>
      </c>
      <c r="L177" s="878"/>
      <c r="M177" s="49">
        <f t="shared" si="33"/>
        <v>1</v>
      </c>
      <c r="N177" s="878"/>
      <c r="O177" s="49">
        <f t="shared" si="34"/>
        <v>1</v>
      </c>
      <c r="P177" s="878"/>
      <c r="Q177" s="49">
        <f t="shared" si="35"/>
        <v>1</v>
      </c>
      <c r="R177" s="49">
        <f t="shared" si="36"/>
        <v>0</v>
      </c>
      <c r="S177" s="734">
        <f t="shared" si="27"/>
        <v>0</v>
      </c>
    </row>
    <row r="178" spans="1:19">
      <c r="A178" s="879"/>
      <c r="B178" s="126"/>
      <c r="C178" s="49">
        <f t="shared" si="28"/>
        <v>1</v>
      </c>
      <c r="D178" s="878"/>
      <c r="E178" s="49">
        <f t="shared" si="29"/>
        <v>1</v>
      </c>
      <c r="F178" s="878"/>
      <c r="G178" s="49">
        <f t="shared" si="30"/>
        <v>1</v>
      </c>
      <c r="H178" s="878"/>
      <c r="I178" s="49">
        <f t="shared" si="31"/>
        <v>1</v>
      </c>
      <c r="J178" s="878"/>
      <c r="K178" s="49">
        <f t="shared" si="32"/>
        <v>1</v>
      </c>
      <c r="L178" s="878"/>
      <c r="M178" s="49">
        <f t="shared" si="33"/>
        <v>1</v>
      </c>
      <c r="N178" s="878"/>
      <c r="O178" s="49">
        <f t="shared" si="34"/>
        <v>1</v>
      </c>
      <c r="P178" s="878"/>
      <c r="Q178" s="49">
        <f t="shared" si="35"/>
        <v>1</v>
      </c>
      <c r="R178" s="49">
        <f t="shared" si="36"/>
        <v>0</v>
      </c>
      <c r="S178" s="734">
        <f t="shared" si="27"/>
        <v>0</v>
      </c>
    </row>
    <row r="179" spans="1:19">
      <c r="A179" s="879"/>
      <c r="B179" s="126"/>
      <c r="C179" s="49">
        <f t="shared" si="28"/>
        <v>1</v>
      </c>
      <c r="D179" s="878"/>
      <c r="E179" s="49">
        <f t="shared" si="29"/>
        <v>1</v>
      </c>
      <c r="F179" s="878"/>
      <c r="G179" s="49">
        <f t="shared" si="30"/>
        <v>1</v>
      </c>
      <c r="H179" s="878"/>
      <c r="I179" s="49">
        <f t="shared" si="31"/>
        <v>1</v>
      </c>
      <c r="J179" s="878"/>
      <c r="K179" s="49">
        <f t="shared" si="32"/>
        <v>1</v>
      </c>
      <c r="L179" s="878"/>
      <c r="M179" s="49">
        <f t="shared" si="33"/>
        <v>1</v>
      </c>
      <c r="N179" s="878"/>
      <c r="O179" s="49">
        <f t="shared" si="34"/>
        <v>1</v>
      </c>
      <c r="P179" s="878"/>
      <c r="Q179" s="49">
        <f t="shared" si="35"/>
        <v>1</v>
      </c>
      <c r="R179" s="49">
        <f t="shared" si="36"/>
        <v>0</v>
      </c>
      <c r="S179" s="734">
        <f t="shared" si="27"/>
        <v>0</v>
      </c>
    </row>
    <row r="180" spans="1:19">
      <c r="A180" s="879"/>
      <c r="B180" s="126"/>
      <c r="C180" s="49">
        <f t="shared" si="28"/>
        <v>1</v>
      </c>
      <c r="D180" s="878"/>
      <c r="E180" s="49">
        <f t="shared" si="29"/>
        <v>1</v>
      </c>
      <c r="F180" s="878"/>
      <c r="G180" s="49">
        <f t="shared" si="30"/>
        <v>1</v>
      </c>
      <c r="H180" s="878"/>
      <c r="I180" s="49">
        <f t="shared" si="31"/>
        <v>1</v>
      </c>
      <c r="J180" s="878"/>
      <c r="K180" s="49">
        <f t="shared" si="32"/>
        <v>1</v>
      </c>
      <c r="L180" s="878"/>
      <c r="M180" s="49">
        <f t="shared" si="33"/>
        <v>1</v>
      </c>
      <c r="N180" s="878"/>
      <c r="O180" s="49">
        <f t="shared" si="34"/>
        <v>1</v>
      </c>
      <c r="P180" s="878"/>
      <c r="Q180" s="49">
        <f t="shared" si="35"/>
        <v>1</v>
      </c>
      <c r="R180" s="49">
        <f t="shared" si="36"/>
        <v>0</v>
      </c>
      <c r="S180" s="734">
        <f t="shared" si="27"/>
        <v>0</v>
      </c>
    </row>
    <row r="181" spans="1:19">
      <c r="A181" s="879"/>
      <c r="B181" s="126"/>
      <c r="C181" s="49">
        <f t="shared" si="28"/>
        <v>1</v>
      </c>
      <c r="D181" s="878"/>
      <c r="E181" s="49">
        <f t="shared" si="29"/>
        <v>1</v>
      </c>
      <c r="F181" s="878"/>
      <c r="G181" s="49">
        <f t="shared" si="30"/>
        <v>1</v>
      </c>
      <c r="H181" s="878"/>
      <c r="I181" s="49">
        <f t="shared" si="31"/>
        <v>1</v>
      </c>
      <c r="J181" s="878"/>
      <c r="K181" s="49">
        <f t="shared" si="32"/>
        <v>1</v>
      </c>
      <c r="L181" s="878"/>
      <c r="M181" s="49">
        <f t="shared" si="33"/>
        <v>1</v>
      </c>
      <c r="N181" s="878"/>
      <c r="O181" s="49">
        <f t="shared" si="34"/>
        <v>1</v>
      </c>
      <c r="P181" s="878"/>
      <c r="Q181" s="49">
        <f t="shared" si="35"/>
        <v>1</v>
      </c>
      <c r="R181" s="49">
        <f t="shared" si="36"/>
        <v>0</v>
      </c>
      <c r="S181" s="734">
        <f t="shared" si="27"/>
        <v>0</v>
      </c>
    </row>
    <row r="182" spans="1:19">
      <c r="A182" s="879"/>
      <c r="B182" s="126"/>
      <c r="C182" s="49">
        <f t="shared" si="28"/>
        <v>1</v>
      </c>
      <c r="D182" s="878"/>
      <c r="E182" s="49">
        <f t="shared" si="29"/>
        <v>1</v>
      </c>
      <c r="F182" s="878"/>
      <c r="G182" s="49">
        <f t="shared" si="30"/>
        <v>1</v>
      </c>
      <c r="H182" s="878"/>
      <c r="I182" s="49">
        <f t="shared" si="31"/>
        <v>1</v>
      </c>
      <c r="J182" s="878"/>
      <c r="K182" s="49">
        <f t="shared" si="32"/>
        <v>1</v>
      </c>
      <c r="L182" s="878"/>
      <c r="M182" s="49">
        <f t="shared" si="33"/>
        <v>1</v>
      </c>
      <c r="N182" s="878"/>
      <c r="O182" s="49">
        <f t="shared" si="34"/>
        <v>1</v>
      </c>
      <c r="P182" s="878"/>
      <c r="Q182" s="49">
        <f t="shared" si="35"/>
        <v>1</v>
      </c>
      <c r="R182" s="49">
        <f t="shared" si="36"/>
        <v>0</v>
      </c>
      <c r="S182" s="734">
        <f t="shared" si="27"/>
        <v>0</v>
      </c>
    </row>
    <row r="183" spans="1:19">
      <c r="A183" s="879"/>
      <c r="B183" s="126"/>
      <c r="C183" s="49">
        <f t="shared" si="28"/>
        <v>1</v>
      </c>
      <c r="D183" s="878"/>
      <c r="E183" s="49">
        <f t="shared" si="29"/>
        <v>1</v>
      </c>
      <c r="F183" s="878"/>
      <c r="G183" s="49">
        <f t="shared" si="30"/>
        <v>1</v>
      </c>
      <c r="H183" s="878"/>
      <c r="I183" s="49">
        <f t="shared" si="31"/>
        <v>1</v>
      </c>
      <c r="J183" s="878"/>
      <c r="K183" s="49">
        <f t="shared" si="32"/>
        <v>1</v>
      </c>
      <c r="L183" s="878"/>
      <c r="M183" s="49">
        <f t="shared" si="33"/>
        <v>1</v>
      </c>
      <c r="N183" s="878"/>
      <c r="O183" s="49">
        <f t="shared" si="34"/>
        <v>1</v>
      </c>
      <c r="P183" s="878"/>
      <c r="Q183" s="49">
        <f t="shared" si="35"/>
        <v>1</v>
      </c>
      <c r="R183" s="49">
        <f t="shared" si="36"/>
        <v>0</v>
      </c>
      <c r="S183" s="734">
        <f t="shared" si="27"/>
        <v>0</v>
      </c>
    </row>
    <row r="184" spans="1:19">
      <c r="A184" s="879"/>
      <c r="B184" s="126"/>
      <c r="C184" s="49">
        <f t="shared" si="28"/>
        <v>1</v>
      </c>
      <c r="D184" s="878"/>
      <c r="E184" s="49">
        <f t="shared" si="29"/>
        <v>1</v>
      </c>
      <c r="F184" s="878"/>
      <c r="G184" s="49">
        <f t="shared" si="30"/>
        <v>1</v>
      </c>
      <c r="H184" s="878"/>
      <c r="I184" s="49">
        <f t="shared" si="31"/>
        <v>1</v>
      </c>
      <c r="J184" s="878"/>
      <c r="K184" s="49">
        <f t="shared" si="32"/>
        <v>1</v>
      </c>
      <c r="L184" s="878"/>
      <c r="M184" s="49">
        <f t="shared" si="33"/>
        <v>1</v>
      </c>
      <c r="N184" s="878"/>
      <c r="O184" s="49">
        <f t="shared" si="34"/>
        <v>1</v>
      </c>
      <c r="P184" s="878"/>
      <c r="Q184" s="49">
        <f t="shared" si="35"/>
        <v>1</v>
      </c>
      <c r="R184" s="49">
        <f t="shared" si="36"/>
        <v>0</v>
      </c>
      <c r="S184" s="734">
        <f t="shared" si="27"/>
        <v>0</v>
      </c>
    </row>
    <row r="185" spans="1:19">
      <c r="A185" s="879"/>
      <c r="B185" s="126"/>
      <c r="C185" s="49">
        <f t="shared" si="28"/>
        <v>1</v>
      </c>
      <c r="D185" s="878"/>
      <c r="E185" s="49">
        <f t="shared" si="29"/>
        <v>1</v>
      </c>
      <c r="F185" s="878"/>
      <c r="G185" s="49">
        <f t="shared" si="30"/>
        <v>1</v>
      </c>
      <c r="H185" s="878"/>
      <c r="I185" s="49">
        <f t="shared" si="31"/>
        <v>1</v>
      </c>
      <c r="J185" s="878"/>
      <c r="K185" s="49">
        <f t="shared" si="32"/>
        <v>1</v>
      </c>
      <c r="L185" s="878"/>
      <c r="M185" s="49">
        <f t="shared" si="33"/>
        <v>1</v>
      </c>
      <c r="N185" s="878"/>
      <c r="O185" s="49">
        <f t="shared" si="34"/>
        <v>1</v>
      </c>
      <c r="P185" s="878"/>
      <c r="Q185" s="49">
        <f t="shared" si="35"/>
        <v>1</v>
      </c>
      <c r="R185" s="49">
        <f t="shared" si="36"/>
        <v>0</v>
      </c>
      <c r="S185" s="734">
        <f t="shared" si="27"/>
        <v>0</v>
      </c>
    </row>
    <row r="186" spans="1:19">
      <c r="A186" s="879"/>
      <c r="B186" s="126"/>
      <c r="C186" s="49">
        <f t="shared" si="28"/>
        <v>1</v>
      </c>
      <c r="D186" s="878"/>
      <c r="E186" s="49">
        <f t="shared" si="29"/>
        <v>1</v>
      </c>
      <c r="F186" s="878"/>
      <c r="G186" s="49">
        <f t="shared" si="30"/>
        <v>1</v>
      </c>
      <c r="H186" s="878"/>
      <c r="I186" s="49">
        <f t="shared" si="31"/>
        <v>1</v>
      </c>
      <c r="J186" s="878"/>
      <c r="K186" s="49">
        <f t="shared" si="32"/>
        <v>1</v>
      </c>
      <c r="L186" s="878"/>
      <c r="M186" s="49">
        <f t="shared" si="33"/>
        <v>1</v>
      </c>
      <c r="N186" s="878"/>
      <c r="O186" s="49">
        <f t="shared" si="34"/>
        <v>1</v>
      </c>
      <c r="P186" s="878"/>
      <c r="Q186" s="49">
        <f t="shared" si="35"/>
        <v>1</v>
      </c>
      <c r="R186" s="49">
        <f t="shared" si="36"/>
        <v>0</v>
      </c>
      <c r="S186" s="734">
        <f t="shared" si="27"/>
        <v>0</v>
      </c>
    </row>
    <row r="187" spans="1:19">
      <c r="A187" s="879"/>
      <c r="B187" s="126"/>
      <c r="C187" s="49">
        <f t="shared" si="28"/>
        <v>1</v>
      </c>
      <c r="D187" s="878"/>
      <c r="E187" s="49">
        <f t="shared" si="29"/>
        <v>1</v>
      </c>
      <c r="F187" s="878"/>
      <c r="G187" s="49">
        <f t="shared" si="30"/>
        <v>1</v>
      </c>
      <c r="H187" s="878"/>
      <c r="I187" s="49">
        <f t="shared" si="31"/>
        <v>1</v>
      </c>
      <c r="J187" s="878"/>
      <c r="K187" s="49">
        <f t="shared" si="32"/>
        <v>1</v>
      </c>
      <c r="L187" s="878"/>
      <c r="M187" s="49">
        <f t="shared" si="33"/>
        <v>1</v>
      </c>
      <c r="N187" s="878"/>
      <c r="O187" s="49">
        <f t="shared" si="34"/>
        <v>1</v>
      </c>
      <c r="P187" s="878"/>
      <c r="Q187" s="49">
        <f t="shared" si="35"/>
        <v>1</v>
      </c>
      <c r="R187" s="49">
        <f t="shared" si="36"/>
        <v>0</v>
      </c>
      <c r="S187" s="734">
        <f t="shared" ref="S187:S222" si="37">ROUND(R187*B187/10000,0)</f>
        <v>0</v>
      </c>
    </row>
    <row r="188" spans="1:19">
      <c r="A188" s="879"/>
      <c r="B188" s="126"/>
      <c r="C188" s="49">
        <f t="shared" si="28"/>
        <v>1</v>
      </c>
      <c r="D188" s="878"/>
      <c r="E188" s="49">
        <f t="shared" si="29"/>
        <v>1</v>
      </c>
      <c r="F188" s="878"/>
      <c r="G188" s="49">
        <f t="shared" si="30"/>
        <v>1</v>
      </c>
      <c r="H188" s="878"/>
      <c r="I188" s="49">
        <f t="shared" si="31"/>
        <v>1</v>
      </c>
      <c r="J188" s="878"/>
      <c r="K188" s="49">
        <f t="shared" si="32"/>
        <v>1</v>
      </c>
      <c r="L188" s="878"/>
      <c r="M188" s="49">
        <f t="shared" si="33"/>
        <v>1</v>
      </c>
      <c r="N188" s="878"/>
      <c r="O188" s="49">
        <f t="shared" si="34"/>
        <v>1</v>
      </c>
      <c r="P188" s="878"/>
      <c r="Q188" s="49">
        <f t="shared" si="35"/>
        <v>1</v>
      </c>
      <c r="R188" s="49">
        <f t="shared" si="36"/>
        <v>0</v>
      </c>
      <c r="S188" s="734">
        <f t="shared" si="37"/>
        <v>0</v>
      </c>
    </row>
    <row r="189" spans="1:19">
      <c r="A189" s="879"/>
      <c r="B189" s="126"/>
      <c r="C189" s="49">
        <f t="shared" si="28"/>
        <v>1</v>
      </c>
      <c r="D189" s="878"/>
      <c r="E189" s="49">
        <f t="shared" si="29"/>
        <v>1</v>
      </c>
      <c r="F189" s="878"/>
      <c r="G189" s="49">
        <f t="shared" si="30"/>
        <v>1</v>
      </c>
      <c r="H189" s="878"/>
      <c r="I189" s="49">
        <f t="shared" si="31"/>
        <v>1</v>
      </c>
      <c r="J189" s="878"/>
      <c r="K189" s="49">
        <f t="shared" si="32"/>
        <v>1</v>
      </c>
      <c r="L189" s="878"/>
      <c r="M189" s="49">
        <f t="shared" si="33"/>
        <v>1</v>
      </c>
      <c r="N189" s="878"/>
      <c r="O189" s="49">
        <f t="shared" si="34"/>
        <v>1</v>
      </c>
      <c r="P189" s="878"/>
      <c r="Q189" s="49">
        <f t="shared" si="35"/>
        <v>1</v>
      </c>
      <c r="R189" s="49">
        <f t="shared" si="36"/>
        <v>0</v>
      </c>
      <c r="S189" s="734">
        <f t="shared" si="37"/>
        <v>0</v>
      </c>
    </row>
    <row r="190" spans="1:19">
      <c r="A190" s="879"/>
      <c r="B190" s="126"/>
      <c r="C190" s="49">
        <f t="shared" si="28"/>
        <v>1</v>
      </c>
      <c r="D190" s="878"/>
      <c r="E190" s="49">
        <f t="shared" si="29"/>
        <v>1</v>
      </c>
      <c r="F190" s="878"/>
      <c r="G190" s="49">
        <f t="shared" si="30"/>
        <v>1</v>
      </c>
      <c r="H190" s="878"/>
      <c r="I190" s="49">
        <f t="shared" si="31"/>
        <v>1</v>
      </c>
      <c r="J190" s="878"/>
      <c r="K190" s="49">
        <f t="shared" si="32"/>
        <v>1</v>
      </c>
      <c r="L190" s="878"/>
      <c r="M190" s="49">
        <f t="shared" si="33"/>
        <v>1</v>
      </c>
      <c r="N190" s="878"/>
      <c r="O190" s="49">
        <f t="shared" si="34"/>
        <v>1</v>
      </c>
      <c r="P190" s="878"/>
      <c r="Q190" s="49">
        <f t="shared" si="35"/>
        <v>1</v>
      </c>
      <c r="R190" s="49">
        <f t="shared" si="36"/>
        <v>0</v>
      </c>
      <c r="S190" s="734">
        <f t="shared" si="37"/>
        <v>0</v>
      </c>
    </row>
    <row r="191" spans="1:19">
      <c r="A191" s="879"/>
      <c r="B191" s="126"/>
      <c r="C191" s="49">
        <f t="shared" si="28"/>
        <v>1</v>
      </c>
      <c r="D191" s="878"/>
      <c r="E191" s="49">
        <f t="shared" si="29"/>
        <v>1</v>
      </c>
      <c r="F191" s="878"/>
      <c r="G191" s="49">
        <f t="shared" si="30"/>
        <v>1</v>
      </c>
      <c r="H191" s="878"/>
      <c r="I191" s="49">
        <f t="shared" si="31"/>
        <v>1</v>
      </c>
      <c r="J191" s="878"/>
      <c r="K191" s="49">
        <f t="shared" si="32"/>
        <v>1</v>
      </c>
      <c r="L191" s="878"/>
      <c r="M191" s="49">
        <f t="shared" si="33"/>
        <v>1</v>
      </c>
      <c r="N191" s="878"/>
      <c r="O191" s="49">
        <f t="shared" si="34"/>
        <v>1</v>
      </c>
      <c r="P191" s="878"/>
      <c r="Q191" s="49">
        <f t="shared" si="35"/>
        <v>1</v>
      </c>
      <c r="R191" s="49">
        <f t="shared" si="36"/>
        <v>0</v>
      </c>
      <c r="S191" s="734">
        <f t="shared" si="37"/>
        <v>0</v>
      </c>
    </row>
    <row r="192" spans="1:19">
      <c r="A192" s="879"/>
      <c r="B192" s="126"/>
      <c r="C192" s="49">
        <f t="shared" si="28"/>
        <v>1</v>
      </c>
      <c r="D192" s="878"/>
      <c r="E192" s="49">
        <f t="shared" si="29"/>
        <v>1</v>
      </c>
      <c r="F192" s="878"/>
      <c r="G192" s="49">
        <f t="shared" si="30"/>
        <v>1</v>
      </c>
      <c r="H192" s="878"/>
      <c r="I192" s="49">
        <f t="shared" si="31"/>
        <v>1</v>
      </c>
      <c r="J192" s="878"/>
      <c r="K192" s="49">
        <f t="shared" si="32"/>
        <v>1</v>
      </c>
      <c r="L192" s="878"/>
      <c r="M192" s="49">
        <f t="shared" si="33"/>
        <v>1</v>
      </c>
      <c r="N192" s="878"/>
      <c r="O192" s="49">
        <f t="shared" si="34"/>
        <v>1</v>
      </c>
      <c r="P192" s="878"/>
      <c r="Q192" s="49">
        <f t="shared" si="35"/>
        <v>1</v>
      </c>
      <c r="R192" s="49">
        <f t="shared" si="36"/>
        <v>0</v>
      </c>
      <c r="S192" s="734">
        <f t="shared" si="37"/>
        <v>0</v>
      </c>
    </row>
    <row r="193" spans="1:19">
      <c r="A193" s="879"/>
      <c r="B193" s="126"/>
      <c r="C193" s="49">
        <f t="shared" si="28"/>
        <v>1</v>
      </c>
      <c r="D193" s="878"/>
      <c r="E193" s="49">
        <f t="shared" si="29"/>
        <v>1</v>
      </c>
      <c r="F193" s="878"/>
      <c r="G193" s="49">
        <f t="shared" si="30"/>
        <v>1</v>
      </c>
      <c r="H193" s="878"/>
      <c r="I193" s="49">
        <f t="shared" si="31"/>
        <v>1</v>
      </c>
      <c r="J193" s="878"/>
      <c r="K193" s="49">
        <f t="shared" si="32"/>
        <v>1</v>
      </c>
      <c r="L193" s="878"/>
      <c r="M193" s="49">
        <f t="shared" si="33"/>
        <v>1</v>
      </c>
      <c r="N193" s="878"/>
      <c r="O193" s="49">
        <f t="shared" si="34"/>
        <v>1</v>
      </c>
      <c r="P193" s="878"/>
      <c r="Q193" s="49">
        <f t="shared" si="35"/>
        <v>1</v>
      </c>
      <c r="R193" s="49">
        <f t="shared" si="36"/>
        <v>0</v>
      </c>
      <c r="S193" s="734">
        <f t="shared" si="37"/>
        <v>0</v>
      </c>
    </row>
    <row r="194" spans="1:19">
      <c r="A194" s="879"/>
      <c r="B194" s="126"/>
      <c r="C194" s="49">
        <f t="shared" si="28"/>
        <v>1</v>
      </c>
      <c r="D194" s="878"/>
      <c r="E194" s="49">
        <f t="shared" si="29"/>
        <v>1</v>
      </c>
      <c r="F194" s="878"/>
      <c r="G194" s="49">
        <f t="shared" si="30"/>
        <v>1</v>
      </c>
      <c r="H194" s="878"/>
      <c r="I194" s="49">
        <f t="shared" si="31"/>
        <v>1</v>
      </c>
      <c r="J194" s="878"/>
      <c r="K194" s="49">
        <f t="shared" si="32"/>
        <v>1</v>
      </c>
      <c r="L194" s="878"/>
      <c r="M194" s="49">
        <f t="shared" si="33"/>
        <v>1</v>
      </c>
      <c r="N194" s="878"/>
      <c r="O194" s="49">
        <f t="shared" si="34"/>
        <v>1</v>
      </c>
      <c r="P194" s="878"/>
      <c r="Q194" s="49">
        <f t="shared" si="35"/>
        <v>1</v>
      </c>
      <c r="R194" s="49">
        <f t="shared" si="36"/>
        <v>0</v>
      </c>
      <c r="S194" s="734">
        <f t="shared" si="37"/>
        <v>0</v>
      </c>
    </row>
    <row r="195" spans="1:19">
      <c r="A195" s="879"/>
      <c r="B195" s="126"/>
      <c r="C195" s="49">
        <f t="shared" si="28"/>
        <v>1</v>
      </c>
      <c r="D195" s="878"/>
      <c r="E195" s="49">
        <f t="shared" si="29"/>
        <v>1</v>
      </c>
      <c r="F195" s="878"/>
      <c r="G195" s="49">
        <f t="shared" si="30"/>
        <v>1</v>
      </c>
      <c r="H195" s="878"/>
      <c r="I195" s="49">
        <f t="shared" si="31"/>
        <v>1</v>
      </c>
      <c r="J195" s="878"/>
      <c r="K195" s="49">
        <f t="shared" si="32"/>
        <v>1</v>
      </c>
      <c r="L195" s="878"/>
      <c r="M195" s="49">
        <f t="shared" si="33"/>
        <v>1</v>
      </c>
      <c r="N195" s="878"/>
      <c r="O195" s="49">
        <f t="shared" si="34"/>
        <v>1</v>
      </c>
      <c r="P195" s="878"/>
      <c r="Q195" s="49">
        <f t="shared" si="35"/>
        <v>1</v>
      </c>
      <c r="R195" s="49">
        <f t="shared" si="36"/>
        <v>0</v>
      </c>
      <c r="S195" s="734">
        <f t="shared" si="37"/>
        <v>0</v>
      </c>
    </row>
    <row r="196" spans="1:19">
      <c r="A196" s="879"/>
      <c r="B196" s="126"/>
      <c r="C196" s="49">
        <f t="shared" si="28"/>
        <v>1</v>
      </c>
      <c r="D196" s="878"/>
      <c r="E196" s="49">
        <f t="shared" si="29"/>
        <v>1</v>
      </c>
      <c r="F196" s="878"/>
      <c r="G196" s="49">
        <f t="shared" si="30"/>
        <v>1</v>
      </c>
      <c r="H196" s="878"/>
      <c r="I196" s="49">
        <f t="shared" si="31"/>
        <v>1</v>
      </c>
      <c r="J196" s="878"/>
      <c r="K196" s="49">
        <f t="shared" si="32"/>
        <v>1</v>
      </c>
      <c r="L196" s="878"/>
      <c r="M196" s="49">
        <f t="shared" si="33"/>
        <v>1</v>
      </c>
      <c r="N196" s="878"/>
      <c r="O196" s="49">
        <f t="shared" si="34"/>
        <v>1</v>
      </c>
      <c r="P196" s="878"/>
      <c r="Q196" s="49">
        <f t="shared" si="35"/>
        <v>1</v>
      </c>
      <c r="R196" s="49">
        <f t="shared" si="36"/>
        <v>0</v>
      </c>
      <c r="S196" s="734">
        <f t="shared" si="37"/>
        <v>0</v>
      </c>
    </row>
    <row r="197" spans="1:19">
      <c r="A197" s="879"/>
      <c r="B197" s="126"/>
      <c r="C197" s="49">
        <f t="shared" si="28"/>
        <v>1</v>
      </c>
      <c r="D197" s="878"/>
      <c r="E197" s="49">
        <f t="shared" si="29"/>
        <v>1</v>
      </c>
      <c r="F197" s="878"/>
      <c r="G197" s="49">
        <f t="shared" si="30"/>
        <v>1</v>
      </c>
      <c r="H197" s="878"/>
      <c r="I197" s="49">
        <f t="shared" si="31"/>
        <v>1</v>
      </c>
      <c r="J197" s="878"/>
      <c r="K197" s="49">
        <f t="shared" si="32"/>
        <v>1</v>
      </c>
      <c r="L197" s="878"/>
      <c r="M197" s="49">
        <f t="shared" si="33"/>
        <v>1</v>
      </c>
      <c r="N197" s="878"/>
      <c r="O197" s="49">
        <f t="shared" si="34"/>
        <v>1</v>
      </c>
      <c r="P197" s="878"/>
      <c r="Q197" s="49">
        <f t="shared" si="35"/>
        <v>1</v>
      </c>
      <c r="R197" s="49">
        <f t="shared" si="36"/>
        <v>0</v>
      </c>
      <c r="S197" s="734">
        <f t="shared" si="37"/>
        <v>0</v>
      </c>
    </row>
    <row r="198" spans="1:19">
      <c r="A198" s="879"/>
      <c r="B198" s="126"/>
      <c r="C198" s="49">
        <f t="shared" si="28"/>
        <v>1</v>
      </c>
      <c r="D198" s="878"/>
      <c r="E198" s="49">
        <f t="shared" si="29"/>
        <v>1</v>
      </c>
      <c r="F198" s="878"/>
      <c r="G198" s="49">
        <f t="shared" si="30"/>
        <v>1</v>
      </c>
      <c r="H198" s="878"/>
      <c r="I198" s="49">
        <f t="shared" si="31"/>
        <v>1</v>
      </c>
      <c r="J198" s="878"/>
      <c r="K198" s="49">
        <f t="shared" si="32"/>
        <v>1</v>
      </c>
      <c r="L198" s="878"/>
      <c r="M198" s="49">
        <f t="shared" si="33"/>
        <v>1</v>
      </c>
      <c r="N198" s="878"/>
      <c r="O198" s="49">
        <f t="shared" si="34"/>
        <v>1</v>
      </c>
      <c r="P198" s="878"/>
      <c r="Q198" s="49">
        <f t="shared" si="35"/>
        <v>1</v>
      </c>
      <c r="R198" s="49">
        <f t="shared" si="36"/>
        <v>0</v>
      </c>
      <c r="S198" s="734">
        <f t="shared" si="37"/>
        <v>0</v>
      </c>
    </row>
    <row r="199" spans="1:19">
      <c r="A199" s="879"/>
      <c r="B199" s="126"/>
      <c r="C199" s="49">
        <f t="shared" si="28"/>
        <v>1</v>
      </c>
      <c r="D199" s="878"/>
      <c r="E199" s="49">
        <f t="shared" si="29"/>
        <v>1</v>
      </c>
      <c r="F199" s="878"/>
      <c r="G199" s="49">
        <f t="shared" si="30"/>
        <v>1</v>
      </c>
      <c r="H199" s="878"/>
      <c r="I199" s="49">
        <f t="shared" si="31"/>
        <v>1</v>
      </c>
      <c r="J199" s="878"/>
      <c r="K199" s="49">
        <f t="shared" si="32"/>
        <v>1</v>
      </c>
      <c r="L199" s="878"/>
      <c r="M199" s="49">
        <f t="shared" si="33"/>
        <v>1</v>
      </c>
      <c r="N199" s="878"/>
      <c r="O199" s="49">
        <f t="shared" si="34"/>
        <v>1</v>
      </c>
      <c r="P199" s="878"/>
      <c r="Q199" s="49">
        <f t="shared" si="35"/>
        <v>1</v>
      </c>
      <c r="R199" s="49">
        <f t="shared" si="36"/>
        <v>0</v>
      </c>
      <c r="S199" s="734">
        <f t="shared" si="37"/>
        <v>0</v>
      </c>
    </row>
    <row r="200" spans="1:19">
      <c r="A200" s="879"/>
      <c r="B200" s="126"/>
      <c r="C200" s="49">
        <f t="shared" si="28"/>
        <v>1</v>
      </c>
      <c r="D200" s="878"/>
      <c r="E200" s="49">
        <f t="shared" si="29"/>
        <v>1</v>
      </c>
      <c r="F200" s="878"/>
      <c r="G200" s="49">
        <f t="shared" si="30"/>
        <v>1</v>
      </c>
      <c r="H200" s="878"/>
      <c r="I200" s="49">
        <f t="shared" si="31"/>
        <v>1</v>
      </c>
      <c r="J200" s="878"/>
      <c r="K200" s="49">
        <f t="shared" si="32"/>
        <v>1</v>
      </c>
      <c r="L200" s="878"/>
      <c r="M200" s="49">
        <f t="shared" si="33"/>
        <v>1</v>
      </c>
      <c r="N200" s="878"/>
      <c r="O200" s="49">
        <f t="shared" si="34"/>
        <v>1</v>
      </c>
      <c r="P200" s="878"/>
      <c r="Q200" s="49">
        <f t="shared" si="35"/>
        <v>1</v>
      </c>
      <c r="R200" s="49">
        <f t="shared" si="36"/>
        <v>0</v>
      </c>
      <c r="S200" s="734">
        <f t="shared" si="37"/>
        <v>0</v>
      </c>
    </row>
    <row r="201" spans="1:19">
      <c r="A201" s="879"/>
      <c r="B201" s="126"/>
      <c r="C201" s="49">
        <f t="shared" si="28"/>
        <v>1</v>
      </c>
      <c r="D201" s="878"/>
      <c r="E201" s="49">
        <f t="shared" si="29"/>
        <v>1</v>
      </c>
      <c r="F201" s="878"/>
      <c r="G201" s="49">
        <f t="shared" si="30"/>
        <v>1</v>
      </c>
      <c r="H201" s="878"/>
      <c r="I201" s="49">
        <f t="shared" si="31"/>
        <v>1</v>
      </c>
      <c r="J201" s="878"/>
      <c r="K201" s="49">
        <f t="shared" si="32"/>
        <v>1</v>
      </c>
      <c r="L201" s="878"/>
      <c r="M201" s="49">
        <f t="shared" si="33"/>
        <v>1</v>
      </c>
      <c r="N201" s="878"/>
      <c r="O201" s="49">
        <f t="shared" si="34"/>
        <v>1</v>
      </c>
      <c r="P201" s="878"/>
      <c r="Q201" s="49">
        <f t="shared" si="35"/>
        <v>1</v>
      </c>
      <c r="R201" s="49">
        <f t="shared" si="36"/>
        <v>0</v>
      </c>
      <c r="S201" s="734">
        <f t="shared" si="37"/>
        <v>0</v>
      </c>
    </row>
    <row r="202" spans="1:19">
      <c r="A202" s="879"/>
      <c r="B202" s="126"/>
      <c r="C202" s="49">
        <f t="shared" si="28"/>
        <v>1</v>
      </c>
      <c r="D202" s="878"/>
      <c r="E202" s="49">
        <f t="shared" si="29"/>
        <v>1</v>
      </c>
      <c r="F202" s="878"/>
      <c r="G202" s="49">
        <f t="shared" si="30"/>
        <v>1</v>
      </c>
      <c r="H202" s="878"/>
      <c r="I202" s="49">
        <f t="shared" si="31"/>
        <v>1</v>
      </c>
      <c r="J202" s="878"/>
      <c r="K202" s="49">
        <f t="shared" si="32"/>
        <v>1</v>
      </c>
      <c r="L202" s="878"/>
      <c r="M202" s="49">
        <f t="shared" si="33"/>
        <v>1</v>
      </c>
      <c r="N202" s="878"/>
      <c r="O202" s="49">
        <f t="shared" si="34"/>
        <v>1</v>
      </c>
      <c r="P202" s="878"/>
      <c r="Q202" s="49">
        <f t="shared" si="35"/>
        <v>1</v>
      </c>
      <c r="R202" s="49">
        <f t="shared" si="36"/>
        <v>0</v>
      </c>
      <c r="S202" s="734">
        <f t="shared" si="37"/>
        <v>0</v>
      </c>
    </row>
    <row r="203" spans="1:19">
      <c r="A203" s="879"/>
      <c r="B203" s="126"/>
      <c r="C203" s="49">
        <f t="shared" si="28"/>
        <v>1</v>
      </c>
      <c r="D203" s="878"/>
      <c r="E203" s="49">
        <f t="shared" si="29"/>
        <v>1</v>
      </c>
      <c r="F203" s="878"/>
      <c r="G203" s="49">
        <f t="shared" si="30"/>
        <v>1</v>
      </c>
      <c r="H203" s="878"/>
      <c r="I203" s="49">
        <f t="shared" si="31"/>
        <v>1</v>
      </c>
      <c r="J203" s="878"/>
      <c r="K203" s="49">
        <f t="shared" si="32"/>
        <v>1</v>
      </c>
      <c r="L203" s="878"/>
      <c r="M203" s="49">
        <f t="shared" si="33"/>
        <v>1</v>
      </c>
      <c r="N203" s="878"/>
      <c r="O203" s="49">
        <f t="shared" si="34"/>
        <v>1</v>
      </c>
      <c r="P203" s="878"/>
      <c r="Q203" s="49">
        <f t="shared" si="35"/>
        <v>1</v>
      </c>
      <c r="R203" s="49">
        <f t="shared" si="36"/>
        <v>0</v>
      </c>
      <c r="S203" s="734">
        <f t="shared" si="37"/>
        <v>0</v>
      </c>
    </row>
    <row r="204" spans="1:19">
      <c r="A204" s="879"/>
      <c r="B204" s="126"/>
      <c r="C204" s="49">
        <f t="shared" si="28"/>
        <v>1</v>
      </c>
      <c r="D204" s="878"/>
      <c r="E204" s="49">
        <f t="shared" si="29"/>
        <v>1</v>
      </c>
      <c r="F204" s="878"/>
      <c r="G204" s="49">
        <f t="shared" si="30"/>
        <v>1</v>
      </c>
      <c r="H204" s="878"/>
      <c r="I204" s="49">
        <f t="shared" si="31"/>
        <v>1</v>
      </c>
      <c r="J204" s="878"/>
      <c r="K204" s="49">
        <f t="shared" si="32"/>
        <v>1</v>
      </c>
      <c r="L204" s="878"/>
      <c r="M204" s="49">
        <f t="shared" si="33"/>
        <v>1</v>
      </c>
      <c r="N204" s="878"/>
      <c r="O204" s="49">
        <f t="shared" si="34"/>
        <v>1</v>
      </c>
      <c r="P204" s="878"/>
      <c r="Q204" s="49">
        <f t="shared" si="35"/>
        <v>1</v>
      </c>
      <c r="R204" s="49">
        <f t="shared" si="36"/>
        <v>0</v>
      </c>
      <c r="S204" s="734">
        <f t="shared" si="37"/>
        <v>0</v>
      </c>
    </row>
    <row r="205" spans="1:19">
      <c r="A205" s="879"/>
      <c r="B205" s="126"/>
      <c r="C205" s="49">
        <f t="shared" si="28"/>
        <v>1</v>
      </c>
      <c r="D205" s="878"/>
      <c r="E205" s="49">
        <f t="shared" si="29"/>
        <v>1</v>
      </c>
      <c r="F205" s="878"/>
      <c r="G205" s="49">
        <f t="shared" si="30"/>
        <v>1</v>
      </c>
      <c r="H205" s="878"/>
      <c r="I205" s="49">
        <f t="shared" si="31"/>
        <v>1</v>
      </c>
      <c r="J205" s="878"/>
      <c r="K205" s="49">
        <f t="shared" si="32"/>
        <v>1</v>
      </c>
      <c r="L205" s="878"/>
      <c r="M205" s="49">
        <f t="shared" si="33"/>
        <v>1</v>
      </c>
      <c r="N205" s="878"/>
      <c r="O205" s="49">
        <f t="shared" si="34"/>
        <v>1</v>
      </c>
      <c r="P205" s="878"/>
      <c r="Q205" s="49">
        <f t="shared" si="35"/>
        <v>1</v>
      </c>
      <c r="R205" s="49">
        <f t="shared" si="36"/>
        <v>0</v>
      </c>
      <c r="S205" s="734">
        <f t="shared" si="37"/>
        <v>0</v>
      </c>
    </row>
    <row r="206" spans="1:19">
      <c r="A206" s="879"/>
      <c r="B206" s="126"/>
      <c r="C206" s="49">
        <f t="shared" si="28"/>
        <v>1</v>
      </c>
      <c r="D206" s="878"/>
      <c r="E206" s="49">
        <f t="shared" si="29"/>
        <v>1</v>
      </c>
      <c r="F206" s="878"/>
      <c r="G206" s="49">
        <f t="shared" si="30"/>
        <v>1</v>
      </c>
      <c r="H206" s="878"/>
      <c r="I206" s="49">
        <f t="shared" si="31"/>
        <v>1</v>
      </c>
      <c r="J206" s="878"/>
      <c r="K206" s="49">
        <f t="shared" si="32"/>
        <v>1</v>
      </c>
      <c r="L206" s="878"/>
      <c r="M206" s="49">
        <f t="shared" si="33"/>
        <v>1</v>
      </c>
      <c r="N206" s="878"/>
      <c r="O206" s="49">
        <f t="shared" si="34"/>
        <v>1</v>
      </c>
      <c r="P206" s="878"/>
      <c r="Q206" s="49">
        <f t="shared" si="35"/>
        <v>1</v>
      </c>
      <c r="R206" s="49">
        <f t="shared" si="36"/>
        <v>0</v>
      </c>
      <c r="S206" s="734">
        <f t="shared" si="37"/>
        <v>0</v>
      </c>
    </row>
    <row r="207" spans="1:19">
      <c r="A207" s="879"/>
      <c r="B207" s="126"/>
      <c r="C207" s="49">
        <f t="shared" si="28"/>
        <v>1</v>
      </c>
      <c r="D207" s="878"/>
      <c r="E207" s="49">
        <f t="shared" si="29"/>
        <v>1</v>
      </c>
      <c r="F207" s="878"/>
      <c r="G207" s="49">
        <f t="shared" si="30"/>
        <v>1</v>
      </c>
      <c r="H207" s="878"/>
      <c r="I207" s="49">
        <f t="shared" si="31"/>
        <v>1</v>
      </c>
      <c r="J207" s="878"/>
      <c r="K207" s="49">
        <f t="shared" si="32"/>
        <v>1</v>
      </c>
      <c r="L207" s="878"/>
      <c r="M207" s="49">
        <f t="shared" si="33"/>
        <v>1</v>
      </c>
      <c r="N207" s="878"/>
      <c r="O207" s="49">
        <f t="shared" si="34"/>
        <v>1</v>
      </c>
      <c r="P207" s="878"/>
      <c r="Q207" s="49">
        <f t="shared" si="35"/>
        <v>1</v>
      </c>
      <c r="R207" s="49">
        <f t="shared" si="36"/>
        <v>0</v>
      </c>
      <c r="S207" s="734">
        <f t="shared" si="37"/>
        <v>0</v>
      </c>
    </row>
    <row r="208" spans="1:19">
      <c r="A208" s="879"/>
      <c r="B208" s="126"/>
      <c r="C208" s="49">
        <f t="shared" si="28"/>
        <v>1</v>
      </c>
      <c r="D208" s="878"/>
      <c r="E208" s="49">
        <f t="shared" si="29"/>
        <v>1</v>
      </c>
      <c r="F208" s="878"/>
      <c r="G208" s="49">
        <f t="shared" si="30"/>
        <v>1</v>
      </c>
      <c r="H208" s="878"/>
      <c r="I208" s="49">
        <f t="shared" si="31"/>
        <v>1</v>
      </c>
      <c r="J208" s="878"/>
      <c r="K208" s="49">
        <f t="shared" si="32"/>
        <v>1</v>
      </c>
      <c r="L208" s="878"/>
      <c r="M208" s="49">
        <f t="shared" si="33"/>
        <v>1</v>
      </c>
      <c r="N208" s="878"/>
      <c r="O208" s="49">
        <f t="shared" si="34"/>
        <v>1</v>
      </c>
      <c r="P208" s="878"/>
      <c r="Q208" s="49">
        <f t="shared" si="35"/>
        <v>1</v>
      </c>
      <c r="R208" s="49">
        <f t="shared" si="36"/>
        <v>0</v>
      </c>
      <c r="S208" s="734">
        <f t="shared" si="37"/>
        <v>0</v>
      </c>
    </row>
    <row r="209" spans="1:19">
      <c r="A209" s="879"/>
      <c r="B209" s="126"/>
      <c r="C209" s="49">
        <f t="shared" si="28"/>
        <v>1</v>
      </c>
      <c r="D209" s="878"/>
      <c r="E209" s="49">
        <f t="shared" si="29"/>
        <v>1</v>
      </c>
      <c r="F209" s="878"/>
      <c r="G209" s="49">
        <f t="shared" si="30"/>
        <v>1</v>
      </c>
      <c r="H209" s="878"/>
      <c r="I209" s="49">
        <f t="shared" si="31"/>
        <v>1</v>
      </c>
      <c r="J209" s="878"/>
      <c r="K209" s="49">
        <f t="shared" si="32"/>
        <v>1</v>
      </c>
      <c r="L209" s="878"/>
      <c r="M209" s="49">
        <f t="shared" si="33"/>
        <v>1</v>
      </c>
      <c r="N209" s="878"/>
      <c r="O209" s="49">
        <f t="shared" si="34"/>
        <v>1</v>
      </c>
      <c r="P209" s="878"/>
      <c r="Q209" s="49">
        <f t="shared" si="35"/>
        <v>1</v>
      </c>
      <c r="R209" s="49">
        <f t="shared" si="36"/>
        <v>0</v>
      </c>
      <c r="S209" s="734">
        <f t="shared" si="37"/>
        <v>0</v>
      </c>
    </row>
    <row r="210" spans="1:19">
      <c r="A210" s="879"/>
      <c r="B210" s="126"/>
      <c r="C210" s="49">
        <f t="shared" si="28"/>
        <v>1</v>
      </c>
      <c r="D210" s="878"/>
      <c r="E210" s="49">
        <f t="shared" si="29"/>
        <v>1</v>
      </c>
      <c r="F210" s="878"/>
      <c r="G210" s="49">
        <f t="shared" si="30"/>
        <v>1</v>
      </c>
      <c r="H210" s="878"/>
      <c r="I210" s="49">
        <f t="shared" si="31"/>
        <v>1</v>
      </c>
      <c r="J210" s="878"/>
      <c r="K210" s="49">
        <f t="shared" si="32"/>
        <v>1</v>
      </c>
      <c r="L210" s="878"/>
      <c r="M210" s="49">
        <f t="shared" si="33"/>
        <v>1</v>
      </c>
      <c r="N210" s="878"/>
      <c r="O210" s="49">
        <f t="shared" si="34"/>
        <v>1</v>
      </c>
      <c r="P210" s="878"/>
      <c r="Q210" s="49">
        <f t="shared" si="35"/>
        <v>1</v>
      </c>
      <c r="R210" s="49">
        <f t="shared" si="36"/>
        <v>0</v>
      </c>
      <c r="S210" s="734">
        <f t="shared" si="37"/>
        <v>0</v>
      </c>
    </row>
    <row r="211" spans="1:19">
      <c r="A211" s="879"/>
      <c r="B211" s="126"/>
      <c r="C211" s="49">
        <f t="shared" si="28"/>
        <v>1</v>
      </c>
      <c r="D211" s="878"/>
      <c r="E211" s="49">
        <f t="shared" si="29"/>
        <v>1</v>
      </c>
      <c r="F211" s="878"/>
      <c r="G211" s="49">
        <f t="shared" si="30"/>
        <v>1</v>
      </c>
      <c r="H211" s="878"/>
      <c r="I211" s="49">
        <f t="shared" si="31"/>
        <v>1</v>
      </c>
      <c r="J211" s="878"/>
      <c r="K211" s="49">
        <f t="shared" si="32"/>
        <v>1</v>
      </c>
      <c r="L211" s="878"/>
      <c r="M211" s="49">
        <f t="shared" si="33"/>
        <v>1</v>
      </c>
      <c r="N211" s="878"/>
      <c r="O211" s="49">
        <f t="shared" si="34"/>
        <v>1</v>
      </c>
      <c r="P211" s="878"/>
      <c r="Q211" s="49">
        <f t="shared" si="35"/>
        <v>1</v>
      </c>
      <c r="R211" s="49">
        <f t="shared" si="36"/>
        <v>0</v>
      </c>
      <c r="S211" s="734">
        <f t="shared" si="37"/>
        <v>0</v>
      </c>
    </row>
    <row r="212" spans="1:19">
      <c r="A212" s="879"/>
      <c r="B212" s="126"/>
      <c r="C212" s="49">
        <f t="shared" si="28"/>
        <v>1</v>
      </c>
      <c r="D212" s="878"/>
      <c r="E212" s="49">
        <f t="shared" si="29"/>
        <v>1</v>
      </c>
      <c r="F212" s="878"/>
      <c r="G212" s="49">
        <f t="shared" si="30"/>
        <v>1</v>
      </c>
      <c r="H212" s="878"/>
      <c r="I212" s="49">
        <f t="shared" si="31"/>
        <v>1</v>
      </c>
      <c r="J212" s="878"/>
      <c r="K212" s="49">
        <f t="shared" si="32"/>
        <v>1</v>
      </c>
      <c r="L212" s="878"/>
      <c r="M212" s="49">
        <f t="shared" si="33"/>
        <v>1</v>
      </c>
      <c r="N212" s="878"/>
      <c r="O212" s="49">
        <f t="shared" si="34"/>
        <v>1</v>
      </c>
      <c r="P212" s="878"/>
      <c r="Q212" s="49">
        <f t="shared" si="35"/>
        <v>1</v>
      </c>
      <c r="R212" s="49">
        <f t="shared" si="36"/>
        <v>0</v>
      </c>
      <c r="S212" s="734">
        <f t="shared" si="37"/>
        <v>0</v>
      </c>
    </row>
    <row r="213" spans="1:19">
      <c r="A213" s="879"/>
      <c r="B213" s="126"/>
      <c r="C213" s="49">
        <f t="shared" si="28"/>
        <v>1</v>
      </c>
      <c r="D213" s="878"/>
      <c r="E213" s="49">
        <f t="shared" si="29"/>
        <v>1</v>
      </c>
      <c r="F213" s="878"/>
      <c r="G213" s="49">
        <f t="shared" si="30"/>
        <v>1</v>
      </c>
      <c r="H213" s="878"/>
      <c r="I213" s="49">
        <f t="shared" si="31"/>
        <v>1</v>
      </c>
      <c r="J213" s="878"/>
      <c r="K213" s="49">
        <f t="shared" si="32"/>
        <v>1</v>
      </c>
      <c r="L213" s="878"/>
      <c r="M213" s="49">
        <f t="shared" si="33"/>
        <v>1</v>
      </c>
      <c r="N213" s="878"/>
      <c r="O213" s="49">
        <f t="shared" si="34"/>
        <v>1</v>
      </c>
      <c r="P213" s="878"/>
      <c r="Q213" s="49">
        <f t="shared" si="35"/>
        <v>1</v>
      </c>
      <c r="R213" s="49">
        <f t="shared" si="36"/>
        <v>0</v>
      </c>
      <c r="S213" s="734">
        <f t="shared" si="37"/>
        <v>0</v>
      </c>
    </row>
    <row r="214" spans="1:19">
      <c r="A214" s="879"/>
      <c r="B214" s="126"/>
      <c r="C214" s="49">
        <f t="shared" si="28"/>
        <v>1</v>
      </c>
      <c r="D214" s="878"/>
      <c r="E214" s="49">
        <f t="shared" si="29"/>
        <v>1</v>
      </c>
      <c r="F214" s="878"/>
      <c r="G214" s="49">
        <f t="shared" si="30"/>
        <v>1</v>
      </c>
      <c r="H214" s="878"/>
      <c r="I214" s="49">
        <f t="shared" si="31"/>
        <v>1</v>
      </c>
      <c r="J214" s="878"/>
      <c r="K214" s="49">
        <f t="shared" si="32"/>
        <v>1</v>
      </c>
      <c r="L214" s="878"/>
      <c r="M214" s="49">
        <f t="shared" si="33"/>
        <v>1</v>
      </c>
      <c r="N214" s="878"/>
      <c r="O214" s="49">
        <f t="shared" si="34"/>
        <v>1</v>
      </c>
      <c r="P214" s="878"/>
      <c r="Q214" s="49">
        <f t="shared" si="35"/>
        <v>1</v>
      </c>
      <c r="R214" s="49">
        <f t="shared" si="36"/>
        <v>0</v>
      </c>
      <c r="S214" s="734">
        <f t="shared" si="37"/>
        <v>0</v>
      </c>
    </row>
    <row r="215" spans="1:19">
      <c r="A215" s="879"/>
      <c r="B215" s="126"/>
      <c r="C215" s="49">
        <f t="shared" si="28"/>
        <v>1</v>
      </c>
      <c r="D215" s="878"/>
      <c r="E215" s="49">
        <f t="shared" si="29"/>
        <v>1</v>
      </c>
      <c r="F215" s="878"/>
      <c r="G215" s="49">
        <f t="shared" si="30"/>
        <v>1</v>
      </c>
      <c r="H215" s="878"/>
      <c r="I215" s="49">
        <f t="shared" si="31"/>
        <v>1</v>
      </c>
      <c r="J215" s="878"/>
      <c r="K215" s="49">
        <f t="shared" si="32"/>
        <v>1</v>
      </c>
      <c r="L215" s="878"/>
      <c r="M215" s="49">
        <f t="shared" si="33"/>
        <v>1</v>
      </c>
      <c r="N215" s="878"/>
      <c r="O215" s="49">
        <f t="shared" si="34"/>
        <v>1</v>
      </c>
      <c r="P215" s="878"/>
      <c r="Q215" s="49">
        <f t="shared" si="35"/>
        <v>1</v>
      </c>
      <c r="R215" s="49">
        <f t="shared" si="36"/>
        <v>0</v>
      </c>
      <c r="S215" s="734">
        <f t="shared" si="37"/>
        <v>0</v>
      </c>
    </row>
    <row r="216" spans="1:19">
      <c r="A216" s="879"/>
      <c r="B216" s="126"/>
      <c r="C216" s="49">
        <f t="shared" si="28"/>
        <v>1</v>
      </c>
      <c r="D216" s="878"/>
      <c r="E216" s="49">
        <f t="shared" si="29"/>
        <v>1</v>
      </c>
      <c r="F216" s="878"/>
      <c r="G216" s="49">
        <f t="shared" si="30"/>
        <v>1</v>
      </c>
      <c r="H216" s="878"/>
      <c r="I216" s="49">
        <f t="shared" si="31"/>
        <v>1</v>
      </c>
      <c r="J216" s="878"/>
      <c r="K216" s="49">
        <f t="shared" si="32"/>
        <v>1</v>
      </c>
      <c r="L216" s="878"/>
      <c r="M216" s="49">
        <f t="shared" si="33"/>
        <v>1</v>
      </c>
      <c r="N216" s="878"/>
      <c r="O216" s="49">
        <f t="shared" si="34"/>
        <v>1</v>
      </c>
      <c r="P216" s="878"/>
      <c r="Q216" s="49">
        <f t="shared" si="35"/>
        <v>1</v>
      </c>
      <c r="R216" s="49">
        <f t="shared" si="36"/>
        <v>0</v>
      </c>
      <c r="S216" s="734">
        <f t="shared" si="37"/>
        <v>0</v>
      </c>
    </row>
    <row r="217" spans="1:19">
      <c r="A217" s="879"/>
      <c r="B217" s="126"/>
      <c r="C217" s="49">
        <f t="shared" si="28"/>
        <v>1</v>
      </c>
      <c r="D217" s="878"/>
      <c r="E217" s="49">
        <f t="shared" si="29"/>
        <v>1</v>
      </c>
      <c r="F217" s="878"/>
      <c r="G217" s="49">
        <f t="shared" si="30"/>
        <v>1</v>
      </c>
      <c r="H217" s="878"/>
      <c r="I217" s="49">
        <f t="shared" si="31"/>
        <v>1</v>
      </c>
      <c r="J217" s="878"/>
      <c r="K217" s="49">
        <f t="shared" si="32"/>
        <v>1</v>
      </c>
      <c r="L217" s="878"/>
      <c r="M217" s="49">
        <f t="shared" si="33"/>
        <v>1</v>
      </c>
      <c r="N217" s="878"/>
      <c r="O217" s="49">
        <f t="shared" si="34"/>
        <v>1</v>
      </c>
      <c r="P217" s="878"/>
      <c r="Q217" s="49">
        <f t="shared" si="35"/>
        <v>1</v>
      </c>
      <c r="R217" s="49">
        <f t="shared" si="36"/>
        <v>0</v>
      </c>
      <c r="S217" s="734">
        <f t="shared" si="37"/>
        <v>0</v>
      </c>
    </row>
    <row r="218" spans="1:19">
      <c r="A218" s="879"/>
      <c r="B218" s="126"/>
      <c r="C218" s="49">
        <f t="shared" ref="C218:C281" si="38">IF(B218="",1,(LOOKUP(B218,$3:$3,$4:$4)-LOOKUP($B$24,$3:$3,$4:$4)+100)/100)</f>
        <v>1</v>
      </c>
      <c r="D218" s="878"/>
      <c r="E218" s="49">
        <f t="shared" ref="E218:E281" si="39">(SUMIF($5:$5,D218,$6:$6)-SUMIF($5:$5,$D$24,$6:$6)+100)/100</f>
        <v>1</v>
      </c>
      <c r="F218" s="878"/>
      <c r="G218" s="49">
        <f t="shared" ref="G218:G281" si="40">(SUMIF($7:$7,F218,$8:$8)-SUMIF($7:$7,$F$24,$8:$8)+100)/100</f>
        <v>1</v>
      </c>
      <c r="H218" s="878"/>
      <c r="I218" s="49">
        <f t="shared" ref="I218:I281" si="41">(SUMIF($9:$9,H218,$10:$10)-SUMIF($9:$9,$H$24,$10:$10)+100)/100</f>
        <v>1</v>
      </c>
      <c r="J218" s="878"/>
      <c r="K218" s="49">
        <f t="shared" ref="K218:K281" si="42">(SUMIF($11:$11,J218,$12:$12)-SUMIF($11:$11,$J$24,$12:$12)+100)/100</f>
        <v>1</v>
      </c>
      <c r="L218" s="878"/>
      <c r="M218" s="49">
        <f t="shared" ref="M218:M281" si="43">(SUMIF($13:$13,L218,$14:$14)-SUMIF($13:$13,$L$24,$14:$14)+100)/100</f>
        <v>1</v>
      </c>
      <c r="N218" s="878"/>
      <c r="O218" s="49">
        <f t="shared" ref="O218:O281" si="44">(SUMIF($15:$15,N218,$16:$16)-SUMIF($15:$15,$N$24,$16:$16)+100)/100</f>
        <v>1</v>
      </c>
      <c r="P218" s="878"/>
      <c r="Q218" s="49">
        <f t="shared" ref="Q218:Q281" si="45">(SUMIF($17:$17,P218,$18:$18)-SUMIF($17:$17,$P$24,$18:$18)+100)/100</f>
        <v>1</v>
      </c>
      <c r="R218" s="49">
        <f t="shared" ref="R218:R281" si="46">IF(B218="",0,ROUND($R$24*C218*E218*G218*I218*K218*M218*O218*Q218,0))</f>
        <v>0</v>
      </c>
      <c r="S218" s="734">
        <f t="shared" si="37"/>
        <v>0</v>
      </c>
    </row>
    <row r="219" spans="1:19">
      <c r="A219" s="879"/>
      <c r="B219" s="126"/>
      <c r="C219" s="49">
        <f t="shared" si="38"/>
        <v>1</v>
      </c>
      <c r="D219" s="878"/>
      <c r="E219" s="49">
        <f t="shared" si="39"/>
        <v>1</v>
      </c>
      <c r="F219" s="878"/>
      <c r="G219" s="49">
        <f t="shared" si="40"/>
        <v>1</v>
      </c>
      <c r="H219" s="878"/>
      <c r="I219" s="49">
        <f t="shared" si="41"/>
        <v>1</v>
      </c>
      <c r="J219" s="878"/>
      <c r="K219" s="49">
        <f t="shared" si="42"/>
        <v>1</v>
      </c>
      <c r="L219" s="878"/>
      <c r="M219" s="49">
        <f t="shared" si="43"/>
        <v>1</v>
      </c>
      <c r="N219" s="878"/>
      <c r="O219" s="49">
        <f t="shared" si="44"/>
        <v>1</v>
      </c>
      <c r="P219" s="878"/>
      <c r="Q219" s="49">
        <f t="shared" si="45"/>
        <v>1</v>
      </c>
      <c r="R219" s="49">
        <f t="shared" si="46"/>
        <v>0</v>
      </c>
      <c r="S219" s="734">
        <f t="shared" si="37"/>
        <v>0</v>
      </c>
    </row>
    <row r="220" spans="1:19">
      <c r="A220" s="879"/>
      <c r="B220" s="126"/>
      <c r="C220" s="49">
        <f t="shared" si="38"/>
        <v>1</v>
      </c>
      <c r="D220" s="878"/>
      <c r="E220" s="49">
        <f t="shared" si="39"/>
        <v>1</v>
      </c>
      <c r="F220" s="878"/>
      <c r="G220" s="49">
        <f t="shared" si="40"/>
        <v>1</v>
      </c>
      <c r="H220" s="878"/>
      <c r="I220" s="49">
        <f t="shared" si="41"/>
        <v>1</v>
      </c>
      <c r="J220" s="878"/>
      <c r="K220" s="49">
        <f t="shared" si="42"/>
        <v>1</v>
      </c>
      <c r="L220" s="878"/>
      <c r="M220" s="49">
        <f t="shared" si="43"/>
        <v>1</v>
      </c>
      <c r="N220" s="878"/>
      <c r="O220" s="49">
        <f t="shared" si="44"/>
        <v>1</v>
      </c>
      <c r="P220" s="878"/>
      <c r="Q220" s="49">
        <f t="shared" si="45"/>
        <v>1</v>
      </c>
      <c r="R220" s="49">
        <f t="shared" si="46"/>
        <v>0</v>
      </c>
      <c r="S220" s="734">
        <f t="shared" si="37"/>
        <v>0</v>
      </c>
    </row>
    <row r="221" spans="1:19">
      <c r="A221" s="879"/>
      <c r="B221" s="126"/>
      <c r="C221" s="49">
        <f t="shared" si="38"/>
        <v>1</v>
      </c>
      <c r="D221" s="878"/>
      <c r="E221" s="49">
        <f t="shared" si="39"/>
        <v>1</v>
      </c>
      <c r="F221" s="878"/>
      <c r="G221" s="49">
        <f t="shared" si="40"/>
        <v>1</v>
      </c>
      <c r="H221" s="878"/>
      <c r="I221" s="49">
        <f t="shared" si="41"/>
        <v>1</v>
      </c>
      <c r="J221" s="878"/>
      <c r="K221" s="49">
        <f t="shared" si="42"/>
        <v>1</v>
      </c>
      <c r="L221" s="878"/>
      <c r="M221" s="49">
        <f t="shared" si="43"/>
        <v>1</v>
      </c>
      <c r="N221" s="878"/>
      <c r="O221" s="49">
        <f t="shared" si="44"/>
        <v>1</v>
      </c>
      <c r="P221" s="878"/>
      <c r="Q221" s="49">
        <f t="shared" si="45"/>
        <v>1</v>
      </c>
      <c r="R221" s="49">
        <f t="shared" si="46"/>
        <v>0</v>
      </c>
      <c r="S221" s="734">
        <f t="shared" si="37"/>
        <v>0</v>
      </c>
    </row>
    <row r="222" spans="1:19">
      <c r="A222" s="879"/>
      <c r="B222" s="126"/>
      <c r="C222" s="49">
        <f t="shared" si="38"/>
        <v>1</v>
      </c>
      <c r="D222" s="878"/>
      <c r="E222" s="49">
        <f t="shared" si="39"/>
        <v>1</v>
      </c>
      <c r="F222" s="878"/>
      <c r="G222" s="49">
        <f t="shared" si="40"/>
        <v>1</v>
      </c>
      <c r="H222" s="878"/>
      <c r="I222" s="49">
        <f t="shared" si="41"/>
        <v>1</v>
      </c>
      <c r="J222" s="878"/>
      <c r="K222" s="49">
        <f t="shared" si="42"/>
        <v>1</v>
      </c>
      <c r="L222" s="878"/>
      <c r="M222" s="49">
        <f t="shared" si="43"/>
        <v>1</v>
      </c>
      <c r="N222" s="878"/>
      <c r="O222" s="49">
        <f t="shared" si="44"/>
        <v>1</v>
      </c>
      <c r="P222" s="878"/>
      <c r="Q222" s="49">
        <f t="shared" si="45"/>
        <v>1</v>
      </c>
      <c r="R222" s="49">
        <f t="shared" si="46"/>
        <v>0</v>
      </c>
      <c r="S222" s="734">
        <f t="shared" si="37"/>
        <v>0</v>
      </c>
    </row>
    <row r="223" spans="1:19">
      <c r="A223" s="879"/>
      <c r="B223" s="126"/>
      <c r="C223" s="49">
        <f t="shared" si="38"/>
        <v>1</v>
      </c>
      <c r="D223" s="878"/>
      <c r="E223" s="49">
        <f t="shared" si="39"/>
        <v>1</v>
      </c>
      <c r="F223" s="878"/>
      <c r="G223" s="49">
        <f t="shared" si="40"/>
        <v>1</v>
      </c>
      <c r="H223" s="878"/>
      <c r="I223" s="49">
        <f t="shared" si="41"/>
        <v>1</v>
      </c>
      <c r="J223" s="878"/>
      <c r="K223" s="49">
        <f t="shared" si="42"/>
        <v>1</v>
      </c>
      <c r="L223" s="878"/>
      <c r="M223" s="49">
        <f t="shared" si="43"/>
        <v>1</v>
      </c>
      <c r="N223" s="878"/>
      <c r="O223" s="49">
        <f t="shared" si="44"/>
        <v>1</v>
      </c>
      <c r="P223" s="878"/>
      <c r="Q223" s="49">
        <f t="shared" si="45"/>
        <v>1</v>
      </c>
      <c r="R223" s="49">
        <f t="shared" si="46"/>
        <v>0</v>
      </c>
      <c r="S223" s="734">
        <f t="shared" ref="S223:S286" si="47">ROUND(R223*B223/10000,0)</f>
        <v>0</v>
      </c>
    </row>
    <row r="224" spans="1:19">
      <c r="A224" s="879"/>
      <c r="B224" s="126"/>
      <c r="C224" s="49">
        <f t="shared" si="38"/>
        <v>1</v>
      </c>
      <c r="D224" s="878"/>
      <c r="E224" s="49">
        <f t="shared" si="39"/>
        <v>1</v>
      </c>
      <c r="F224" s="878"/>
      <c r="G224" s="49">
        <f t="shared" si="40"/>
        <v>1</v>
      </c>
      <c r="H224" s="878"/>
      <c r="I224" s="49">
        <f t="shared" si="41"/>
        <v>1</v>
      </c>
      <c r="J224" s="878"/>
      <c r="K224" s="49">
        <f t="shared" si="42"/>
        <v>1</v>
      </c>
      <c r="L224" s="878"/>
      <c r="M224" s="49">
        <f t="shared" si="43"/>
        <v>1</v>
      </c>
      <c r="N224" s="878"/>
      <c r="O224" s="49">
        <f t="shared" si="44"/>
        <v>1</v>
      </c>
      <c r="P224" s="878"/>
      <c r="Q224" s="49">
        <f t="shared" si="45"/>
        <v>1</v>
      </c>
      <c r="R224" s="49">
        <f t="shared" si="46"/>
        <v>0</v>
      </c>
      <c r="S224" s="734">
        <f t="shared" si="47"/>
        <v>0</v>
      </c>
    </row>
    <row r="225" spans="1:19">
      <c r="A225" s="879"/>
      <c r="B225" s="126"/>
      <c r="C225" s="49">
        <f t="shared" si="38"/>
        <v>1</v>
      </c>
      <c r="D225" s="878"/>
      <c r="E225" s="49">
        <f t="shared" si="39"/>
        <v>1</v>
      </c>
      <c r="F225" s="878"/>
      <c r="G225" s="49">
        <f t="shared" si="40"/>
        <v>1</v>
      </c>
      <c r="H225" s="878"/>
      <c r="I225" s="49">
        <f t="shared" si="41"/>
        <v>1</v>
      </c>
      <c r="J225" s="878"/>
      <c r="K225" s="49">
        <f t="shared" si="42"/>
        <v>1</v>
      </c>
      <c r="L225" s="878"/>
      <c r="M225" s="49">
        <f t="shared" si="43"/>
        <v>1</v>
      </c>
      <c r="N225" s="878"/>
      <c r="O225" s="49">
        <f t="shared" si="44"/>
        <v>1</v>
      </c>
      <c r="P225" s="878"/>
      <c r="Q225" s="49">
        <f t="shared" si="45"/>
        <v>1</v>
      </c>
      <c r="R225" s="49">
        <f t="shared" si="46"/>
        <v>0</v>
      </c>
      <c r="S225" s="734">
        <f t="shared" si="47"/>
        <v>0</v>
      </c>
    </row>
    <row r="226" spans="1:19">
      <c r="A226" s="879"/>
      <c r="B226" s="126"/>
      <c r="C226" s="49">
        <f t="shared" si="38"/>
        <v>1</v>
      </c>
      <c r="D226" s="878"/>
      <c r="E226" s="49">
        <f t="shared" si="39"/>
        <v>1</v>
      </c>
      <c r="F226" s="878"/>
      <c r="G226" s="49">
        <f t="shared" si="40"/>
        <v>1</v>
      </c>
      <c r="H226" s="878"/>
      <c r="I226" s="49">
        <f t="shared" si="41"/>
        <v>1</v>
      </c>
      <c r="J226" s="878"/>
      <c r="K226" s="49">
        <f t="shared" si="42"/>
        <v>1</v>
      </c>
      <c r="L226" s="878"/>
      <c r="M226" s="49">
        <f t="shared" si="43"/>
        <v>1</v>
      </c>
      <c r="N226" s="878"/>
      <c r="O226" s="49">
        <f t="shared" si="44"/>
        <v>1</v>
      </c>
      <c r="P226" s="878"/>
      <c r="Q226" s="49">
        <f t="shared" si="45"/>
        <v>1</v>
      </c>
      <c r="R226" s="49">
        <f t="shared" si="46"/>
        <v>0</v>
      </c>
      <c r="S226" s="734">
        <f t="shared" si="47"/>
        <v>0</v>
      </c>
    </row>
    <row r="227" spans="1:19">
      <c r="A227" s="879"/>
      <c r="B227" s="126"/>
      <c r="C227" s="49">
        <f t="shared" si="38"/>
        <v>1</v>
      </c>
      <c r="D227" s="878"/>
      <c r="E227" s="49">
        <f t="shared" si="39"/>
        <v>1</v>
      </c>
      <c r="F227" s="878"/>
      <c r="G227" s="49">
        <f t="shared" si="40"/>
        <v>1</v>
      </c>
      <c r="H227" s="878"/>
      <c r="I227" s="49">
        <f t="shared" si="41"/>
        <v>1</v>
      </c>
      <c r="J227" s="878"/>
      <c r="K227" s="49">
        <f t="shared" si="42"/>
        <v>1</v>
      </c>
      <c r="L227" s="878"/>
      <c r="M227" s="49">
        <f t="shared" si="43"/>
        <v>1</v>
      </c>
      <c r="N227" s="878"/>
      <c r="O227" s="49">
        <f t="shared" si="44"/>
        <v>1</v>
      </c>
      <c r="P227" s="878"/>
      <c r="Q227" s="49">
        <f t="shared" si="45"/>
        <v>1</v>
      </c>
      <c r="R227" s="49">
        <f t="shared" si="46"/>
        <v>0</v>
      </c>
      <c r="S227" s="734">
        <f t="shared" si="47"/>
        <v>0</v>
      </c>
    </row>
    <row r="228" spans="1:19">
      <c r="A228" s="879"/>
      <c r="B228" s="126"/>
      <c r="C228" s="49">
        <f t="shared" si="38"/>
        <v>1</v>
      </c>
      <c r="D228" s="878"/>
      <c r="E228" s="49">
        <f t="shared" si="39"/>
        <v>1</v>
      </c>
      <c r="F228" s="878"/>
      <c r="G228" s="49">
        <f t="shared" si="40"/>
        <v>1</v>
      </c>
      <c r="H228" s="878"/>
      <c r="I228" s="49">
        <f t="shared" si="41"/>
        <v>1</v>
      </c>
      <c r="J228" s="878"/>
      <c r="K228" s="49">
        <f t="shared" si="42"/>
        <v>1</v>
      </c>
      <c r="L228" s="878"/>
      <c r="M228" s="49">
        <f t="shared" si="43"/>
        <v>1</v>
      </c>
      <c r="N228" s="878"/>
      <c r="O228" s="49">
        <f t="shared" si="44"/>
        <v>1</v>
      </c>
      <c r="P228" s="878"/>
      <c r="Q228" s="49">
        <f t="shared" si="45"/>
        <v>1</v>
      </c>
      <c r="R228" s="49">
        <f t="shared" si="46"/>
        <v>0</v>
      </c>
      <c r="S228" s="734">
        <f t="shared" si="47"/>
        <v>0</v>
      </c>
    </row>
    <row r="229" spans="1:19">
      <c r="A229" s="879"/>
      <c r="B229" s="126"/>
      <c r="C229" s="49">
        <f t="shared" si="38"/>
        <v>1</v>
      </c>
      <c r="D229" s="878"/>
      <c r="E229" s="49">
        <f t="shared" si="39"/>
        <v>1</v>
      </c>
      <c r="F229" s="878"/>
      <c r="G229" s="49">
        <f t="shared" si="40"/>
        <v>1</v>
      </c>
      <c r="H229" s="878"/>
      <c r="I229" s="49">
        <f t="shared" si="41"/>
        <v>1</v>
      </c>
      <c r="J229" s="878"/>
      <c r="K229" s="49">
        <f t="shared" si="42"/>
        <v>1</v>
      </c>
      <c r="L229" s="878"/>
      <c r="M229" s="49">
        <f t="shared" si="43"/>
        <v>1</v>
      </c>
      <c r="N229" s="878"/>
      <c r="O229" s="49">
        <f t="shared" si="44"/>
        <v>1</v>
      </c>
      <c r="P229" s="878"/>
      <c r="Q229" s="49">
        <f t="shared" si="45"/>
        <v>1</v>
      </c>
      <c r="R229" s="49">
        <f t="shared" si="46"/>
        <v>0</v>
      </c>
      <c r="S229" s="734">
        <f t="shared" si="47"/>
        <v>0</v>
      </c>
    </row>
    <row r="230" spans="1:19">
      <c r="A230" s="879"/>
      <c r="B230" s="126"/>
      <c r="C230" s="49">
        <f t="shared" si="38"/>
        <v>1</v>
      </c>
      <c r="D230" s="878"/>
      <c r="E230" s="49">
        <f t="shared" si="39"/>
        <v>1</v>
      </c>
      <c r="F230" s="878"/>
      <c r="G230" s="49">
        <f t="shared" si="40"/>
        <v>1</v>
      </c>
      <c r="H230" s="878"/>
      <c r="I230" s="49">
        <f t="shared" si="41"/>
        <v>1</v>
      </c>
      <c r="J230" s="878"/>
      <c r="K230" s="49">
        <f t="shared" si="42"/>
        <v>1</v>
      </c>
      <c r="L230" s="878"/>
      <c r="M230" s="49">
        <f t="shared" si="43"/>
        <v>1</v>
      </c>
      <c r="N230" s="878"/>
      <c r="O230" s="49">
        <f t="shared" si="44"/>
        <v>1</v>
      </c>
      <c r="P230" s="878"/>
      <c r="Q230" s="49">
        <f t="shared" si="45"/>
        <v>1</v>
      </c>
      <c r="R230" s="49">
        <f t="shared" si="46"/>
        <v>0</v>
      </c>
      <c r="S230" s="734">
        <f t="shared" si="47"/>
        <v>0</v>
      </c>
    </row>
    <row r="231" spans="1:19">
      <c r="A231" s="879"/>
      <c r="B231" s="126"/>
      <c r="C231" s="49">
        <f t="shared" si="38"/>
        <v>1</v>
      </c>
      <c r="D231" s="878"/>
      <c r="E231" s="49">
        <f t="shared" si="39"/>
        <v>1</v>
      </c>
      <c r="F231" s="878"/>
      <c r="G231" s="49">
        <f t="shared" si="40"/>
        <v>1</v>
      </c>
      <c r="H231" s="878"/>
      <c r="I231" s="49">
        <f t="shared" si="41"/>
        <v>1</v>
      </c>
      <c r="J231" s="878"/>
      <c r="K231" s="49">
        <f t="shared" si="42"/>
        <v>1</v>
      </c>
      <c r="L231" s="878"/>
      <c r="M231" s="49">
        <f t="shared" si="43"/>
        <v>1</v>
      </c>
      <c r="N231" s="878"/>
      <c r="O231" s="49">
        <f t="shared" si="44"/>
        <v>1</v>
      </c>
      <c r="P231" s="878"/>
      <c r="Q231" s="49">
        <f t="shared" si="45"/>
        <v>1</v>
      </c>
      <c r="R231" s="49">
        <f t="shared" si="46"/>
        <v>0</v>
      </c>
      <c r="S231" s="734">
        <f t="shared" si="47"/>
        <v>0</v>
      </c>
    </row>
    <row r="232" spans="1:19">
      <c r="A232" s="879"/>
      <c r="B232" s="126"/>
      <c r="C232" s="49">
        <f t="shared" si="38"/>
        <v>1</v>
      </c>
      <c r="D232" s="878"/>
      <c r="E232" s="49">
        <f t="shared" si="39"/>
        <v>1</v>
      </c>
      <c r="F232" s="878"/>
      <c r="G232" s="49">
        <f t="shared" si="40"/>
        <v>1</v>
      </c>
      <c r="H232" s="878"/>
      <c r="I232" s="49">
        <f t="shared" si="41"/>
        <v>1</v>
      </c>
      <c r="J232" s="878"/>
      <c r="K232" s="49">
        <f t="shared" si="42"/>
        <v>1</v>
      </c>
      <c r="L232" s="878"/>
      <c r="M232" s="49">
        <f t="shared" si="43"/>
        <v>1</v>
      </c>
      <c r="N232" s="878"/>
      <c r="O232" s="49">
        <f t="shared" si="44"/>
        <v>1</v>
      </c>
      <c r="P232" s="878"/>
      <c r="Q232" s="49">
        <f t="shared" si="45"/>
        <v>1</v>
      </c>
      <c r="R232" s="49">
        <f t="shared" si="46"/>
        <v>0</v>
      </c>
      <c r="S232" s="734">
        <f t="shared" si="47"/>
        <v>0</v>
      </c>
    </row>
    <row r="233" spans="1:19">
      <c r="A233" s="879"/>
      <c r="B233" s="126"/>
      <c r="C233" s="49">
        <f t="shared" si="38"/>
        <v>1</v>
      </c>
      <c r="D233" s="878"/>
      <c r="E233" s="49">
        <f t="shared" si="39"/>
        <v>1</v>
      </c>
      <c r="F233" s="878"/>
      <c r="G233" s="49">
        <f t="shared" si="40"/>
        <v>1</v>
      </c>
      <c r="H233" s="878"/>
      <c r="I233" s="49">
        <f t="shared" si="41"/>
        <v>1</v>
      </c>
      <c r="J233" s="878"/>
      <c r="K233" s="49">
        <f t="shared" si="42"/>
        <v>1</v>
      </c>
      <c r="L233" s="878"/>
      <c r="M233" s="49">
        <f t="shared" si="43"/>
        <v>1</v>
      </c>
      <c r="N233" s="878"/>
      <c r="O233" s="49">
        <f t="shared" si="44"/>
        <v>1</v>
      </c>
      <c r="P233" s="878"/>
      <c r="Q233" s="49">
        <f t="shared" si="45"/>
        <v>1</v>
      </c>
      <c r="R233" s="49">
        <f t="shared" si="46"/>
        <v>0</v>
      </c>
      <c r="S233" s="734">
        <f t="shared" si="47"/>
        <v>0</v>
      </c>
    </row>
    <row r="234" spans="1:19">
      <c r="A234" s="879"/>
      <c r="B234" s="126"/>
      <c r="C234" s="49">
        <f t="shared" si="38"/>
        <v>1</v>
      </c>
      <c r="D234" s="878"/>
      <c r="E234" s="49">
        <f t="shared" si="39"/>
        <v>1</v>
      </c>
      <c r="F234" s="878"/>
      <c r="G234" s="49">
        <f t="shared" si="40"/>
        <v>1</v>
      </c>
      <c r="H234" s="878"/>
      <c r="I234" s="49">
        <f t="shared" si="41"/>
        <v>1</v>
      </c>
      <c r="J234" s="878"/>
      <c r="K234" s="49">
        <f t="shared" si="42"/>
        <v>1</v>
      </c>
      <c r="L234" s="878"/>
      <c r="M234" s="49">
        <f t="shared" si="43"/>
        <v>1</v>
      </c>
      <c r="N234" s="878"/>
      <c r="O234" s="49">
        <f t="shared" si="44"/>
        <v>1</v>
      </c>
      <c r="P234" s="878"/>
      <c r="Q234" s="49">
        <f t="shared" si="45"/>
        <v>1</v>
      </c>
      <c r="R234" s="49">
        <f t="shared" si="46"/>
        <v>0</v>
      </c>
      <c r="S234" s="734">
        <f t="shared" si="47"/>
        <v>0</v>
      </c>
    </row>
    <row r="235" spans="1:19">
      <c r="A235" s="879"/>
      <c r="B235" s="126"/>
      <c r="C235" s="49">
        <f t="shared" si="38"/>
        <v>1</v>
      </c>
      <c r="D235" s="878"/>
      <c r="E235" s="49">
        <f t="shared" si="39"/>
        <v>1</v>
      </c>
      <c r="F235" s="878"/>
      <c r="G235" s="49">
        <f t="shared" si="40"/>
        <v>1</v>
      </c>
      <c r="H235" s="878"/>
      <c r="I235" s="49">
        <f t="shared" si="41"/>
        <v>1</v>
      </c>
      <c r="J235" s="878"/>
      <c r="K235" s="49">
        <f t="shared" si="42"/>
        <v>1</v>
      </c>
      <c r="L235" s="878"/>
      <c r="M235" s="49">
        <f t="shared" si="43"/>
        <v>1</v>
      </c>
      <c r="N235" s="878"/>
      <c r="O235" s="49">
        <f t="shared" si="44"/>
        <v>1</v>
      </c>
      <c r="P235" s="878"/>
      <c r="Q235" s="49">
        <f t="shared" si="45"/>
        <v>1</v>
      </c>
      <c r="R235" s="49">
        <f t="shared" si="46"/>
        <v>0</v>
      </c>
      <c r="S235" s="734">
        <f t="shared" si="47"/>
        <v>0</v>
      </c>
    </row>
    <row r="236" spans="1:19">
      <c r="A236" s="879"/>
      <c r="B236" s="126"/>
      <c r="C236" s="49">
        <f t="shared" si="38"/>
        <v>1</v>
      </c>
      <c r="D236" s="878"/>
      <c r="E236" s="49">
        <f t="shared" si="39"/>
        <v>1</v>
      </c>
      <c r="F236" s="878"/>
      <c r="G236" s="49">
        <f t="shared" si="40"/>
        <v>1</v>
      </c>
      <c r="H236" s="878"/>
      <c r="I236" s="49">
        <f t="shared" si="41"/>
        <v>1</v>
      </c>
      <c r="J236" s="878"/>
      <c r="K236" s="49">
        <f t="shared" si="42"/>
        <v>1</v>
      </c>
      <c r="L236" s="878"/>
      <c r="M236" s="49">
        <f t="shared" si="43"/>
        <v>1</v>
      </c>
      <c r="N236" s="878"/>
      <c r="O236" s="49">
        <f t="shared" si="44"/>
        <v>1</v>
      </c>
      <c r="P236" s="878"/>
      <c r="Q236" s="49">
        <f t="shared" si="45"/>
        <v>1</v>
      </c>
      <c r="R236" s="49">
        <f t="shared" si="46"/>
        <v>0</v>
      </c>
      <c r="S236" s="734">
        <f t="shared" si="47"/>
        <v>0</v>
      </c>
    </row>
    <row r="237" spans="1:19">
      <c r="A237" s="879"/>
      <c r="B237" s="126"/>
      <c r="C237" s="49">
        <f t="shared" si="38"/>
        <v>1</v>
      </c>
      <c r="D237" s="878"/>
      <c r="E237" s="49">
        <f t="shared" si="39"/>
        <v>1</v>
      </c>
      <c r="F237" s="878"/>
      <c r="G237" s="49">
        <f t="shared" si="40"/>
        <v>1</v>
      </c>
      <c r="H237" s="878"/>
      <c r="I237" s="49">
        <f t="shared" si="41"/>
        <v>1</v>
      </c>
      <c r="J237" s="878"/>
      <c r="K237" s="49">
        <f t="shared" si="42"/>
        <v>1</v>
      </c>
      <c r="L237" s="878"/>
      <c r="M237" s="49">
        <f t="shared" si="43"/>
        <v>1</v>
      </c>
      <c r="N237" s="878"/>
      <c r="O237" s="49">
        <f t="shared" si="44"/>
        <v>1</v>
      </c>
      <c r="P237" s="878"/>
      <c r="Q237" s="49">
        <f t="shared" si="45"/>
        <v>1</v>
      </c>
      <c r="R237" s="49">
        <f t="shared" si="46"/>
        <v>0</v>
      </c>
      <c r="S237" s="734">
        <f t="shared" si="47"/>
        <v>0</v>
      </c>
    </row>
    <row r="238" spans="1:19">
      <c r="A238" s="879"/>
      <c r="B238" s="126"/>
      <c r="C238" s="49">
        <f t="shared" si="38"/>
        <v>1</v>
      </c>
      <c r="D238" s="878"/>
      <c r="E238" s="49">
        <f t="shared" si="39"/>
        <v>1</v>
      </c>
      <c r="F238" s="878"/>
      <c r="G238" s="49">
        <f t="shared" si="40"/>
        <v>1</v>
      </c>
      <c r="H238" s="878"/>
      <c r="I238" s="49">
        <f t="shared" si="41"/>
        <v>1</v>
      </c>
      <c r="J238" s="878"/>
      <c r="K238" s="49">
        <f t="shared" si="42"/>
        <v>1</v>
      </c>
      <c r="L238" s="878"/>
      <c r="M238" s="49">
        <f t="shared" si="43"/>
        <v>1</v>
      </c>
      <c r="N238" s="878"/>
      <c r="O238" s="49">
        <f t="shared" si="44"/>
        <v>1</v>
      </c>
      <c r="P238" s="878"/>
      <c r="Q238" s="49">
        <f t="shared" si="45"/>
        <v>1</v>
      </c>
      <c r="R238" s="49">
        <f t="shared" si="46"/>
        <v>0</v>
      </c>
      <c r="S238" s="734">
        <f t="shared" si="47"/>
        <v>0</v>
      </c>
    </row>
    <row r="239" spans="1:19">
      <c r="A239" s="879"/>
      <c r="B239" s="126"/>
      <c r="C239" s="49">
        <f t="shared" si="38"/>
        <v>1</v>
      </c>
      <c r="D239" s="878"/>
      <c r="E239" s="49">
        <f t="shared" si="39"/>
        <v>1</v>
      </c>
      <c r="F239" s="878"/>
      <c r="G239" s="49">
        <f t="shared" si="40"/>
        <v>1</v>
      </c>
      <c r="H239" s="878"/>
      <c r="I239" s="49">
        <f t="shared" si="41"/>
        <v>1</v>
      </c>
      <c r="J239" s="878"/>
      <c r="K239" s="49">
        <f t="shared" si="42"/>
        <v>1</v>
      </c>
      <c r="L239" s="878"/>
      <c r="M239" s="49">
        <f t="shared" si="43"/>
        <v>1</v>
      </c>
      <c r="N239" s="878"/>
      <c r="O239" s="49">
        <f t="shared" si="44"/>
        <v>1</v>
      </c>
      <c r="P239" s="878"/>
      <c r="Q239" s="49">
        <f t="shared" si="45"/>
        <v>1</v>
      </c>
      <c r="R239" s="49">
        <f t="shared" si="46"/>
        <v>0</v>
      </c>
      <c r="S239" s="734">
        <f t="shared" si="47"/>
        <v>0</v>
      </c>
    </row>
    <row r="240" spans="1:19">
      <c r="A240" s="879"/>
      <c r="B240" s="126"/>
      <c r="C240" s="49">
        <f t="shared" si="38"/>
        <v>1</v>
      </c>
      <c r="D240" s="878"/>
      <c r="E240" s="49">
        <f t="shared" si="39"/>
        <v>1</v>
      </c>
      <c r="F240" s="878"/>
      <c r="G240" s="49">
        <f t="shared" si="40"/>
        <v>1</v>
      </c>
      <c r="H240" s="878"/>
      <c r="I240" s="49">
        <f t="shared" si="41"/>
        <v>1</v>
      </c>
      <c r="J240" s="878"/>
      <c r="K240" s="49">
        <f t="shared" si="42"/>
        <v>1</v>
      </c>
      <c r="L240" s="878"/>
      <c r="M240" s="49">
        <f t="shared" si="43"/>
        <v>1</v>
      </c>
      <c r="N240" s="878"/>
      <c r="O240" s="49">
        <f t="shared" si="44"/>
        <v>1</v>
      </c>
      <c r="P240" s="878"/>
      <c r="Q240" s="49">
        <f t="shared" si="45"/>
        <v>1</v>
      </c>
      <c r="R240" s="49">
        <f t="shared" si="46"/>
        <v>0</v>
      </c>
      <c r="S240" s="734">
        <f t="shared" si="47"/>
        <v>0</v>
      </c>
    </row>
    <row r="241" spans="1:19">
      <c r="A241" s="879"/>
      <c r="B241" s="126"/>
      <c r="C241" s="49">
        <f t="shared" si="38"/>
        <v>1</v>
      </c>
      <c r="D241" s="878"/>
      <c r="E241" s="49">
        <f t="shared" si="39"/>
        <v>1</v>
      </c>
      <c r="F241" s="878"/>
      <c r="G241" s="49">
        <f t="shared" si="40"/>
        <v>1</v>
      </c>
      <c r="H241" s="878"/>
      <c r="I241" s="49">
        <f t="shared" si="41"/>
        <v>1</v>
      </c>
      <c r="J241" s="878"/>
      <c r="K241" s="49">
        <f t="shared" si="42"/>
        <v>1</v>
      </c>
      <c r="L241" s="878"/>
      <c r="M241" s="49">
        <f t="shared" si="43"/>
        <v>1</v>
      </c>
      <c r="N241" s="878"/>
      <c r="O241" s="49">
        <f t="shared" si="44"/>
        <v>1</v>
      </c>
      <c r="P241" s="878"/>
      <c r="Q241" s="49">
        <f t="shared" si="45"/>
        <v>1</v>
      </c>
      <c r="R241" s="49">
        <f t="shared" si="46"/>
        <v>0</v>
      </c>
      <c r="S241" s="734">
        <f t="shared" si="47"/>
        <v>0</v>
      </c>
    </row>
    <row r="242" spans="1:19">
      <c r="A242" s="879"/>
      <c r="B242" s="126"/>
      <c r="C242" s="49">
        <f t="shared" si="38"/>
        <v>1</v>
      </c>
      <c r="D242" s="878"/>
      <c r="E242" s="49">
        <f t="shared" si="39"/>
        <v>1</v>
      </c>
      <c r="F242" s="878"/>
      <c r="G242" s="49">
        <f t="shared" si="40"/>
        <v>1</v>
      </c>
      <c r="H242" s="878"/>
      <c r="I242" s="49">
        <f t="shared" si="41"/>
        <v>1</v>
      </c>
      <c r="J242" s="878"/>
      <c r="K242" s="49">
        <f t="shared" si="42"/>
        <v>1</v>
      </c>
      <c r="L242" s="878"/>
      <c r="M242" s="49">
        <f t="shared" si="43"/>
        <v>1</v>
      </c>
      <c r="N242" s="878"/>
      <c r="O242" s="49">
        <f t="shared" si="44"/>
        <v>1</v>
      </c>
      <c r="P242" s="878"/>
      <c r="Q242" s="49">
        <f t="shared" si="45"/>
        <v>1</v>
      </c>
      <c r="R242" s="49">
        <f t="shared" si="46"/>
        <v>0</v>
      </c>
      <c r="S242" s="734">
        <f t="shared" si="47"/>
        <v>0</v>
      </c>
    </row>
    <row r="243" spans="1:19">
      <c r="A243" s="879"/>
      <c r="B243" s="126"/>
      <c r="C243" s="49">
        <f t="shared" si="38"/>
        <v>1</v>
      </c>
      <c r="D243" s="878"/>
      <c r="E243" s="49">
        <f t="shared" si="39"/>
        <v>1</v>
      </c>
      <c r="F243" s="878"/>
      <c r="G243" s="49">
        <f t="shared" si="40"/>
        <v>1</v>
      </c>
      <c r="H243" s="878"/>
      <c r="I243" s="49">
        <f t="shared" si="41"/>
        <v>1</v>
      </c>
      <c r="J243" s="878"/>
      <c r="K243" s="49">
        <f t="shared" si="42"/>
        <v>1</v>
      </c>
      <c r="L243" s="878"/>
      <c r="M243" s="49">
        <f t="shared" si="43"/>
        <v>1</v>
      </c>
      <c r="N243" s="878"/>
      <c r="O243" s="49">
        <f t="shared" si="44"/>
        <v>1</v>
      </c>
      <c r="P243" s="878"/>
      <c r="Q243" s="49">
        <f t="shared" si="45"/>
        <v>1</v>
      </c>
      <c r="R243" s="49">
        <f t="shared" si="46"/>
        <v>0</v>
      </c>
      <c r="S243" s="734">
        <f t="shared" si="47"/>
        <v>0</v>
      </c>
    </row>
    <row r="244" spans="1:19">
      <c r="A244" s="879"/>
      <c r="B244" s="126"/>
      <c r="C244" s="49">
        <f t="shared" si="38"/>
        <v>1</v>
      </c>
      <c r="D244" s="878"/>
      <c r="E244" s="49">
        <f t="shared" si="39"/>
        <v>1</v>
      </c>
      <c r="F244" s="878"/>
      <c r="G244" s="49">
        <f t="shared" si="40"/>
        <v>1</v>
      </c>
      <c r="H244" s="878"/>
      <c r="I244" s="49">
        <f t="shared" si="41"/>
        <v>1</v>
      </c>
      <c r="J244" s="878"/>
      <c r="K244" s="49">
        <f t="shared" si="42"/>
        <v>1</v>
      </c>
      <c r="L244" s="878"/>
      <c r="M244" s="49">
        <f t="shared" si="43"/>
        <v>1</v>
      </c>
      <c r="N244" s="878"/>
      <c r="O244" s="49">
        <f t="shared" si="44"/>
        <v>1</v>
      </c>
      <c r="P244" s="878"/>
      <c r="Q244" s="49">
        <f t="shared" si="45"/>
        <v>1</v>
      </c>
      <c r="R244" s="49">
        <f t="shared" si="46"/>
        <v>0</v>
      </c>
      <c r="S244" s="734">
        <f t="shared" si="47"/>
        <v>0</v>
      </c>
    </row>
    <row r="245" spans="1:19">
      <c r="A245" s="879"/>
      <c r="B245" s="126"/>
      <c r="C245" s="49">
        <f t="shared" si="38"/>
        <v>1</v>
      </c>
      <c r="D245" s="878"/>
      <c r="E245" s="49">
        <f t="shared" si="39"/>
        <v>1</v>
      </c>
      <c r="F245" s="878"/>
      <c r="G245" s="49">
        <f t="shared" si="40"/>
        <v>1</v>
      </c>
      <c r="H245" s="878"/>
      <c r="I245" s="49">
        <f t="shared" si="41"/>
        <v>1</v>
      </c>
      <c r="J245" s="878"/>
      <c r="K245" s="49">
        <f t="shared" si="42"/>
        <v>1</v>
      </c>
      <c r="L245" s="878"/>
      <c r="M245" s="49">
        <f t="shared" si="43"/>
        <v>1</v>
      </c>
      <c r="N245" s="878"/>
      <c r="O245" s="49">
        <f t="shared" si="44"/>
        <v>1</v>
      </c>
      <c r="P245" s="878"/>
      <c r="Q245" s="49">
        <f t="shared" si="45"/>
        <v>1</v>
      </c>
      <c r="R245" s="49">
        <f t="shared" si="46"/>
        <v>0</v>
      </c>
      <c r="S245" s="734">
        <f t="shared" si="47"/>
        <v>0</v>
      </c>
    </row>
    <row r="246" spans="1:19">
      <c r="A246" s="879"/>
      <c r="B246" s="126"/>
      <c r="C246" s="49">
        <f t="shared" si="38"/>
        <v>1</v>
      </c>
      <c r="D246" s="878"/>
      <c r="E246" s="49">
        <f t="shared" si="39"/>
        <v>1</v>
      </c>
      <c r="F246" s="878"/>
      <c r="G246" s="49">
        <f t="shared" si="40"/>
        <v>1</v>
      </c>
      <c r="H246" s="878"/>
      <c r="I246" s="49">
        <f t="shared" si="41"/>
        <v>1</v>
      </c>
      <c r="J246" s="878"/>
      <c r="K246" s="49">
        <f t="shared" si="42"/>
        <v>1</v>
      </c>
      <c r="L246" s="878"/>
      <c r="M246" s="49">
        <f t="shared" si="43"/>
        <v>1</v>
      </c>
      <c r="N246" s="878"/>
      <c r="O246" s="49">
        <f t="shared" si="44"/>
        <v>1</v>
      </c>
      <c r="P246" s="878"/>
      <c r="Q246" s="49">
        <f t="shared" si="45"/>
        <v>1</v>
      </c>
      <c r="R246" s="49">
        <f t="shared" si="46"/>
        <v>0</v>
      </c>
      <c r="S246" s="734">
        <f t="shared" si="47"/>
        <v>0</v>
      </c>
    </row>
    <row r="247" spans="1:19">
      <c r="A247" s="879"/>
      <c r="B247" s="126"/>
      <c r="C247" s="49">
        <f t="shared" si="38"/>
        <v>1</v>
      </c>
      <c r="D247" s="878"/>
      <c r="E247" s="49">
        <f t="shared" si="39"/>
        <v>1</v>
      </c>
      <c r="F247" s="878"/>
      <c r="G247" s="49">
        <f t="shared" si="40"/>
        <v>1</v>
      </c>
      <c r="H247" s="878"/>
      <c r="I247" s="49">
        <f t="shared" si="41"/>
        <v>1</v>
      </c>
      <c r="J247" s="878"/>
      <c r="K247" s="49">
        <f t="shared" si="42"/>
        <v>1</v>
      </c>
      <c r="L247" s="878"/>
      <c r="M247" s="49">
        <f t="shared" si="43"/>
        <v>1</v>
      </c>
      <c r="N247" s="878"/>
      <c r="O247" s="49">
        <f t="shared" si="44"/>
        <v>1</v>
      </c>
      <c r="P247" s="878"/>
      <c r="Q247" s="49">
        <f t="shared" si="45"/>
        <v>1</v>
      </c>
      <c r="R247" s="49">
        <f t="shared" si="46"/>
        <v>0</v>
      </c>
      <c r="S247" s="734">
        <f t="shared" si="47"/>
        <v>0</v>
      </c>
    </row>
    <row r="248" spans="1:19">
      <c r="A248" s="879"/>
      <c r="B248" s="126"/>
      <c r="C248" s="49">
        <f t="shared" si="38"/>
        <v>1</v>
      </c>
      <c r="D248" s="878"/>
      <c r="E248" s="49">
        <f t="shared" si="39"/>
        <v>1</v>
      </c>
      <c r="F248" s="878"/>
      <c r="G248" s="49">
        <f t="shared" si="40"/>
        <v>1</v>
      </c>
      <c r="H248" s="878"/>
      <c r="I248" s="49">
        <f t="shared" si="41"/>
        <v>1</v>
      </c>
      <c r="J248" s="878"/>
      <c r="K248" s="49">
        <f t="shared" si="42"/>
        <v>1</v>
      </c>
      <c r="L248" s="878"/>
      <c r="M248" s="49">
        <f t="shared" si="43"/>
        <v>1</v>
      </c>
      <c r="N248" s="878"/>
      <c r="O248" s="49">
        <f t="shared" si="44"/>
        <v>1</v>
      </c>
      <c r="P248" s="878"/>
      <c r="Q248" s="49">
        <f t="shared" si="45"/>
        <v>1</v>
      </c>
      <c r="R248" s="49">
        <f t="shared" si="46"/>
        <v>0</v>
      </c>
      <c r="S248" s="734">
        <f t="shared" si="47"/>
        <v>0</v>
      </c>
    </row>
    <row r="249" spans="1:19">
      <c r="A249" s="879"/>
      <c r="B249" s="126"/>
      <c r="C249" s="49">
        <f t="shared" si="38"/>
        <v>1</v>
      </c>
      <c r="D249" s="878"/>
      <c r="E249" s="49">
        <f t="shared" si="39"/>
        <v>1</v>
      </c>
      <c r="F249" s="878"/>
      <c r="G249" s="49">
        <f t="shared" si="40"/>
        <v>1</v>
      </c>
      <c r="H249" s="878"/>
      <c r="I249" s="49">
        <f t="shared" si="41"/>
        <v>1</v>
      </c>
      <c r="J249" s="878"/>
      <c r="K249" s="49">
        <f t="shared" si="42"/>
        <v>1</v>
      </c>
      <c r="L249" s="878"/>
      <c r="M249" s="49">
        <f t="shared" si="43"/>
        <v>1</v>
      </c>
      <c r="N249" s="878"/>
      <c r="O249" s="49">
        <f t="shared" si="44"/>
        <v>1</v>
      </c>
      <c r="P249" s="878"/>
      <c r="Q249" s="49">
        <f t="shared" si="45"/>
        <v>1</v>
      </c>
      <c r="R249" s="49">
        <f t="shared" si="46"/>
        <v>0</v>
      </c>
      <c r="S249" s="734">
        <f t="shared" si="47"/>
        <v>0</v>
      </c>
    </row>
    <row r="250" spans="1:19">
      <c r="A250" s="879"/>
      <c r="B250" s="126"/>
      <c r="C250" s="49">
        <f t="shared" si="38"/>
        <v>1</v>
      </c>
      <c r="D250" s="878"/>
      <c r="E250" s="49">
        <f t="shared" si="39"/>
        <v>1</v>
      </c>
      <c r="F250" s="878"/>
      <c r="G250" s="49">
        <f t="shared" si="40"/>
        <v>1</v>
      </c>
      <c r="H250" s="878"/>
      <c r="I250" s="49">
        <f t="shared" si="41"/>
        <v>1</v>
      </c>
      <c r="J250" s="878"/>
      <c r="K250" s="49">
        <f t="shared" si="42"/>
        <v>1</v>
      </c>
      <c r="L250" s="878"/>
      <c r="M250" s="49">
        <f t="shared" si="43"/>
        <v>1</v>
      </c>
      <c r="N250" s="878"/>
      <c r="O250" s="49">
        <f t="shared" si="44"/>
        <v>1</v>
      </c>
      <c r="P250" s="878"/>
      <c r="Q250" s="49">
        <f t="shared" si="45"/>
        <v>1</v>
      </c>
      <c r="R250" s="49">
        <f t="shared" si="46"/>
        <v>0</v>
      </c>
      <c r="S250" s="734">
        <f t="shared" si="47"/>
        <v>0</v>
      </c>
    </row>
    <row r="251" spans="1:19">
      <c r="A251" s="879"/>
      <c r="B251" s="126"/>
      <c r="C251" s="49">
        <f t="shared" si="38"/>
        <v>1</v>
      </c>
      <c r="D251" s="878"/>
      <c r="E251" s="49">
        <f t="shared" si="39"/>
        <v>1</v>
      </c>
      <c r="F251" s="878"/>
      <c r="G251" s="49">
        <f t="shared" si="40"/>
        <v>1</v>
      </c>
      <c r="H251" s="878"/>
      <c r="I251" s="49">
        <f t="shared" si="41"/>
        <v>1</v>
      </c>
      <c r="J251" s="878"/>
      <c r="K251" s="49">
        <f t="shared" si="42"/>
        <v>1</v>
      </c>
      <c r="L251" s="878"/>
      <c r="M251" s="49">
        <f t="shared" si="43"/>
        <v>1</v>
      </c>
      <c r="N251" s="878"/>
      <c r="O251" s="49">
        <f t="shared" si="44"/>
        <v>1</v>
      </c>
      <c r="P251" s="878"/>
      <c r="Q251" s="49">
        <f t="shared" si="45"/>
        <v>1</v>
      </c>
      <c r="R251" s="49">
        <f t="shared" si="46"/>
        <v>0</v>
      </c>
      <c r="S251" s="734">
        <f t="shared" si="47"/>
        <v>0</v>
      </c>
    </row>
    <row r="252" spans="1:19">
      <c r="A252" s="879"/>
      <c r="B252" s="126"/>
      <c r="C252" s="49">
        <f t="shared" si="38"/>
        <v>1</v>
      </c>
      <c r="D252" s="878"/>
      <c r="E252" s="49">
        <f t="shared" si="39"/>
        <v>1</v>
      </c>
      <c r="F252" s="878"/>
      <c r="G252" s="49">
        <f t="shared" si="40"/>
        <v>1</v>
      </c>
      <c r="H252" s="878"/>
      <c r="I252" s="49">
        <f t="shared" si="41"/>
        <v>1</v>
      </c>
      <c r="J252" s="878"/>
      <c r="K252" s="49">
        <f t="shared" si="42"/>
        <v>1</v>
      </c>
      <c r="L252" s="878"/>
      <c r="M252" s="49">
        <f t="shared" si="43"/>
        <v>1</v>
      </c>
      <c r="N252" s="878"/>
      <c r="O252" s="49">
        <f t="shared" si="44"/>
        <v>1</v>
      </c>
      <c r="P252" s="878"/>
      <c r="Q252" s="49">
        <f t="shared" si="45"/>
        <v>1</v>
      </c>
      <c r="R252" s="49">
        <f t="shared" si="46"/>
        <v>0</v>
      </c>
      <c r="S252" s="734">
        <f t="shared" si="47"/>
        <v>0</v>
      </c>
    </row>
    <row r="253" spans="1:19">
      <c r="A253" s="879"/>
      <c r="B253" s="126"/>
      <c r="C253" s="49">
        <f t="shared" si="38"/>
        <v>1</v>
      </c>
      <c r="D253" s="878"/>
      <c r="E253" s="49">
        <f t="shared" si="39"/>
        <v>1</v>
      </c>
      <c r="F253" s="878"/>
      <c r="G253" s="49">
        <f t="shared" si="40"/>
        <v>1</v>
      </c>
      <c r="H253" s="878"/>
      <c r="I253" s="49">
        <f t="shared" si="41"/>
        <v>1</v>
      </c>
      <c r="J253" s="878"/>
      <c r="K253" s="49">
        <f t="shared" si="42"/>
        <v>1</v>
      </c>
      <c r="L253" s="878"/>
      <c r="M253" s="49">
        <f t="shared" si="43"/>
        <v>1</v>
      </c>
      <c r="N253" s="878"/>
      <c r="O253" s="49">
        <f t="shared" si="44"/>
        <v>1</v>
      </c>
      <c r="P253" s="878"/>
      <c r="Q253" s="49">
        <f t="shared" si="45"/>
        <v>1</v>
      </c>
      <c r="R253" s="49">
        <f t="shared" si="46"/>
        <v>0</v>
      </c>
      <c r="S253" s="734">
        <f t="shared" si="47"/>
        <v>0</v>
      </c>
    </row>
    <row r="254" spans="1:19">
      <c r="A254" s="879"/>
      <c r="B254" s="126"/>
      <c r="C254" s="49">
        <f t="shared" si="38"/>
        <v>1</v>
      </c>
      <c r="D254" s="878"/>
      <c r="E254" s="49">
        <f t="shared" si="39"/>
        <v>1</v>
      </c>
      <c r="F254" s="878"/>
      <c r="G254" s="49">
        <f t="shared" si="40"/>
        <v>1</v>
      </c>
      <c r="H254" s="878"/>
      <c r="I254" s="49">
        <f t="shared" si="41"/>
        <v>1</v>
      </c>
      <c r="J254" s="878"/>
      <c r="K254" s="49">
        <f t="shared" si="42"/>
        <v>1</v>
      </c>
      <c r="L254" s="878"/>
      <c r="M254" s="49">
        <f t="shared" si="43"/>
        <v>1</v>
      </c>
      <c r="N254" s="878"/>
      <c r="O254" s="49">
        <f t="shared" si="44"/>
        <v>1</v>
      </c>
      <c r="P254" s="878"/>
      <c r="Q254" s="49">
        <f t="shared" si="45"/>
        <v>1</v>
      </c>
      <c r="R254" s="49">
        <f t="shared" si="46"/>
        <v>0</v>
      </c>
      <c r="S254" s="734">
        <f t="shared" si="47"/>
        <v>0</v>
      </c>
    </row>
    <row r="255" spans="1:19">
      <c r="A255" s="879"/>
      <c r="B255" s="126"/>
      <c r="C255" s="49">
        <f t="shared" si="38"/>
        <v>1</v>
      </c>
      <c r="D255" s="878"/>
      <c r="E255" s="49">
        <f t="shared" si="39"/>
        <v>1</v>
      </c>
      <c r="F255" s="878"/>
      <c r="G255" s="49">
        <f t="shared" si="40"/>
        <v>1</v>
      </c>
      <c r="H255" s="878"/>
      <c r="I255" s="49">
        <f t="shared" si="41"/>
        <v>1</v>
      </c>
      <c r="J255" s="878"/>
      <c r="K255" s="49">
        <f t="shared" si="42"/>
        <v>1</v>
      </c>
      <c r="L255" s="878"/>
      <c r="M255" s="49">
        <f t="shared" si="43"/>
        <v>1</v>
      </c>
      <c r="N255" s="878"/>
      <c r="O255" s="49">
        <f t="shared" si="44"/>
        <v>1</v>
      </c>
      <c r="P255" s="878"/>
      <c r="Q255" s="49">
        <f t="shared" si="45"/>
        <v>1</v>
      </c>
      <c r="R255" s="49">
        <f t="shared" si="46"/>
        <v>0</v>
      </c>
      <c r="S255" s="734">
        <f t="shared" si="47"/>
        <v>0</v>
      </c>
    </row>
    <row r="256" spans="1:19">
      <c r="A256" s="879"/>
      <c r="B256" s="126"/>
      <c r="C256" s="49">
        <f t="shared" si="38"/>
        <v>1</v>
      </c>
      <c r="D256" s="878"/>
      <c r="E256" s="49">
        <f t="shared" si="39"/>
        <v>1</v>
      </c>
      <c r="F256" s="878"/>
      <c r="G256" s="49">
        <f t="shared" si="40"/>
        <v>1</v>
      </c>
      <c r="H256" s="878"/>
      <c r="I256" s="49">
        <f t="shared" si="41"/>
        <v>1</v>
      </c>
      <c r="J256" s="878"/>
      <c r="K256" s="49">
        <f t="shared" si="42"/>
        <v>1</v>
      </c>
      <c r="L256" s="878"/>
      <c r="M256" s="49">
        <f t="shared" si="43"/>
        <v>1</v>
      </c>
      <c r="N256" s="878"/>
      <c r="O256" s="49">
        <f t="shared" si="44"/>
        <v>1</v>
      </c>
      <c r="P256" s="878"/>
      <c r="Q256" s="49">
        <f t="shared" si="45"/>
        <v>1</v>
      </c>
      <c r="R256" s="49">
        <f t="shared" si="46"/>
        <v>0</v>
      </c>
      <c r="S256" s="734">
        <f t="shared" si="47"/>
        <v>0</v>
      </c>
    </row>
    <row r="257" spans="1:19">
      <c r="A257" s="879"/>
      <c r="B257" s="126"/>
      <c r="C257" s="49">
        <f t="shared" si="38"/>
        <v>1</v>
      </c>
      <c r="D257" s="878"/>
      <c r="E257" s="49">
        <f t="shared" si="39"/>
        <v>1</v>
      </c>
      <c r="F257" s="878"/>
      <c r="G257" s="49">
        <f t="shared" si="40"/>
        <v>1</v>
      </c>
      <c r="H257" s="878"/>
      <c r="I257" s="49">
        <f t="shared" si="41"/>
        <v>1</v>
      </c>
      <c r="J257" s="878"/>
      <c r="K257" s="49">
        <f t="shared" si="42"/>
        <v>1</v>
      </c>
      <c r="L257" s="878"/>
      <c r="M257" s="49">
        <f t="shared" si="43"/>
        <v>1</v>
      </c>
      <c r="N257" s="878"/>
      <c r="O257" s="49">
        <f t="shared" si="44"/>
        <v>1</v>
      </c>
      <c r="P257" s="878"/>
      <c r="Q257" s="49">
        <f t="shared" si="45"/>
        <v>1</v>
      </c>
      <c r="R257" s="49">
        <f t="shared" si="46"/>
        <v>0</v>
      </c>
      <c r="S257" s="734">
        <f t="shared" si="47"/>
        <v>0</v>
      </c>
    </row>
    <row r="258" spans="1:19">
      <c r="A258" s="879"/>
      <c r="B258" s="126"/>
      <c r="C258" s="49">
        <f t="shared" si="38"/>
        <v>1</v>
      </c>
      <c r="D258" s="878"/>
      <c r="E258" s="49">
        <f t="shared" si="39"/>
        <v>1</v>
      </c>
      <c r="F258" s="878"/>
      <c r="G258" s="49">
        <f t="shared" si="40"/>
        <v>1</v>
      </c>
      <c r="H258" s="878"/>
      <c r="I258" s="49">
        <f t="shared" si="41"/>
        <v>1</v>
      </c>
      <c r="J258" s="878"/>
      <c r="K258" s="49">
        <f t="shared" si="42"/>
        <v>1</v>
      </c>
      <c r="L258" s="878"/>
      <c r="M258" s="49">
        <f t="shared" si="43"/>
        <v>1</v>
      </c>
      <c r="N258" s="878"/>
      <c r="O258" s="49">
        <f t="shared" si="44"/>
        <v>1</v>
      </c>
      <c r="P258" s="878"/>
      <c r="Q258" s="49">
        <f t="shared" si="45"/>
        <v>1</v>
      </c>
      <c r="R258" s="49">
        <f t="shared" si="46"/>
        <v>0</v>
      </c>
      <c r="S258" s="734">
        <f t="shared" si="47"/>
        <v>0</v>
      </c>
    </row>
    <row r="259" spans="1:19">
      <c r="A259" s="879"/>
      <c r="B259" s="126"/>
      <c r="C259" s="49">
        <f t="shared" si="38"/>
        <v>1</v>
      </c>
      <c r="D259" s="878"/>
      <c r="E259" s="49">
        <f t="shared" si="39"/>
        <v>1</v>
      </c>
      <c r="F259" s="878"/>
      <c r="G259" s="49">
        <f t="shared" si="40"/>
        <v>1</v>
      </c>
      <c r="H259" s="878"/>
      <c r="I259" s="49">
        <f t="shared" si="41"/>
        <v>1</v>
      </c>
      <c r="J259" s="878"/>
      <c r="K259" s="49">
        <f t="shared" si="42"/>
        <v>1</v>
      </c>
      <c r="L259" s="878"/>
      <c r="M259" s="49">
        <f t="shared" si="43"/>
        <v>1</v>
      </c>
      <c r="N259" s="878"/>
      <c r="O259" s="49">
        <f t="shared" si="44"/>
        <v>1</v>
      </c>
      <c r="P259" s="878"/>
      <c r="Q259" s="49">
        <f t="shared" si="45"/>
        <v>1</v>
      </c>
      <c r="R259" s="49">
        <f t="shared" si="46"/>
        <v>0</v>
      </c>
      <c r="S259" s="734">
        <f t="shared" si="47"/>
        <v>0</v>
      </c>
    </row>
    <row r="260" spans="1:19">
      <c r="A260" s="879"/>
      <c r="B260" s="126"/>
      <c r="C260" s="49">
        <f t="shared" si="38"/>
        <v>1</v>
      </c>
      <c r="D260" s="878"/>
      <c r="E260" s="49">
        <f t="shared" si="39"/>
        <v>1</v>
      </c>
      <c r="F260" s="878"/>
      <c r="G260" s="49">
        <f t="shared" si="40"/>
        <v>1</v>
      </c>
      <c r="H260" s="878"/>
      <c r="I260" s="49">
        <f t="shared" si="41"/>
        <v>1</v>
      </c>
      <c r="J260" s="878"/>
      <c r="K260" s="49">
        <f t="shared" si="42"/>
        <v>1</v>
      </c>
      <c r="L260" s="878"/>
      <c r="M260" s="49">
        <f t="shared" si="43"/>
        <v>1</v>
      </c>
      <c r="N260" s="878"/>
      <c r="O260" s="49">
        <f t="shared" si="44"/>
        <v>1</v>
      </c>
      <c r="P260" s="878"/>
      <c r="Q260" s="49">
        <f t="shared" si="45"/>
        <v>1</v>
      </c>
      <c r="R260" s="49">
        <f t="shared" si="46"/>
        <v>0</v>
      </c>
      <c r="S260" s="734">
        <f t="shared" si="47"/>
        <v>0</v>
      </c>
    </row>
    <row r="261" spans="1:19">
      <c r="A261" s="879"/>
      <c r="B261" s="126"/>
      <c r="C261" s="49">
        <f t="shared" si="38"/>
        <v>1</v>
      </c>
      <c r="D261" s="878"/>
      <c r="E261" s="49">
        <f t="shared" si="39"/>
        <v>1</v>
      </c>
      <c r="F261" s="878"/>
      <c r="G261" s="49">
        <f t="shared" si="40"/>
        <v>1</v>
      </c>
      <c r="H261" s="878"/>
      <c r="I261" s="49">
        <f t="shared" si="41"/>
        <v>1</v>
      </c>
      <c r="J261" s="878"/>
      <c r="K261" s="49">
        <f t="shared" si="42"/>
        <v>1</v>
      </c>
      <c r="L261" s="878"/>
      <c r="M261" s="49">
        <f t="shared" si="43"/>
        <v>1</v>
      </c>
      <c r="N261" s="878"/>
      <c r="O261" s="49">
        <f t="shared" si="44"/>
        <v>1</v>
      </c>
      <c r="P261" s="878"/>
      <c r="Q261" s="49">
        <f t="shared" si="45"/>
        <v>1</v>
      </c>
      <c r="R261" s="49">
        <f t="shared" si="46"/>
        <v>0</v>
      </c>
      <c r="S261" s="734">
        <f t="shared" si="47"/>
        <v>0</v>
      </c>
    </row>
    <row r="262" spans="1:19">
      <c r="A262" s="879"/>
      <c r="B262" s="126"/>
      <c r="C262" s="49">
        <f t="shared" si="38"/>
        <v>1</v>
      </c>
      <c r="D262" s="878"/>
      <c r="E262" s="49">
        <f t="shared" si="39"/>
        <v>1</v>
      </c>
      <c r="F262" s="878"/>
      <c r="G262" s="49">
        <f t="shared" si="40"/>
        <v>1</v>
      </c>
      <c r="H262" s="878"/>
      <c r="I262" s="49">
        <f t="shared" si="41"/>
        <v>1</v>
      </c>
      <c r="J262" s="878"/>
      <c r="K262" s="49">
        <f t="shared" si="42"/>
        <v>1</v>
      </c>
      <c r="L262" s="878"/>
      <c r="M262" s="49">
        <f t="shared" si="43"/>
        <v>1</v>
      </c>
      <c r="N262" s="878"/>
      <c r="O262" s="49">
        <f t="shared" si="44"/>
        <v>1</v>
      </c>
      <c r="P262" s="878"/>
      <c r="Q262" s="49">
        <f t="shared" si="45"/>
        <v>1</v>
      </c>
      <c r="R262" s="49">
        <f t="shared" si="46"/>
        <v>0</v>
      </c>
      <c r="S262" s="734">
        <f t="shared" si="47"/>
        <v>0</v>
      </c>
    </row>
    <row r="263" spans="1:19">
      <c r="A263" s="879"/>
      <c r="B263" s="126"/>
      <c r="C263" s="49">
        <f t="shared" si="38"/>
        <v>1</v>
      </c>
      <c r="D263" s="878"/>
      <c r="E263" s="49">
        <f t="shared" si="39"/>
        <v>1</v>
      </c>
      <c r="F263" s="878"/>
      <c r="G263" s="49">
        <f t="shared" si="40"/>
        <v>1</v>
      </c>
      <c r="H263" s="878"/>
      <c r="I263" s="49">
        <f t="shared" si="41"/>
        <v>1</v>
      </c>
      <c r="J263" s="878"/>
      <c r="K263" s="49">
        <f t="shared" si="42"/>
        <v>1</v>
      </c>
      <c r="L263" s="878"/>
      <c r="M263" s="49">
        <f t="shared" si="43"/>
        <v>1</v>
      </c>
      <c r="N263" s="878"/>
      <c r="O263" s="49">
        <f t="shared" si="44"/>
        <v>1</v>
      </c>
      <c r="P263" s="878"/>
      <c r="Q263" s="49">
        <f t="shared" si="45"/>
        <v>1</v>
      </c>
      <c r="R263" s="49">
        <f t="shared" si="46"/>
        <v>0</v>
      </c>
      <c r="S263" s="734">
        <f t="shared" si="47"/>
        <v>0</v>
      </c>
    </row>
    <row r="264" spans="1:19">
      <c r="A264" s="879"/>
      <c r="B264" s="126"/>
      <c r="C264" s="49">
        <f t="shared" si="38"/>
        <v>1</v>
      </c>
      <c r="D264" s="878"/>
      <c r="E264" s="49">
        <f t="shared" si="39"/>
        <v>1</v>
      </c>
      <c r="F264" s="878"/>
      <c r="G264" s="49">
        <f t="shared" si="40"/>
        <v>1</v>
      </c>
      <c r="H264" s="878"/>
      <c r="I264" s="49">
        <f t="shared" si="41"/>
        <v>1</v>
      </c>
      <c r="J264" s="878"/>
      <c r="K264" s="49">
        <f t="shared" si="42"/>
        <v>1</v>
      </c>
      <c r="L264" s="878"/>
      <c r="M264" s="49">
        <f t="shared" si="43"/>
        <v>1</v>
      </c>
      <c r="N264" s="878"/>
      <c r="O264" s="49">
        <f t="shared" si="44"/>
        <v>1</v>
      </c>
      <c r="P264" s="878"/>
      <c r="Q264" s="49">
        <f t="shared" si="45"/>
        <v>1</v>
      </c>
      <c r="R264" s="49">
        <f t="shared" si="46"/>
        <v>0</v>
      </c>
      <c r="S264" s="734">
        <f t="shared" si="47"/>
        <v>0</v>
      </c>
    </row>
    <row r="265" spans="1:19">
      <c r="A265" s="879"/>
      <c r="B265" s="126"/>
      <c r="C265" s="49">
        <f t="shared" si="38"/>
        <v>1</v>
      </c>
      <c r="D265" s="878"/>
      <c r="E265" s="49">
        <f t="shared" si="39"/>
        <v>1</v>
      </c>
      <c r="F265" s="878"/>
      <c r="G265" s="49">
        <f t="shared" si="40"/>
        <v>1</v>
      </c>
      <c r="H265" s="878"/>
      <c r="I265" s="49">
        <f t="shared" si="41"/>
        <v>1</v>
      </c>
      <c r="J265" s="878"/>
      <c r="K265" s="49">
        <f t="shared" si="42"/>
        <v>1</v>
      </c>
      <c r="L265" s="878"/>
      <c r="M265" s="49">
        <f t="shared" si="43"/>
        <v>1</v>
      </c>
      <c r="N265" s="878"/>
      <c r="O265" s="49">
        <f t="shared" si="44"/>
        <v>1</v>
      </c>
      <c r="P265" s="878"/>
      <c r="Q265" s="49">
        <f t="shared" si="45"/>
        <v>1</v>
      </c>
      <c r="R265" s="49">
        <f t="shared" si="46"/>
        <v>0</v>
      </c>
      <c r="S265" s="734">
        <f t="shared" si="47"/>
        <v>0</v>
      </c>
    </row>
    <row r="266" spans="1:19">
      <c r="A266" s="879"/>
      <c r="B266" s="126"/>
      <c r="C266" s="49">
        <f t="shared" si="38"/>
        <v>1</v>
      </c>
      <c r="D266" s="878"/>
      <c r="E266" s="49">
        <f t="shared" si="39"/>
        <v>1</v>
      </c>
      <c r="F266" s="878"/>
      <c r="G266" s="49">
        <f t="shared" si="40"/>
        <v>1</v>
      </c>
      <c r="H266" s="878"/>
      <c r="I266" s="49">
        <f t="shared" si="41"/>
        <v>1</v>
      </c>
      <c r="J266" s="878"/>
      <c r="K266" s="49">
        <f t="shared" si="42"/>
        <v>1</v>
      </c>
      <c r="L266" s="878"/>
      <c r="M266" s="49">
        <f t="shared" si="43"/>
        <v>1</v>
      </c>
      <c r="N266" s="878"/>
      <c r="O266" s="49">
        <f t="shared" si="44"/>
        <v>1</v>
      </c>
      <c r="P266" s="878"/>
      <c r="Q266" s="49">
        <f t="shared" si="45"/>
        <v>1</v>
      </c>
      <c r="R266" s="49">
        <f t="shared" si="46"/>
        <v>0</v>
      </c>
      <c r="S266" s="734">
        <f t="shared" si="47"/>
        <v>0</v>
      </c>
    </row>
    <row r="267" spans="1:19">
      <c r="A267" s="879"/>
      <c r="B267" s="126"/>
      <c r="C267" s="49">
        <f t="shared" si="38"/>
        <v>1</v>
      </c>
      <c r="D267" s="878"/>
      <c r="E267" s="49">
        <f t="shared" si="39"/>
        <v>1</v>
      </c>
      <c r="F267" s="878"/>
      <c r="G267" s="49">
        <f t="shared" si="40"/>
        <v>1</v>
      </c>
      <c r="H267" s="878"/>
      <c r="I267" s="49">
        <f t="shared" si="41"/>
        <v>1</v>
      </c>
      <c r="J267" s="878"/>
      <c r="K267" s="49">
        <f t="shared" si="42"/>
        <v>1</v>
      </c>
      <c r="L267" s="878"/>
      <c r="M267" s="49">
        <f t="shared" si="43"/>
        <v>1</v>
      </c>
      <c r="N267" s="878"/>
      <c r="O267" s="49">
        <f t="shared" si="44"/>
        <v>1</v>
      </c>
      <c r="P267" s="878"/>
      <c r="Q267" s="49">
        <f t="shared" si="45"/>
        <v>1</v>
      </c>
      <c r="R267" s="49">
        <f t="shared" si="46"/>
        <v>0</v>
      </c>
      <c r="S267" s="734">
        <f t="shared" si="47"/>
        <v>0</v>
      </c>
    </row>
    <row r="268" spans="1:19">
      <c r="A268" s="879"/>
      <c r="B268" s="126"/>
      <c r="C268" s="49">
        <f t="shared" si="38"/>
        <v>1</v>
      </c>
      <c r="D268" s="878"/>
      <c r="E268" s="49">
        <f t="shared" si="39"/>
        <v>1</v>
      </c>
      <c r="F268" s="878"/>
      <c r="G268" s="49">
        <f t="shared" si="40"/>
        <v>1</v>
      </c>
      <c r="H268" s="878"/>
      <c r="I268" s="49">
        <f t="shared" si="41"/>
        <v>1</v>
      </c>
      <c r="J268" s="878"/>
      <c r="K268" s="49">
        <f t="shared" si="42"/>
        <v>1</v>
      </c>
      <c r="L268" s="878"/>
      <c r="M268" s="49">
        <f t="shared" si="43"/>
        <v>1</v>
      </c>
      <c r="N268" s="878"/>
      <c r="O268" s="49">
        <f t="shared" si="44"/>
        <v>1</v>
      </c>
      <c r="P268" s="878"/>
      <c r="Q268" s="49">
        <f t="shared" si="45"/>
        <v>1</v>
      </c>
      <c r="R268" s="49">
        <f t="shared" si="46"/>
        <v>0</v>
      </c>
      <c r="S268" s="734">
        <f t="shared" si="47"/>
        <v>0</v>
      </c>
    </row>
    <row r="269" spans="1:19">
      <c r="A269" s="879"/>
      <c r="B269" s="126"/>
      <c r="C269" s="49">
        <f t="shared" si="38"/>
        <v>1</v>
      </c>
      <c r="D269" s="878"/>
      <c r="E269" s="49">
        <f t="shared" si="39"/>
        <v>1</v>
      </c>
      <c r="F269" s="878"/>
      <c r="G269" s="49">
        <f t="shared" si="40"/>
        <v>1</v>
      </c>
      <c r="H269" s="878"/>
      <c r="I269" s="49">
        <f t="shared" si="41"/>
        <v>1</v>
      </c>
      <c r="J269" s="878"/>
      <c r="K269" s="49">
        <f t="shared" si="42"/>
        <v>1</v>
      </c>
      <c r="L269" s="878"/>
      <c r="M269" s="49">
        <f t="shared" si="43"/>
        <v>1</v>
      </c>
      <c r="N269" s="878"/>
      <c r="O269" s="49">
        <f t="shared" si="44"/>
        <v>1</v>
      </c>
      <c r="P269" s="878"/>
      <c r="Q269" s="49">
        <f t="shared" si="45"/>
        <v>1</v>
      </c>
      <c r="R269" s="49">
        <f t="shared" si="46"/>
        <v>0</v>
      </c>
      <c r="S269" s="734">
        <f t="shared" si="47"/>
        <v>0</v>
      </c>
    </row>
    <row r="270" spans="1:19">
      <c r="A270" s="879"/>
      <c r="B270" s="126"/>
      <c r="C270" s="49">
        <f t="shared" si="38"/>
        <v>1</v>
      </c>
      <c r="D270" s="878"/>
      <c r="E270" s="49">
        <f t="shared" si="39"/>
        <v>1</v>
      </c>
      <c r="F270" s="878"/>
      <c r="G270" s="49">
        <f t="shared" si="40"/>
        <v>1</v>
      </c>
      <c r="H270" s="878"/>
      <c r="I270" s="49">
        <f t="shared" si="41"/>
        <v>1</v>
      </c>
      <c r="J270" s="878"/>
      <c r="K270" s="49">
        <f t="shared" si="42"/>
        <v>1</v>
      </c>
      <c r="L270" s="878"/>
      <c r="M270" s="49">
        <f t="shared" si="43"/>
        <v>1</v>
      </c>
      <c r="N270" s="878"/>
      <c r="O270" s="49">
        <f t="shared" si="44"/>
        <v>1</v>
      </c>
      <c r="P270" s="878"/>
      <c r="Q270" s="49">
        <f t="shared" si="45"/>
        <v>1</v>
      </c>
      <c r="R270" s="49">
        <f t="shared" si="46"/>
        <v>0</v>
      </c>
      <c r="S270" s="734">
        <f t="shared" si="47"/>
        <v>0</v>
      </c>
    </row>
    <row r="271" spans="1:19">
      <c r="A271" s="879"/>
      <c r="B271" s="126"/>
      <c r="C271" s="49">
        <f t="shared" si="38"/>
        <v>1</v>
      </c>
      <c r="D271" s="878"/>
      <c r="E271" s="49">
        <f t="shared" si="39"/>
        <v>1</v>
      </c>
      <c r="F271" s="878"/>
      <c r="G271" s="49">
        <f t="shared" si="40"/>
        <v>1</v>
      </c>
      <c r="H271" s="878"/>
      <c r="I271" s="49">
        <f t="shared" si="41"/>
        <v>1</v>
      </c>
      <c r="J271" s="878"/>
      <c r="K271" s="49">
        <f t="shared" si="42"/>
        <v>1</v>
      </c>
      <c r="L271" s="878"/>
      <c r="M271" s="49">
        <f t="shared" si="43"/>
        <v>1</v>
      </c>
      <c r="N271" s="878"/>
      <c r="O271" s="49">
        <f t="shared" si="44"/>
        <v>1</v>
      </c>
      <c r="P271" s="878"/>
      <c r="Q271" s="49">
        <f t="shared" si="45"/>
        <v>1</v>
      </c>
      <c r="R271" s="49">
        <f t="shared" si="46"/>
        <v>0</v>
      </c>
      <c r="S271" s="734">
        <f t="shared" si="47"/>
        <v>0</v>
      </c>
    </row>
    <row r="272" spans="1:19">
      <c r="A272" s="879"/>
      <c r="B272" s="126"/>
      <c r="C272" s="49">
        <f t="shared" si="38"/>
        <v>1</v>
      </c>
      <c r="D272" s="878"/>
      <c r="E272" s="49">
        <f t="shared" si="39"/>
        <v>1</v>
      </c>
      <c r="F272" s="878"/>
      <c r="G272" s="49">
        <f t="shared" si="40"/>
        <v>1</v>
      </c>
      <c r="H272" s="878"/>
      <c r="I272" s="49">
        <f t="shared" si="41"/>
        <v>1</v>
      </c>
      <c r="J272" s="878"/>
      <c r="K272" s="49">
        <f t="shared" si="42"/>
        <v>1</v>
      </c>
      <c r="L272" s="878"/>
      <c r="M272" s="49">
        <f t="shared" si="43"/>
        <v>1</v>
      </c>
      <c r="N272" s="878"/>
      <c r="O272" s="49">
        <f t="shared" si="44"/>
        <v>1</v>
      </c>
      <c r="P272" s="878"/>
      <c r="Q272" s="49">
        <f t="shared" si="45"/>
        <v>1</v>
      </c>
      <c r="R272" s="49">
        <f t="shared" si="46"/>
        <v>0</v>
      </c>
      <c r="S272" s="734">
        <f t="shared" si="47"/>
        <v>0</v>
      </c>
    </row>
    <row r="273" spans="1:19">
      <c r="A273" s="879"/>
      <c r="B273" s="126"/>
      <c r="C273" s="49">
        <f t="shared" si="38"/>
        <v>1</v>
      </c>
      <c r="D273" s="878"/>
      <c r="E273" s="49">
        <f t="shared" si="39"/>
        <v>1</v>
      </c>
      <c r="F273" s="878"/>
      <c r="G273" s="49">
        <f t="shared" si="40"/>
        <v>1</v>
      </c>
      <c r="H273" s="878"/>
      <c r="I273" s="49">
        <f t="shared" si="41"/>
        <v>1</v>
      </c>
      <c r="J273" s="878"/>
      <c r="K273" s="49">
        <f t="shared" si="42"/>
        <v>1</v>
      </c>
      <c r="L273" s="878"/>
      <c r="M273" s="49">
        <f t="shared" si="43"/>
        <v>1</v>
      </c>
      <c r="N273" s="878"/>
      <c r="O273" s="49">
        <f t="shared" si="44"/>
        <v>1</v>
      </c>
      <c r="P273" s="878"/>
      <c r="Q273" s="49">
        <f t="shared" si="45"/>
        <v>1</v>
      </c>
      <c r="R273" s="49">
        <f t="shared" si="46"/>
        <v>0</v>
      </c>
      <c r="S273" s="734">
        <f t="shared" si="47"/>
        <v>0</v>
      </c>
    </row>
    <row r="274" spans="1:19">
      <c r="A274" s="879"/>
      <c r="B274" s="126"/>
      <c r="C274" s="49">
        <f t="shared" si="38"/>
        <v>1</v>
      </c>
      <c r="D274" s="878"/>
      <c r="E274" s="49">
        <f t="shared" si="39"/>
        <v>1</v>
      </c>
      <c r="F274" s="878"/>
      <c r="G274" s="49">
        <f t="shared" si="40"/>
        <v>1</v>
      </c>
      <c r="H274" s="878"/>
      <c r="I274" s="49">
        <f t="shared" si="41"/>
        <v>1</v>
      </c>
      <c r="J274" s="878"/>
      <c r="K274" s="49">
        <f t="shared" si="42"/>
        <v>1</v>
      </c>
      <c r="L274" s="878"/>
      <c r="M274" s="49">
        <f t="shared" si="43"/>
        <v>1</v>
      </c>
      <c r="N274" s="878"/>
      <c r="O274" s="49">
        <f t="shared" si="44"/>
        <v>1</v>
      </c>
      <c r="P274" s="878"/>
      <c r="Q274" s="49">
        <f t="shared" si="45"/>
        <v>1</v>
      </c>
      <c r="R274" s="49">
        <f t="shared" si="46"/>
        <v>0</v>
      </c>
      <c r="S274" s="734">
        <f t="shared" si="47"/>
        <v>0</v>
      </c>
    </row>
    <row r="275" spans="1:19">
      <c r="A275" s="879"/>
      <c r="B275" s="126"/>
      <c r="C275" s="49">
        <f t="shared" si="38"/>
        <v>1</v>
      </c>
      <c r="D275" s="878"/>
      <c r="E275" s="49">
        <f t="shared" si="39"/>
        <v>1</v>
      </c>
      <c r="F275" s="878"/>
      <c r="G275" s="49">
        <f t="shared" si="40"/>
        <v>1</v>
      </c>
      <c r="H275" s="878"/>
      <c r="I275" s="49">
        <f t="shared" si="41"/>
        <v>1</v>
      </c>
      <c r="J275" s="878"/>
      <c r="K275" s="49">
        <f t="shared" si="42"/>
        <v>1</v>
      </c>
      <c r="L275" s="878"/>
      <c r="M275" s="49">
        <f t="shared" si="43"/>
        <v>1</v>
      </c>
      <c r="N275" s="878"/>
      <c r="O275" s="49">
        <f t="shared" si="44"/>
        <v>1</v>
      </c>
      <c r="P275" s="878"/>
      <c r="Q275" s="49">
        <f t="shared" si="45"/>
        <v>1</v>
      </c>
      <c r="R275" s="49">
        <f t="shared" si="46"/>
        <v>0</v>
      </c>
      <c r="S275" s="734">
        <f t="shared" si="47"/>
        <v>0</v>
      </c>
    </row>
    <row r="276" spans="1:19">
      <c r="A276" s="879"/>
      <c r="B276" s="126"/>
      <c r="C276" s="49">
        <f t="shared" si="38"/>
        <v>1</v>
      </c>
      <c r="D276" s="878"/>
      <c r="E276" s="49">
        <f t="shared" si="39"/>
        <v>1</v>
      </c>
      <c r="F276" s="878"/>
      <c r="G276" s="49">
        <f t="shared" si="40"/>
        <v>1</v>
      </c>
      <c r="H276" s="878"/>
      <c r="I276" s="49">
        <f t="shared" si="41"/>
        <v>1</v>
      </c>
      <c r="J276" s="878"/>
      <c r="K276" s="49">
        <f t="shared" si="42"/>
        <v>1</v>
      </c>
      <c r="L276" s="878"/>
      <c r="M276" s="49">
        <f t="shared" si="43"/>
        <v>1</v>
      </c>
      <c r="N276" s="878"/>
      <c r="O276" s="49">
        <f t="shared" si="44"/>
        <v>1</v>
      </c>
      <c r="P276" s="878"/>
      <c r="Q276" s="49">
        <f t="shared" si="45"/>
        <v>1</v>
      </c>
      <c r="R276" s="49">
        <f t="shared" si="46"/>
        <v>0</v>
      </c>
      <c r="S276" s="734">
        <f t="shared" si="47"/>
        <v>0</v>
      </c>
    </row>
    <row r="277" spans="1:19">
      <c r="A277" s="879"/>
      <c r="B277" s="126"/>
      <c r="C277" s="49">
        <f t="shared" si="38"/>
        <v>1</v>
      </c>
      <c r="D277" s="878"/>
      <c r="E277" s="49">
        <f t="shared" si="39"/>
        <v>1</v>
      </c>
      <c r="F277" s="878"/>
      <c r="G277" s="49">
        <f t="shared" si="40"/>
        <v>1</v>
      </c>
      <c r="H277" s="878"/>
      <c r="I277" s="49">
        <f t="shared" si="41"/>
        <v>1</v>
      </c>
      <c r="J277" s="878"/>
      <c r="K277" s="49">
        <f t="shared" si="42"/>
        <v>1</v>
      </c>
      <c r="L277" s="878"/>
      <c r="M277" s="49">
        <f t="shared" si="43"/>
        <v>1</v>
      </c>
      <c r="N277" s="878"/>
      <c r="O277" s="49">
        <f t="shared" si="44"/>
        <v>1</v>
      </c>
      <c r="P277" s="878"/>
      <c r="Q277" s="49">
        <f t="shared" si="45"/>
        <v>1</v>
      </c>
      <c r="R277" s="49">
        <f t="shared" si="46"/>
        <v>0</v>
      </c>
      <c r="S277" s="734">
        <f t="shared" si="47"/>
        <v>0</v>
      </c>
    </row>
    <row r="278" spans="1:19">
      <c r="A278" s="879"/>
      <c r="B278" s="126"/>
      <c r="C278" s="49">
        <f t="shared" si="38"/>
        <v>1</v>
      </c>
      <c r="D278" s="878"/>
      <c r="E278" s="49">
        <f t="shared" si="39"/>
        <v>1</v>
      </c>
      <c r="F278" s="878"/>
      <c r="G278" s="49">
        <f t="shared" si="40"/>
        <v>1</v>
      </c>
      <c r="H278" s="878"/>
      <c r="I278" s="49">
        <f t="shared" si="41"/>
        <v>1</v>
      </c>
      <c r="J278" s="878"/>
      <c r="K278" s="49">
        <f t="shared" si="42"/>
        <v>1</v>
      </c>
      <c r="L278" s="878"/>
      <c r="M278" s="49">
        <f t="shared" si="43"/>
        <v>1</v>
      </c>
      <c r="N278" s="878"/>
      <c r="O278" s="49">
        <f t="shared" si="44"/>
        <v>1</v>
      </c>
      <c r="P278" s="878"/>
      <c r="Q278" s="49">
        <f t="shared" si="45"/>
        <v>1</v>
      </c>
      <c r="R278" s="49">
        <f t="shared" si="46"/>
        <v>0</v>
      </c>
      <c r="S278" s="734">
        <f t="shared" si="47"/>
        <v>0</v>
      </c>
    </row>
    <row r="279" spans="1:19">
      <c r="A279" s="879"/>
      <c r="B279" s="126"/>
      <c r="C279" s="49">
        <f t="shared" si="38"/>
        <v>1</v>
      </c>
      <c r="D279" s="878"/>
      <c r="E279" s="49">
        <f t="shared" si="39"/>
        <v>1</v>
      </c>
      <c r="F279" s="878"/>
      <c r="G279" s="49">
        <f t="shared" si="40"/>
        <v>1</v>
      </c>
      <c r="H279" s="878"/>
      <c r="I279" s="49">
        <f t="shared" si="41"/>
        <v>1</v>
      </c>
      <c r="J279" s="878"/>
      <c r="K279" s="49">
        <f t="shared" si="42"/>
        <v>1</v>
      </c>
      <c r="L279" s="878"/>
      <c r="M279" s="49">
        <f t="shared" si="43"/>
        <v>1</v>
      </c>
      <c r="N279" s="878"/>
      <c r="O279" s="49">
        <f t="shared" si="44"/>
        <v>1</v>
      </c>
      <c r="P279" s="878"/>
      <c r="Q279" s="49">
        <f t="shared" si="45"/>
        <v>1</v>
      </c>
      <c r="R279" s="49">
        <f t="shared" si="46"/>
        <v>0</v>
      </c>
      <c r="S279" s="734">
        <f t="shared" si="47"/>
        <v>0</v>
      </c>
    </row>
    <row r="280" spans="1:19">
      <c r="A280" s="879"/>
      <c r="B280" s="126"/>
      <c r="C280" s="49">
        <f t="shared" si="38"/>
        <v>1</v>
      </c>
      <c r="D280" s="878"/>
      <c r="E280" s="49">
        <f t="shared" si="39"/>
        <v>1</v>
      </c>
      <c r="F280" s="878"/>
      <c r="G280" s="49">
        <f t="shared" si="40"/>
        <v>1</v>
      </c>
      <c r="H280" s="878"/>
      <c r="I280" s="49">
        <f t="shared" si="41"/>
        <v>1</v>
      </c>
      <c r="J280" s="878"/>
      <c r="K280" s="49">
        <f t="shared" si="42"/>
        <v>1</v>
      </c>
      <c r="L280" s="878"/>
      <c r="M280" s="49">
        <f t="shared" si="43"/>
        <v>1</v>
      </c>
      <c r="N280" s="878"/>
      <c r="O280" s="49">
        <f t="shared" si="44"/>
        <v>1</v>
      </c>
      <c r="P280" s="878"/>
      <c r="Q280" s="49">
        <f t="shared" si="45"/>
        <v>1</v>
      </c>
      <c r="R280" s="49">
        <f t="shared" si="46"/>
        <v>0</v>
      </c>
      <c r="S280" s="734">
        <f t="shared" si="47"/>
        <v>0</v>
      </c>
    </row>
    <row r="281" spans="1:19">
      <c r="A281" s="879"/>
      <c r="B281" s="126"/>
      <c r="C281" s="49">
        <f t="shared" si="38"/>
        <v>1</v>
      </c>
      <c r="D281" s="878"/>
      <c r="E281" s="49">
        <f t="shared" si="39"/>
        <v>1</v>
      </c>
      <c r="F281" s="878"/>
      <c r="G281" s="49">
        <f t="shared" si="40"/>
        <v>1</v>
      </c>
      <c r="H281" s="878"/>
      <c r="I281" s="49">
        <f t="shared" si="41"/>
        <v>1</v>
      </c>
      <c r="J281" s="878"/>
      <c r="K281" s="49">
        <f t="shared" si="42"/>
        <v>1</v>
      </c>
      <c r="L281" s="878"/>
      <c r="M281" s="49">
        <f t="shared" si="43"/>
        <v>1</v>
      </c>
      <c r="N281" s="878"/>
      <c r="O281" s="49">
        <f t="shared" si="44"/>
        <v>1</v>
      </c>
      <c r="P281" s="878"/>
      <c r="Q281" s="49">
        <f t="shared" si="45"/>
        <v>1</v>
      </c>
      <c r="R281" s="49">
        <f t="shared" si="46"/>
        <v>0</v>
      </c>
      <c r="S281" s="734">
        <f t="shared" si="47"/>
        <v>0</v>
      </c>
    </row>
    <row r="282" spans="1:19">
      <c r="A282" s="879"/>
      <c r="B282" s="126"/>
      <c r="C282" s="49">
        <f t="shared" ref="C282:C345" si="48">IF(B282="",1,(LOOKUP(B282,$3:$3,$4:$4)-LOOKUP($B$24,$3:$3,$4:$4)+100)/100)</f>
        <v>1</v>
      </c>
      <c r="D282" s="878"/>
      <c r="E282" s="49">
        <f t="shared" ref="E282:E345" si="49">(SUMIF($5:$5,D282,$6:$6)-SUMIF($5:$5,$D$24,$6:$6)+100)/100</f>
        <v>1</v>
      </c>
      <c r="F282" s="878"/>
      <c r="G282" s="49">
        <f t="shared" ref="G282:G345" si="50">(SUMIF($7:$7,F282,$8:$8)-SUMIF($7:$7,$F$24,$8:$8)+100)/100</f>
        <v>1</v>
      </c>
      <c r="H282" s="878"/>
      <c r="I282" s="49">
        <f t="shared" ref="I282:I345" si="51">(SUMIF($9:$9,H282,$10:$10)-SUMIF($9:$9,$H$24,$10:$10)+100)/100</f>
        <v>1</v>
      </c>
      <c r="J282" s="878"/>
      <c r="K282" s="49">
        <f t="shared" ref="K282:K345" si="52">(SUMIF($11:$11,J282,$12:$12)-SUMIF($11:$11,$J$24,$12:$12)+100)/100</f>
        <v>1</v>
      </c>
      <c r="L282" s="878"/>
      <c r="M282" s="49">
        <f t="shared" ref="M282:M345" si="53">(SUMIF($13:$13,L282,$14:$14)-SUMIF($13:$13,$L$24,$14:$14)+100)/100</f>
        <v>1</v>
      </c>
      <c r="N282" s="878"/>
      <c r="O282" s="49">
        <f t="shared" ref="O282:O345" si="54">(SUMIF($15:$15,N282,$16:$16)-SUMIF($15:$15,$N$24,$16:$16)+100)/100</f>
        <v>1</v>
      </c>
      <c r="P282" s="878"/>
      <c r="Q282" s="49">
        <f t="shared" ref="Q282:Q345" si="55">(SUMIF($17:$17,P282,$18:$18)-SUMIF($17:$17,$P$24,$18:$18)+100)/100</f>
        <v>1</v>
      </c>
      <c r="R282" s="49">
        <f t="shared" ref="R282:R345" si="56">IF(B282="",0,ROUND($R$24*C282*E282*G282*I282*K282*M282*O282*Q282,0))</f>
        <v>0</v>
      </c>
      <c r="S282" s="734">
        <f t="shared" si="47"/>
        <v>0</v>
      </c>
    </row>
    <row r="283" spans="1:19">
      <c r="A283" s="879"/>
      <c r="B283" s="126"/>
      <c r="C283" s="49">
        <f t="shared" si="48"/>
        <v>1</v>
      </c>
      <c r="D283" s="878"/>
      <c r="E283" s="49">
        <f t="shared" si="49"/>
        <v>1</v>
      </c>
      <c r="F283" s="878"/>
      <c r="G283" s="49">
        <f t="shared" si="50"/>
        <v>1</v>
      </c>
      <c r="H283" s="878"/>
      <c r="I283" s="49">
        <f t="shared" si="51"/>
        <v>1</v>
      </c>
      <c r="J283" s="878"/>
      <c r="K283" s="49">
        <f t="shared" si="52"/>
        <v>1</v>
      </c>
      <c r="L283" s="878"/>
      <c r="M283" s="49">
        <f t="shared" si="53"/>
        <v>1</v>
      </c>
      <c r="N283" s="878"/>
      <c r="O283" s="49">
        <f t="shared" si="54"/>
        <v>1</v>
      </c>
      <c r="P283" s="878"/>
      <c r="Q283" s="49">
        <f t="shared" si="55"/>
        <v>1</v>
      </c>
      <c r="R283" s="49">
        <f t="shared" si="56"/>
        <v>0</v>
      </c>
      <c r="S283" s="734">
        <f t="shared" si="47"/>
        <v>0</v>
      </c>
    </row>
    <row r="284" spans="1:19">
      <c r="A284" s="879"/>
      <c r="B284" s="126"/>
      <c r="C284" s="49">
        <f t="shared" si="48"/>
        <v>1</v>
      </c>
      <c r="D284" s="878"/>
      <c r="E284" s="49">
        <f t="shared" si="49"/>
        <v>1</v>
      </c>
      <c r="F284" s="878"/>
      <c r="G284" s="49">
        <f t="shared" si="50"/>
        <v>1</v>
      </c>
      <c r="H284" s="878"/>
      <c r="I284" s="49">
        <f t="shared" si="51"/>
        <v>1</v>
      </c>
      <c r="J284" s="878"/>
      <c r="K284" s="49">
        <f t="shared" si="52"/>
        <v>1</v>
      </c>
      <c r="L284" s="878"/>
      <c r="M284" s="49">
        <f t="shared" si="53"/>
        <v>1</v>
      </c>
      <c r="N284" s="878"/>
      <c r="O284" s="49">
        <f t="shared" si="54"/>
        <v>1</v>
      </c>
      <c r="P284" s="878"/>
      <c r="Q284" s="49">
        <f t="shared" si="55"/>
        <v>1</v>
      </c>
      <c r="R284" s="49">
        <f t="shared" si="56"/>
        <v>0</v>
      </c>
      <c r="S284" s="734">
        <f t="shared" si="47"/>
        <v>0</v>
      </c>
    </row>
    <row r="285" spans="1:19">
      <c r="A285" s="879"/>
      <c r="B285" s="126"/>
      <c r="C285" s="49">
        <f t="shared" si="48"/>
        <v>1</v>
      </c>
      <c r="D285" s="878"/>
      <c r="E285" s="49">
        <f t="shared" si="49"/>
        <v>1</v>
      </c>
      <c r="F285" s="878"/>
      <c r="G285" s="49">
        <f t="shared" si="50"/>
        <v>1</v>
      </c>
      <c r="H285" s="878"/>
      <c r="I285" s="49">
        <f t="shared" si="51"/>
        <v>1</v>
      </c>
      <c r="J285" s="878"/>
      <c r="K285" s="49">
        <f t="shared" si="52"/>
        <v>1</v>
      </c>
      <c r="L285" s="878"/>
      <c r="M285" s="49">
        <f t="shared" si="53"/>
        <v>1</v>
      </c>
      <c r="N285" s="878"/>
      <c r="O285" s="49">
        <f t="shared" si="54"/>
        <v>1</v>
      </c>
      <c r="P285" s="878"/>
      <c r="Q285" s="49">
        <f t="shared" si="55"/>
        <v>1</v>
      </c>
      <c r="R285" s="49">
        <f t="shared" si="56"/>
        <v>0</v>
      </c>
      <c r="S285" s="734">
        <f t="shared" si="47"/>
        <v>0</v>
      </c>
    </row>
    <row r="286" spans="1:19">
      <c r="A286" s="879"/>
      <c r="B286" s="126"/>
      <c r="C286" s="49">
        <f t="shared" si="48"/>
        <v>1</v>
      </c>
      <c r="D286" s="878"/>
      <c r="E286" s="49">
        <f t="shared" si="49"/>
        <v>1</v>
      </c>
      <c r="F286" s="878"/>
      <c r="G286" s="49">
        <f t="shared" si="50"/>
        <v>1</v>
      </c>
      <c r="H286" s="878"/>
      <c r="I286" s="49">
        <f t="shared" si="51"/>
        <v>1</v>
      </c>
      <c r="J286" s="878"/>
      <c r="K286" s="49">
        <f t="shared" si="52"/>
        <v>1</v>
      </c>
      <c r="L286" s="878"/>
      <c r="M286" s="49">
        <f t="shared" si="53"/>
        <v>1</v>
      </c>
      <c r="N286" s="878"/>
      <c r="O286" s="49">
        <f t="shared" si="54"/>
        <v>1</v>
      </c>
      <c r="P286" s="878"/>
      <c r="Q286" s="49">
        <f t="shared" si="55"/>
        <v>1</v>
      </c>
      <c r="R286" s="49">
        <f t="shared" si="56"/>
        <v>0</v>
      </c>
      <c r="S286" s="734">
        <f t="shared" si="47"/>
        <v>0</v>
      </c>
    </row>
    <row r="287" spans="1:19">
      <c r="A287" s="879"/>
      <c r="B287" s="126"/>
      <c r="C287" s="49">
        <f t="shared" si="48"/>
        <v>1</v>
      </c>
      <c r="D287" s="878"/>
      <c r="E287" s="49">
        <f t="shared" si="49"/>
        <v>1</v>
      </c>
      <c r="F287" s="878"/>
      <c r="G287" s="49">
        <f t="shared" si="50"/>
        <v>1</v>
      </c>
      <c r="H287" s="878"/>
      <c r="I287" s="49">
        <f t="shared" si="51"/>
        <v>1</v>
      </c>
      <c r="J287" s="878"/>
      <c r="K287" s="49">
        <f t="shared" si="52"/>
        <v>1</v>
      </c>
      <c r="L287" s="878"/>
      <c r="M287" s="49">
        <f t="shared" si="53"/>
        <v>1</v>
      </c>
      <c r="N287" s="878"/>
      <c r="O287" s="49">
        <f t="shared" si="54"/>
        <v>1</v>
      </c>
      <c r="P287" s="878"/>
      <c r="Q287" s="49">
        <f t="shared" si="55"/>
        <v>1</v>
      </c>
      <c r="R287" s="49">
        <f t="shared" si="56"/>
        <v>0</v>
      </c>
      <c r="S287" s="734">
        <f t="shared" ref="S287:S320" si="57">ROUND(R287*B287/10000,0)</f>
        <v>0</v>
      </c>
    </row>
    <row r="288" spans="1:19">
      <c r="A288" s="879"/>
      <c r="B288" s="126"/>
      <c r="C288" s="49">
        <f t="shared" si="48"/>
        <v>1</v>
      </c>
      <c r="D288" s="878"/>
      <c r="E288" s="49">
        <f t="shared" si="49"/>
        <v>1</v>
      </c>
      <c r="F288" s="878"/>
      <c r="G288" s="49">
        <f t="shared" si="50"/>
        <v>1</v>
      </c>
      <c r="H288" s="878"/>
      <c r="I288" s="49">
        <f t="shared" si="51"/>
        <v>1</v>
      </c>
      <c r="J288" s="878"/>
      <c r="K288" s="49">
        <f t="shared" si="52"/>
        <v>1</v>
      </c>
      <c r="L288" s="878"/>
      <c r="M288" s="49">
        <f t="shared" si="53"/>
        <v>1</v>
      </c>
      <c r="N288" s="878"/>
      <c r="O288" s="49">
        <f t="shared" si="54"/>
        <v>1</v>
      </c>
      <c r="P288" s="878"/>
      <c r="Q288" s="49">
        <f t="shared" si="55"/>
        <v>1</v>
      </c>
      <c r="R288" s="49">
        <f t="shared" si="56"/>
        <v>0</v>
      </c>
      <c r="S288" s="734">
        <f t="shared" si="57"/>
        <v>0</v>
      </c>
    </row>
    <row r="289" spans="1:19">
      <c r="A289" s="879"/>
      <c r="B289" s="126"/>
      <c r="C289" s="49">
        <f t="shared" si="48"/>
        <v>1</v>
      </c>
      <c r="D289" s="878"/>
      <c r="E289" s="49">
        <f t="shared" si="49"/>
        <v>1</v>
      </c>
      <c r="F289" s="878"/>
      <c r="G289" s="49">
        <f t="shared" si="50"/>
        <v>1</v>
      </c>
      <c r="H289" s="878"/>
      <c r="I289" s="49">
        <f t="shared" si="51"/>
        <v>1</v>
      </c>
      <c r="J289" s="878"/>
      <c r="K289" s="49">
        <f t="shared" si="52"/>
        <v>1</v>
      </c>
      <c r="L289" s="878"/>
      <c r="M289" s="49">
        <f t="shared" si="53"/>
        <v>1</v>
      </c>
      <c r="N289" s="878"/>
      <c r="O289" s="49">
        <f t="shared" si="54"/>
        <v>1</v>
      </c>
      <c r="P289" s="878"/>
      <c r="Q289" s="49">
        <f t="shared" si="55"/>
        <v>1</v>
      </c>
      <c r="R289" s="49">
        <f t="shared" si="56"/>
        <v>0</v>
      </c>
      <c r="S289" s="734">
        <f t="shared" si="57"/>
        <v>0</v>
      </c>
    </row>
    <row r="290" spans="1:19">
      <c r="A290" s="879"/>
      <c r="B290" s="126"/>
      <c r="C290" s="49">
        <f t="shared" si="48"/>
        <v>1</v>
      </c>
      <c r="D290" s="878"/>
      <c r="E290" s="49">
        <f t="shared" si="49"/>
        <v>1</v>
      </c>
      <c r="F290" s="878"/>
      <c r="G290" s="49">
        <f t="shared" si="50"/>
        <v>1</v>
      </c>
      <c r="H290" s="878"/>
      <c r="I290" s="49">
        <f t="shared" si="51"/>
        <v>1</v>
      </c>
      <c r="J290" s="878"/>
      <c r="K290" s="49">
        <f t="shared" si="52"/>
        <v>1</v>
      </c>
      <c r="L290" s="878"/>
      <c r="M290" s="49">
        <f t="shared" si="53"/>
        <v>1</v>
      </c>
      <c r="N290" s="878"/>
      <c r="O290" s="49">
        <f t="shared" si="54"/>
        <v>1</v>
      </c>
      <c r="P290" s="878"/>
      <c r="Q290" s="49">
        <f t="shared" si="55"/>
        <v>1</v>
      </c>
      <c r="R290" s="49">
        <f t="shared" si="56"/>
        <v>0</v>
      </c>
      <c r="S290" s="734">
        <f t="shared" si="57"/>
        <v>0</v>
      </c>
    </row>
    <row r="291" spans="1:19">
      <c r="A291" s="879"/>
      <c r="B291" s="126"/>
      <c r="C291" s="49">
        <f t="shared" si="48"/>
        <v>1</v>
      </c>
      <c r="D291" s="878"/>
      <c r="E291" s="49">
        <f t="shared" si="49"/>
        <v>1</v>
      </c>
      <c r="F291" s="878"/>
      <c r="G291" s="49">
        <f t="shared" si="50"/>
        <v>1</v>
      </c>
      <c r="H291" s="878"/>
      <c r="I291" s="49">
        <f t="shared" si="51"/>
        <v>1</v>
      </c>
      <c r="J291" s="878"/>
      <c r="K291" s="49">
        <f t="shared" si="52"/>
        <v>1</v>
      </c>
      <c r="L291" s="878"/>
      <c r="M291" s="49">
        <f t="shared" si="53"/>
        <v>1</v>
      </c>
      <c r="N291" s="878"/>
      <c r="O291" s="49">
        <f t="shared" si="54"/>
        <v>1</v>
      </c>
      <c r="P291" s="878"/>
      <c r="Q291" s="49">
        <f t="shared" si="55"/>
        <v>1</v>
      </c>
      <c r="R291" s="49">
        <f t="shared" si="56"/>
        <v>0</v>
      </c>
      <c r="S291" s="734">
        <f t="shared" si="57"/>
        <v>0</v>
      </c>
    </row>
    <row r="292" spans="1:19">
      <c r="A292" s="879"/>
      <c r="B292" s="126"/>
      <c r="C292" s="49">
        <f t="shared" si="48"/>
        <v>1</v>
      </c>
      <c r="D292" s="878"/>
      <c r="E292" s="49">
        <f t="shared" si="49"/>
        <v>1</v>
      </c>
      <c r="F292" s="878"/>
      <c r="G292" s="49">
        <f t="shared" si="50"/>
        <v>1</v>
      </c>
      <c r="H292" s="878"/>
      <c r="I292" s="49">
        <f t="shared" si="51"/>
        <v>1</v>
      </c>
      <c r="J292" s="878"/>
      <c r="K292" s="49">
        <f t="shared" si="52"/>
        <v>1</v>
      </c>
      <c r="L292" s="878"/>
      <c r="M292" s="49">
        <f t="shared" si="53"/>
        <v>1</v>
      </c>
      <c r="N292" s="878"/>
      <c r="O292" s="49">
        <f t="shared" si="54"/>
        <v>1</v>
      </c>
      <c r="P292" s="878"/>
      <c r="Q292" s="49">
        <f t="shared" si="55"/>
        <v>1</v>
      </c>
      <c r="R292" s="49">
        <f t="shared" si="56"/>
        <v>0</v>
      </c>
      <c r="S292" s="734">
        <f t="shared" si="57"/>
        <v>0</v>
      </c>
    </row>
    <row r="293" spans="1:19">
      <c r="A293" s="879"/>
      <c r="B293" s="126"/>
      <c r="C293" s="49">
        <f t="shared" si="48"/>
        <v>1</v>
      </c>
      <c r="D293" s="878"/>
      <c r="E293" s="49">
        <f t="shared" si="49"/>
        <v>1</v>
      </c>
      <c r="F293" s="878"/>
      <c r="G293" s="49">
        <f t="shared" si="50"/>
        <v>1</v>
      </c>
      <c r="H293" s="878"/>
      <c r="I293" s="49">
        <f t="shared" si="51"/>
        <v>1</v>
      </c>
      <c r="J293" s="878"/>
      <c r="K293" s="49">
        <f t="shared" si="52"/>
        <v>1</v>
      </c>
      <c r="L293" s="878"/>
      <c r="M293" s="49">
        <f t="shared" si="53"/>
        <v>1</v>
      </c>
      <c r="N293" s="878"/>
      <c r="O293" s="49">
        <f t="shared" si="54"/>
        <v>1</v>
      </c>
      <c r="P293" s="878"/>
      <c r="Q293" s="49">
        <f t="shared" si="55"/>
        <v>1</v>
      </c>
      <c r="R293" s="49">
        <f t="shared" si="56"/>
        <v>0</v>
      </c>
      <c r="S293" s="734">
        <f t="shared" si="57"/>
        <v>0</v>
      </c>
    </row>
    <row r="294" spans="1:19">
      <c r="A294" s="879"/>
      <c r="B294" s="126"/>
      <c r="C294" s="49">
        <f t="shared" si="48"/>
        <v>1</v>
      </c>
      <c r="D294" s="878"/>
      <c r="E294" s="49">
        <f t="shared" si="49"/>
        <v>1</v>
      </c>
      <c r="F294" s="878"/>
      <c r="G294" s="49">
        <f t="shared" si="50"/>
        <v>1</v>
      </c>
      <c r="H294" s="878"/>
      <c r="I294" s="49">
        <f t="shared" si="51"/>
        <v>1</v>
      </c>
      <c r="J294" s="878"/>
      <c r="K294" s="49">
        <f t="shared" si="52"/>
        <v>1</v>
      </c>
      <c r="L294" s="878"/>
      <c r="M294" s="49">
        <f t="shared" si="53"/>
        <v>1</v>
      </c>
      <c r="N294" s="878"/>
      <c r="O294" s="49">
        <f t="shared" si="54"/>
        <v>1</v>
      </c>
      <c r="P294" s="878"/>
      <c r="Q294" s="49">
        <f t="shared" si="55"/>
        <v>1</v>
      </c>
      <c r="R294" s="49">
        <f t="shared" si="56"/>
        <v>0</v>
      </c>
      <c r="S294" s="734">
        <f t="shared" si="57"/>
        <v>0</v>
      </c>
    </row>
    <row r="295" spans="1:19">
      <c r="A295" s="879"/>
      <c r="B295" s="126"/>
      <c r="C295" s="49">
        <f t="shared" si="48"/>
        <v>1</v>
      </c>
      <c r="D295" s="878"/>
      <c r="E295" s="49">
        <f t="shared" si="49"/>
        <v>1</v>
      </c>
      <c r="F295" s="878"/>
      <c r="G295" s="49">
        <f t="shared" si="50"/>
        <v>1</v>
      </c>
      <c r="H295" s="878"/>
      <c r="I295" s="49">
        <f t="shared" si="51"/>
        <v>1</v>
      </c>
      <c r="J295" s="878"/>
      <c r="K295" s="49">
        <f t="shared" si="52"/>
        <v>1</v>
      </c>
      <c r="L295" s="878"/>
      <c r="M295" s="49">
        <f t="shared" si="53"/>
        <v>1</v>
      </c>
      <c r="N295" s="878"/>
      <c r="O295" s="49">
        <f t="shared" si="54"/>
        <v>1</v>
      </c>
      <c r="P295" s="878"/>
      <c r="Q295" s="49">
        <f t="shared" si="55"/>
        <v>1</v>
      </c>
      <c r="R295" s="49">
        <f t="shared" si="56"/>
        <v>0</v>
      </c>
      <c r="S295" s="734">
        <f t="shared" si="57"/>
        <v>0</v>
      </c>
    </row>
    <row r="296" spans="1:19">
      <c r="A296" s="879"/>
      <c r="B296" s="126"/>
      <c r="C296" s="49">
        <f t="shared" si="48"/>
        <v>1</v>
      </c>
      <c r="D296" s="878"/>
      <c r="E296" s="49">
        <f t="shared" si="49"/>
        <v>1</v>
      </c>
      <c r="F296" s="878"/>
      <c r="G296" s="49">
        <f t="shared" si="50"/>
        <v>1</v>
      </c>
      <c r="H296" s="878"/>
      <c r="I296" s="49">
        <f t="shared" si="51"/>
        <v>1</v>
      </c>
      <c r="J296" s="878"/>
      <c r="K296" s="49">
        <f t="shared" si="52"/>
        <v>1</v>
      </c>
      <c r="L296" s="878"/>
      <c r="M296" s="49">
        <f t="shared" si="53"/>
        <v>1</v>
      </c>
      <c r="N296" s="878"/>
      <c r="O296" s="49">
        <f t="shared" si="54"/>
        <v>1</v>
      </c>
      <c r="P296" s="878"/>
      <c r="Q296" s="49">
        <f t="shared" si="55"/>
        <v>1</v>
      </c>
      <c r="R296" s="49">
        <f t="shared" si="56"/>
        <v>0</v>
      </c>
      <c r="S296" s="734">
        <f t="shared" si="57"/>
        <v>0</v>
      </c>
    </row>
    <row r="297" spans="1:19">
      <c r="A297" s="879"/>
      <c r="B297" s="126"/>
      <c r="C297" s="49">
        <f t="shared" si="48"/>
        <v>1</v>
      </c>
      <c r="D297" s="878"/>
      <c r="E297" s="49">
        <f t="shared" si="49"/>
        <v>1</v>
      </c>
      <c r="F297" s="878"/>
      <c r="G297" s="49">
        <f t="shared" si="50"/>
        <v>1</v>
      </c>
      <c r="H297" s="878"/>
      <c r="I297" s="49">
        <f t="shared" si="51"/>
        <v>1</v>
      </c>
      <c r="J297" s="878"/>
      <c r="K297" s="49">
        <f t="shared" si="52"/>
        <v>1</v>
      </c>
      <c r="L297" s="878"/>
      <c r="M297" s="49">
        <f t="shared" si="53"/>
        <v>1</v>
      </c>
      <c r="N297" s="878"/>
      <c r="O297" s="49">
        <f t="shared" si="54"/>
        <v>1</v>
      </c>
      <c r="P297" s="878"/>
      <c r="Q297" s="49">
        <f t="shared" si="55"/>
        <v>1</v>
      </c>
      <c r="R297" s="49">
        <f t="shared" si="56"/>
        <v>0</v>
      </c>
      <c r="S297" s="734">
        <f t="shared" si="57"/>
        <v>0</v>
      </c>
    </row>
    <row r="298" spans="1:19">
      <c r="A298" s="879"/>
      <c r="B298" s="126"/>
      <c r="C298" s="49">
        <f t="shared" si="48"/>
        <v>1</v>
      </c>
      <c r="D298" s="878"/>
      <c r="E298" s="49">
        <f t="shared" si="49"/>
        <v>1</v>
      </c>
      <c r="F298" s="878"/>
      <c r="G298" s="49">
        <f t="shared" si="50"/>
        <v>1</v>
      </c>
      <c r="H298" s="878"/>
      <c r="I298" s="49">
        <f t="shared" si="51"/>
        <v>1</v>
      </c>
      <c r="J298" s="878"/>
      <c r="K298" s="49">
        <f t="shared" si="52"/>
        <v>1</v>
      </c>
      <c r="L298" s="878"/>
      <c r="M298" s="49">
        <f t="shared" si="53"/>
        <v>1</v>
      </c>
      <c r="N298" s="878"/>
      <c r="O298" s="49">
        <f t="shared" si="54"/>
        <v>1</v>
      </c>
      <c r="P298" s="878"/>
      <c r="Q298" s="49">
        <f t="shared" si="55"/>
        <v>1</v>
      </c>
      <c r="R298" s="49">
        <f t="shared" si="56"/>
        <v>0</v>
      </c>
      <c r="S298" s="734">
        <f t="shared" si="57"/>
        <v>0</v>
      </c>
    </row>
    <row r="299" spans="1:19">
      <c r="A299" s="879"/>
      <c r="B299" s="126"/>
      <c r="C299" s="49">
        <f t="shared" si="48"/>
        <v>1</v>
      </c>
      <c r="D299" s="878"/>
      <c r="E299" s="49">
        <f t="shared" si="49"/>
        <v>1</v>
      </c>
      <c r="F299" s="878"/>
      <c r="G299" s="49">
        <f t="shared" si="50"/>
        <v>1</v>
      </c>
      <c r="H299" s="878"/>
      <c r="I299" s="49">
        <f t="shared" si="51"/>
        <v>1</v>
      </c>
      <c r="J299" s="878"/>
      <c r="K299" s="49">
        <f t="shared" si="52"/>
        <v>1</v>
      </c>
      <c r="L299" s="878"/>
      <c r="M299" s="49">
        <f t="shared" si="53"/>
        <v>1</v>
      </c>
      <c r="N299" s="878"/>
      <c r="O299" s="49">
        <f t="shared" si="54"/>
        <v>1</v>
      </c>
      <c r="P299" s="878"/>
      <c r="Q299" s="49">
        <f t="shared" si="55"/>
        <v>1</v>
      </c>
      <c r="R299" s="49">
        <f t="shared" si="56"/>
        <v>0</v>
      </c>
      <c r="S299" s="734">
        <f t="shared" si="57"/>
        <v>0</v>
      </c>
    </row>
    <row r="300" spans="1:19">
      <c r="A300" s="879"/>
      <c r="B300" s="126"/>
      <c r="C300" s="49">
        <f t="shared" si="48"/>
        <v>1</v>
      </c>
      <c r="D300" s="878"/>
      <c r="E300" s="49">
        <f t="shared" si="49"/>
        <v>1</v>
      </c>
      <c r="F300" s="878"/>
      <c r="G300" s="49">
        <f t="shared" si="50"/>
        <v>1</v>
      </c>
      <c r="H300" s="878"/>
      <c r="I300" s="49">
        <f t="shared" si="51"/>
        <v>1</v>
      </c>
      <c r="J300" s="878"/>
      <c r="K300" s="49">
        <f t="shared" si="52"/>
        <v>1</v>
      </c>
      <c r="L300" s="878"/>
      <c r="M300" s="49">
        <f t="shared" si="53"/>
        <v>1</v>
      </c>
      <c r="N300" s="878"/>
      <c r="O300" s="49">
        <f t="shared" si="54"/>
        <v>1</v>
      </c>
      <c r="P300" s="878"/>
      <c r="Q300" s="49">
        <f t="shared" si="55"/>
        <v>1</v>
      </c>
      <c r="R300" s="49">
        <f t="shared" si="56"/>
        <v>0</v>
      </c>
      <c r="S300" s="734">
        <f t="shared" si="57"/>
        <v>0</v>
      </c>
    </row>
    <row r="301" spans="1:19">
      <c r="A301" s="879"/>
      <c r="B301" s="126"/>
      <c r="C301" s="49">
        <f t="shared" si="48"/>
        <v>1</v>
      </c>
      <c r="D301" s="878"/>
      <c r="E301" s="49">
        <f t="shared" si="49"/>
        <v>1</v>
      </c>
      <c r="F301" s="878"/>
      <c r="G301" s="49">
        <f t="shared" si="50"/>
        <v>1</v>
      </c>
      <c r="H301" s="878"/>
      <c r="I301" s="49">
        <f t="shared" si="51"/>
        <v>1</v>
      </c>
      <c r="J301" s="878"/>
      <c r="K301" s="49">
        <f t="shared" si="52"/>
        <v>1</v>
      </c>
      <c r="L301" s="878"/>
      <c r="M301" s="49">
        <f t="shared" si="53"/>
        <v>1</v>
      </c>
      <c r="N301" s="878"/>
      <c r="O301" s="49">
        <f t="shared" si="54"/>
        <v>1</v>
      </c>
      <c r="P301" s="878"/>
      <c r="Q301" s="49">
        <f t="shared" si="55"/>
        <v>1</v>
      </c>
      <c r="R301" s="49">
        <f t="shared" si="56"/>
        <v>0</v>
      </c>
      <c r="S301" s="734">
        <f t="shared" si="57"/>
        <v>0</v>
      </c>
    </row>
    <row r="302" spans="1:19">
      <c r="A302" s="879"/>
      <c r="B302" s="126"/>
      <c r="C302" s="49">
        <f t="shared" si="48"/>
        <v>1</v>
      </c>
      <c r="D302" s="878"/>
      <c r="E302" s="49">
        <f t="shared" si="49"/>
        <v>1</v>
      </c>
      <c r="F302" s="878"/>
      <c r="G302" s="49">
        <f t="shared" si="50"/>
        <v>1</v>
      </c>
      <c r="H302" s="878"/>
      <c r="I302" s="49">
        <f t="shared" si="51"/>
        <v>1</v>
      </c>
      <c r="J302" s="878"/>
      <c r="K302" s="49">
        <f t="shared" si="52"/>
        <v>1</v>
      </c>
      <c r="L302" s="878"/>
      <c r="M302" s="49">
        <f t="shared" si="53"/>
        <v>1</v>
      </c>
      <c r="N302" s="878"/>
      <c r="O302" s="49">
        <f t="shared" si="54"/>
        <v>1</v>
      </c>
      <c r="P302" s="878"/>
      <c r="Q302" s="49">
        <f t="shared" si="55"/>
        <v>1</v>
      </c>
      <c r="R302" s="49">
        <f t="shared" si="56"/>
        <v>0</v>
      </c>
      <c r="S302" s="734">
        <f t="shared" si="57"/>
        <v>0</v>
      </c>
    </row>
    <row r="303" spans="1:19">
      <c r="A303" s="879"/>
      <c r="B303" s="126"/>
      <c r="C303" s="49">
        <f t="shared" si="48"/>
        <v>1</v>
      </c>
      <c r="D303" s="878"/>
      <c r="E303" s="49">
        <f t="shared" si="49"/>
        <v>1</v>
      </c>
      <c r="F303" s="878"/>
      <c r="G303" s="49">
        <f t="shared" si="50"/>
        <v>1</v>
      </c>
      <c r="H303" s="878"/>
      <c r="I303" s="49">
        <f t="shared" si="51"/>
        <v>1</v>
      </c>
      <c r="J303" s="878"/>
      <c r="K303" s="49">
        <f t="shared" si="52"/>
        <v>1</v>
      </c>
      <c r="L303" s="878"/>
      <c r="M303" s="49">
        <f t="shared" si="53"/>
        <v>1</v>
      </c>
      <c r="N303" s="878"/>
      <c r="O303" s="49">
        <f t="shared" si="54"/>
        <v>1</v>
      </c>
      <c r="P303" s="878"/>
      <c r="Q303" s="49">
        <f t="shared" si="55"/>
        <v>1</v>
      </c>
      <c r="R303" s="49">
        <f t="shared" si="56"/>
        <v>0</v>
      </c>
      <c r="S303" s="734">
        <f t="shared" si="57"/>
        <v>0</v>
      </c>
    </row>
    <row r="304" spans="1:19">
      <c r="A304" s="879"/>
      <c r="B304" s="126"/>
      <c r="C304" s="49">
        <f t="shared" si="48"/>
        <v>1</v>
      </c>
      <c r="D304" s="878"/>
      <c r="E304" s="49">
        <f t="shared" si="49"/>
        <v>1</v>
      </c>
      <c r="F304" s="878"/>
      <c r="G304" s="49">
        <f t="shared" si="50"/>
        <v>1</v>
      </c>
      <c r="H304" s="878"/>
      <c r="I304" s="49">
        <f t="shared" si="51"/>
        <v>1</v>
      </c>
      <c r="J304" s="878"/>
      <c r="K304" s="49">
        <f t="shared" si="52"/>
        <v>1</v>
      </c>
      <c r="L304" s="878"/>
      <c r="M304" s="49">
        <f t="shared" si="53"/>
        <v>1</v>
      </c>
      <c r="N304" s="878"/>
      <c r="O304" s="49">
        <f t="shared" si="54"/>
        <v>1</v>
      </c>
      <c r="P304" s="878"/>
      <c r="Q304" s="49">
        <f t="shared" si="55"/>
        <v>1</v>
      </c>
      <c r="R304" s="49">
        <f t="shared" si="56"/>
        <v>0</v>
      </c>
      <c r="S304" s="734">
        <f t="shared" si="57"/>
        <v>0</v>
      </c>
    </row>
    <row r="305" spans="1:19">
      <c r="A305" s="879"/>
      <c r="B305" s="126"/>
      <c r="C305" s="49">
        <f t="shared" si="48"/>
        <v>1</v>
      </c>
      <c r="D305" s="878"/>
      <c r="E305" s="49">
        <f t="shared" si="49"/>
        <v>1</v>
      </c>
      <c r="F305" s="878"/>
      <c r="G305" s="49">
        <f t="shared" si="50"/>
        <v>1</v>
      </c>
      <c r="H305" s="878"/>
      <c r="I305" s="49">
        <f t="shared" si="51"/>
        <v>1</v>
      </c>
      <c r="J305" s="878"/>
      <c r="K305" s="49">
        <f t="shared" si="52"/>
        <v>1</v>
      </c>
      <c r="L305" s="878"/>
      <c r="M305" s="49">
        <f t="shared" si="53"/>
        <v>1</v>
      </c>
      <c r="N305" s="878"/>
      <c r="O305" s="49">
        <f t="shared" si="54"/>
        <v>1</v>
      </c>
      <c r="P305" s="878"/>
      <c r="Q305" s="49">
        <f t="shared" si="55"/>
        <v>1</v>
      </c>
      <c r="R305" s="49">
        <f t="shared" si="56"/>
        <v>0</v>
      </c>
      <c r="S305" s="734">
        <f t="shared" si="57"/>
        <v>0</v>
      </c>
    </row>
    <row r="306" spans="1:19">
      <c r="A306" s="879"/>
      <c r="B306" s="126"/>
      <c r="C306" s="49">
        <f t="shared" si="48"/>
        <v>1</v>
      </c>
      <c r="D306" s="878"/>
      <c r="E306" s="49">
        <f t="shared" si="49"/>
        <v>1</v>
      </c>
      <c r="F306" s="878"/>
      <c r="G306" s="49">
        <f t="shared" si="50"/>
        <v>1</v>
      </c>
      <c r="H306" s="878"/>
      <c r="I306" s="49">
        <f t="shared" si="51"/>
        <v>1</v>
      </c>
      <c r="J306" s="878"/>
      <c r="K306" s="49">
        <f t="shared" si="52"/>
        <v>1</v>
      </c>
      <c r="L306" s="878"/>
      <c r="M306" s="49">
        <f t="shared" si="53"/>
        <v>1</v>
      </c>
      <c r="N306" s="878"/>
      <c r="O306" s="49">
        <f t="shared" si="54"/>
        <v>1</v>
      </c>
      <c r="P306" s="878"/>
      <c r="Q306" s="49">
        <f t="shared" si="55"/>
        <v>1</v>
      </c>
      <c r="R306" s="49">
        <f t="shared" si="56"/>
        <v>0</v>
      </c>
      <c r="S306" s="734">
        <f t="shared" si="57"/>
        <v>0</v>
      </c>
    </row>
    <row r="307" spans="1:19">
      <c r="A307" s="879"/>
      <c r="B307" s="126"/>
      <c r="C307" s="49">
        <f t="shared" si="48"/>
        <v>1</v>
      </c>
      <c r="D307" s="878"/>
      <c r="E307" s="49">
        <f t="shared" si="49"/>
        <v>1</v>
      </c>
      <c r="F307" s="878"/>
      <c r="G307" s="49">
        <f t="shared" si="50"/>
        <v>1</v>
      </c>
      <c r="H307" s="878"/>
      <c r="I307" s="49">
        <f t="shared" si="51"/>
        <v>1</v>
      </c>
      <c r="J307" s="878"/>
      <c r="K307" s="49">
        <f t="shared" si="52"/>
        <v>1</v>
      </c>
      <c r="L307" s="878"/>
      <c r="M307" s="49">
        <f t="shared" si="53"/>
        <v>1</v>
      </c>
      <c r="N307" s="878"/>
      <c r="O307" s="49">
        <f t="shared" si="54"/>
        <v>1</v>
      </c>
      <c r="P307" s="878"/>
      <c r="Q307" s="49">
        <f t="shared" si="55"/>
        <v>1</v>
      </c>
      <c r="R307" s="49">
        <f t="shared" si="56"/>
        <v>0</v>
      </c>
      <c r="S307" s="734">
        <f t="shared" si="57"/>
        <v>0</v>
      </c>
    </row>
    <row r="308" spans="1:19">
      <c r="A308" s="879"/>
      <c r="B308" s="126"/>
      <c r="C308" s="49">
        <f t="shared" si="48"/>
        <v>1</v>
      </c>
      <c r="D308" s="878"/>
      <c r="E308" s="49">
        <f t="shared" si="49"/>
        <v>1</v>
      </c>
      <c r="F308" s="878"/>
      <c r="G308" s="49">
        <f t="shared" si="50"/>
        <v>1</v>
      </c>
      <c r="H308" s="878"/>
      <c r="I308" s="49">
        <f t="shared" si="51"/>
        <v>1</v>
      </c>
      <c r="J308" s="878"/>
      <c r="K308" s="49">
        <f t="shared" si="52"/>
        <v>1</v>
      </c>
      <c r="L308" s="878"/>
      <c r="M308" s="49">
        <f t="shared" si="53"/>
        <v>1</v>
      </c>
      <c r="N308" s="878"/>
      <c r="O308" s="49">
        <f t="shared" si="54"/>
        <v>1</v>
      </c>
      <c r="P308" s="878"/>
      <c r="Q308" s="49">
        <f t="shared" si="55"/>
        <v>1</v>
      </c>
      <c r="R308" s="49">
        <f t="shared" si="56"/>
        <v>0</v>
      </c>
      <c r="S308" s="734">
        <f t="shared" si="57"/>
        <v>0</v>
      </c>
    </row>
    <row r="309" spans="1:19">
      <c r="A309" s="879"/>
      <c r="B309" s="126"/>
      <c r="C309" s="49">
        <f t="shared" si="48"/>
        <v>1</v>
      </c>
      <c r="D309" s="878"/>
      <c r="E309" s="49">
        <f t="shared" si="49"/>
        <v>1</v>
      </c>
      <c r="F309" s="878"/>
      <c r="G309" s="49">
        <f t="shared" si="50"/>
        <v>1</v>
      </c>
      <c r="H309" s="878"/>
      <c r="I309" s="49">
        <f t="shared" si="51"/>
        <v>1</v>
      </c>
      <c r="J309" s="878"/>
      <c r="K309" s="49">
        <f t="shared" si="52"/>
        <v>1</v>
      </c>
      <c r="L309" s="878"/>
      <c r="M309" s="49">
        <f t="shared" si="53"/>
        <v>1</v>
      </c>
      <c r="N309" s="878"/>
      <c r="O309" s="49">
        <f t="shared" si="54"/>
        <v>1</v>
      </c>
      <c r="P309" s="878"/>
      <c r="Q309" s="49">
        <f t="shared" si="55"/>
        <v>1</v>
      </c>
      <c r="R309" s="49">
        <f t="shared" si="56"/>
        <v>0</v>
      </c>
      <c r="S309" s="734">
        <f t="shared" si="57"/>
        <v>0</v>
      </c>
    </row>
    <row r="310" spans="1:19">
      <c r="A310" s="879"/>
      <c r="B310" s="126"/>
      <c r="C310" s="49">
        <f t="shared" si="48"/>
        <v>1</v>
      </c>
      <c r="D310" s="878"/>
      <c r="E310" s="49">
        <f t="shared" si="49"/>
        <v>1</v>
      </c>
      <c r="F310" s="878"/>
      <c r="G310" s="49">
        <f t="shared" si="50"/>
        <v>1</v>
      </c>
      <c r="H310" s="878"/>
      <c r="I310" s="49">
        <f t="shared" si="51"/>
        <v>1</v>
      </c>
      <c r="J310" s="878"/>
      <c r="K310" s="49">
        <f t="shared" si="52"/>
        <v>1</v>
      </c>
      <c r="L310" s="878"/>
      <c r="M310" s="49">
        <f t="shared" si="53"/>
        <v>1</v>
      </c>
      <c r="N310" s="878"/>
      <c r="O310" s="49">
        <f t="shared" si="54"/>
        <v>1</v>
      </c>
      <c r="P310" s="878"/>
      <c r="Q310" s="49">
        <f t="shared" si="55"/>
        <v>1</v>
      </c>
      <c r="R310" s="49">
        <f t="shared" si="56"/>
        <v>0</v>
      </c>
      <c r="S310" s="734">
        <f t="shared" si="57"/>
        <v>0</v>
      </c>
    </row>
    <row r="311" spans="1:19">
      <c r="A311" s="879"/>
      <c r="B311" s="126"/>
      <c r="C311" s="49">
        <f t="shared" si="48"/>
        <v>1</v>
      </c>
      <c r="D311" s="878"/>
      <c r="E311" s="49">
        <f t="shared" si="49"/>
        <v>1</v>
      </c>
      <c r="F311" s="878"/>
      <c r="G311" s="49">
        <f t="shared" si="50"/>
        <v>1</v>
      </c>
      <c r="H311" s="878"/>
      <c r="I311" s="49">
        <f t="shared" si="51"/>
        <v>1</v>
      </c>
      <c r="J311" s="878"/>
      <c r="K311" s="49">
        <f t="shared" si="52"/>
        <v>1</v>
      </c>
      <c r="L311" s="878"/>
      <c r="M311" s="49">
        <f t="shared" si="53"/>
        <v>1</v>
      </c>
      <c r="N311" s="878"/>
      <c r="O311" s="49">
        <f t="shared" si="54"/>
        <v>1</v>
      </c>
      <c r="P311" s="878"/>
      <c r="Q311" s="49">
        <f t="shared" si="55"/>
        <v>1</v>
      </c>
      <c r="R311" s="49">
        <f t="shared" si="56"/>
        <v>0</v>
      </c>
      <c r="S311" s="734">
        <f t="shared" si="57"/>
        <v>0</v>
      </c>
    </row>
    <row r="312" spans="1:19">
      <c r="A312" s="879"/>
      <c r="B312" s="126"/>
      <c r="C312" s="49">
        <f t="shared" si="48"/>
        <v>1</v>
      </c>
      <c r="D312" s="878"/>
      <c r="E312" s="49">
        <f t="shared" si="49"/>
        <v>1</v>
      </c>
      <c r="F312" s="878"/>
      <c r="G312" s="49">
        <f t="shared" si="50"/>
        <v>1</v>
      </c>
      <c r="H312" s="878"/>
      <c r="I312" s="49">
        <f t="shared" si="51"/>
        <v>1</v>
      </c>
      <c r="J312" s="878"/>
      <c r="K312" s="49">
        <f t="shared" si="52"/>
        <v>1</v>
      </c>
      <c r="L312" s="878"/>
      <c r="M312" s="49">
        <f t="shared" si="53"/>
        <v>1</v>
      </c>
      <c r="N312" s="878"/>
      <c r="O312" s="49">
        <f t="shared" si="54"/>
        <v>1</v>
      </c>
      <c r="P312" s="878"/>
      <c r="Q312" s="49">
        <f t="shared" si="55"/>
        <v>1</v>
      </c>
      <c r="R312" s="49">
        <f t="shared" si="56"/>
        <v>0</v>
      </c>
      <c r="S312" s="734">
        <f t="shared" si="57"/>
        <v>0</v>
      </c>
    </row>
    <row r="313" spans="1:19">
      <c r="A313" s="879"/>
      <c r="B313" s="126"/>
      <c r="C313" s="49">
        <f t="shared" si="48"/>
        <v>1</v>
      </c>
      <c r="D313" s="878"/>
      <c r="E313" s="49">
        <f t="shared" si="49"/>
        <v>1</v>
      </c>
      <c r="F313" s="878"/>
      <c r="G313" s="49">
        <f t="shared" si="50"/>
        <v>1</v>
      </c>
      <c r="H313" s="878"/>
      <c r="I313" s="49">
        <f t="shared" si="51"/>
        <v>1</v>
      </c>
      <c r="J313" s="878"/>
      <c r="K313" s="49">
        <f t="shared" si="52"/>
        <v>1</v>
      </c>
      <c r="L313" s="878"/>
      <c r="M313" s="49">
        <f t="shared" si="53"/>
        <v>1</v>
      </c>
      <c r="N313" s="878"/>
      <c r="O313" s="49">
        <f t="shared" si="54"/>
        <v>1</v>
      </c>
      <c r="P313" s="878"/>
      <c r="Q313" s="49">
        <f t="shared" si="55"/>
        <v>1</v>
      </c>
      <c r="R313" s="49">
        <f t="shared" si="56"/>
        <v>0</v>
      </c>
      <c r="S313" s="734">
        <f t="shared" si="57"/>
        <v>0</v>
      </c>
    </row>
    <row r="314" spans="1:19">
      <c r="A314" s="879"/>
      <c r="B314" s="126"/>
      <c r="C314" s="49">
        <f t="shared" si="48"/>
        <v>1</v>
      </c>
      <c r="D314" s="878"/>
      <c r="E314" s="49">
        <f t="shared" si="49"/>
        <v>1</v>
      </c>
      <c r="F314" s="878"/>
      <c r="G314" s="49">
        <f t="shared" si="50"/>
        <v>1</v>
      </c>
      <c r="H314" s="878"/>
      <c r="I314" s="49">
        <f t="shared" si="51"/>
        <v>1</v>
      </c>
      <c r="J314" s="878"/>
      <c r="K314" s="49">
        <f t="shared" si="52"/>
        <v>1</v>
      </c>
      <c r="L314" s="878"/>
      <c r="M314" s="49">
        <f t="shared" si="53"/>
        <v>1</v>
      </c>
      <c r="N314" s="878"/>
      <c r="O314" s="49">
        <f t="shared" si="54"/>
        <v>1</v>
      </c>
      <c r="P314" s="878"/>
      <c r="Q314" s="49">
        <f t="shared" si="55"/>
        <v>1</v>
      </c>
      <c r="R314" s="49">
        <f t="shared" si="56"/>
        <v>0</v>
      </c>
      <c r="S314" s="734">
        <f t="shared" si="57"/>
        <v>0</v>
      </c>
    </row>
    <row r="315" spans="1:19">
      <c r="A315" s="879"/>
      <c r="B315" s="126"/>
      <c r="C315" s="49">
        <f t="shared" si="48"/>
        <v>1</v>
      </c>
      <c r="D315" s="878"/>
      <c r="E315" s="49">
        <f t="shared" si="49"/>
        <v>1</v>
      </c>
      <c r="F315" s="878"/>
      <c r="G315" s="49">
        <f t="shared" si="50"/>
        <v>1</v>
      </c>
      <c r="H315" s="878"/>
      <c r="I315" s="49">
        <f t="shared" si="51"/>
        <v>1</v>
      </c>
      <c r="J315" s="878"/>
      <c r="K315" s="49">
        <f t="shared" si="52"/>
        <v>1</v>
      </c>
      <c r="L315" s="878"/>
      <c r="M315" s="49">
        <f t="shared" si="53"/>
        <v>1</v>
      </c>
      <c r="N315" s="878"/>
      <c r="O315" s="49">
        <f t="shared" si="54"/>
        <v>1</v>
      </c>
      <c r="P315" s="878"/>
      <c r="Q315" s="49">
        <f t="shared" si="55"/>
        <v>1</v>
      </c>
      <c r="R315" s="49">
        <f t="shared" si="56"/>
        <v>0</v>
      </c>
      <c r="S315" s="734">
        <f t="shared" si="57"/>
        <v>0</v>
      </c>
    </row>
    <row r="316" spans="1:19">
      <c r="A316" s="879"/>
      <c r="B316" s="126"/>
      <c r="C316" s="49">
        <f t="shared" si="48"/>
        <v>1</v>
      </c>
      <c r="D316" s="878"/>
      <c r="E316" s="49">
        <f t="shared" si="49"/>
        <v>1</v>
      </c>
      <c r="F316" s="878"/>
      <c r="G316" s="49">
        <f t="shared" si="50"/>
        <v>1</v>
      </c>
      <c r="H316" s="878"/>
      <c r="I316" s="49">
        <f t="shared" si="51"/>
        <v>1</v>
      </c>
      <c r="J316" s="878"/>
      <c r="K316" s="49">
        <f t="shared" si="52"/>
        <v>1</v>
      </c>
      <c r="L316" s="878"/>
      <c r="M316" s="49">
        <f t="shared" si="53"/>
        <v>1</v>
      </c>
      <c r="N316" s="878"/>
      <c r="O316" s="49">
        <f t="shared" si="54"/>
        <v>1</v>
      </c>
      <c r="P316" s="878"/>
      <c r="Q316" s="49">
        <f t="shared" si="55"/>
        <v>1</v>
      </c>
      <c r="R316" s="49">
        <f t="shared" si="56"/>
        <v>0</v>
      </c>
      <c r="S316" s="734">
        <f t="shared" si="57"/>
        <v>0</v>
      </c>
    </row>
    <row r="317" spans="1:19">
      <c r="A317" s="879"/>
      <c r="B317" s="126"/>
      <c r="C317" s="49">
        <f t="shared" si="48"/>
        <v>1</v>
      </c>
      <c r="D317" s="878"/>
      <c r="E317" s="49">
        <f t="shared" si="49"/>
        <v>1</v>
      </c>
      <c r="F317" s="878"/>
      <c r="G317" s="49">
        <f t="shared" si="50"/>
        <v>1</v>
      </c>
      <c r="H317" s="878"/>
      <c r="I317" s="49">
        <f t="shared" si="51"/>
        <v>1</v>
      </c>
      <c r="J317" s="878"/>
      <c r="K317" s="49">
        <f t="shared" si="52"/>
        <v>1</v>
      </c>
      <c r="L317" s="878"/>
      <c r="M317" s="49">
        <f t="shared" si="53"/>
        <v>1</v>
      </c>
      <c r="N317" s="878"/>
      <c r="O317" s="49">
        <f t="shared" si="54"/>
        <v>1</v>
      </c>
      <c r="P317" s="878"/>
      <c r="Q317" s="49">
        <f t="shared" si="55"/>
        <v>1</v>
      </c>
      <c r="R317" s="49">
        <f t="shared" si="56"/>
        <v>0</v>
      </c>
      <c r="S317" s="734">
        <f t="shared" si="57"/>
        <v>0</v>
      </c>
    </row>
    <row r="318" spans="1:19">
      <c r="A318" s="879"/>
      <c r="B318" s="126"/>
      <c r="C318" s="49">
        <f t="shared" si="48"/>
        <v>1</v>
      </c>
      <c r="D318" s="878"/>
      <c r="E318" s="49">
        <f t="shared" si="49"/>
        <v>1</v>
      </c>
      <c r="F318" s="878"/>
      <c r="G318" s="49">
        <f t="shared" si="50"/>
        <v>1</v>
      </c>
      <c r="H318" s="878"/>
      <c r="I318" s="49">
        <f t="shared" si="51"/>
        <v>1</v>
      </c>
      <c r="J318" s="878"/>
      <c r="K318" s="49">
        <f t="shared" si="52"/>
        <v>1</v>
      </c>
      <c r="L318" s="878"/>
      <c r="M318" s="49">
        <f t="shared" si="53"/>
        <v>1</v>
      </c>
      <c r="N318" s="878"/>
      <c r="O318" s="49">
        <f t="shared" si="54"/>
        <v>1</v>
      </c>
      <c r="P318" s="878"/>
      <c r="Q318" s="49">
        <f t="shared" si="55"/>
        <v>1</v>
      </c>
      <c r="R318" s="49">
        <f t="shared" si="56"/>
        <v>0</v>
      </c>
      <c r="S318" s="734">
        <f t="shared" si="57"/>
        <v>0</v>
      </c>
    </row>
    <row r="319" spans="1:19">
      <c r="A319" s="879"/>
      <c r="B319" s="126"/>
      <c r="C319" s="49">
        <f t="shared" si="48"/>
        <v>1</v>
      </c>
      <c r="D319" s="878"/>
      <c r="E319" s="49">
        <f t="shared" si="49"/>
        <v>1</v>
      </c>
      <c r="F319" s="878"/>
      <c r="G319" s="49">
        <f t="shared" si="50"/>
        <v>1</v>
      </c>
      <c r="H319" s="878"/>
      <c r="I319" s="49">
        <f t="shared" si="51"/>
        <v>1</v>
      </c>
      <c r="J319" s="878"/>
      <c r="K319" s="49">
        <f t="shared" si="52"/>
        <v>1</v>
      </c>
      <c r="L319" s="878"/>
      <c r="M319" s="49">
        <f t="shared" si="53"/>
        <v>1</v>
      </c>
      <c r="N319" s="878"/>
      <c r="O319" s="49">
        <f t="shared" si="54"/>
        <v>1</v>
      </c>
      <c r="P319" s="878"/>
      <c r="Q319" s="49">
        <f t="shared" si="55"/>
        <v>1</v>
      </c>
      <c r="R319" s="49">
        <f t="shared" si="56"/>
        <v>0</v>
      </c>
      <c r="S319" s="734">
        <f t="shared" si="57"/>
        <v>0</v>
      </c>
    </row>
    <row r="320" spans="1:19">
      <c r="A320" s="879"/>
      <c r="B320" s="126"/>
      <c r="C320" s="49">
        <f t="shared" si="48"/>
        <v>1</v>
      </c>
      <c r="D320" s="878"/>
      <c r="E320" s="49">
        <f t="shared" si="49"/>
        <v>1</v>
      </c>
      <c r="F320" s="878"/>
      <c r="G320" s="49">
        <f t="shared" si="50"/>
        <v>1</v>
      </c>
      <c r="H320" s="878"/>
      <c r="I320" s="49">
        <f t="shared" si="51"/>
        <v>1</v>
      </c>
      <c r="J320" s="878"/>
      <c r="K320" s="49">
        <f t="shared" si="52"/>
        <v>1</v>
      </c>
      <c r="L320" s="878"/>
      <c r="M320" s="49">
        <f t="shared" si="53"/>
        <v>1</v>
      </c>
      <c r="N320" s="878"/>
      <c r="O320" s="49">
        <f t="shared" si="54"/>
        <v>1</v>
      </c>
      <c r="P320" s="878"/>
      <c r="Q320" s="49">
        <f t="shared" si="55"/>
        <v>1</v>
      </c>
      <c r="R320" s="49">
        <f t="shared" si="56"/>
        <v>0</v>
      </c>
      <c r="S320" s="734">
        <f t="shared" si="57"/>
        <v>0</v>
      </c>
    </row>
    <row r="321" spans="1:19">
      <c r="A321" s="879"/>
      <c r="B321" s="126"/>
      <c r="C321" s="49">
        <f t="shared" si="48"/>
        <v>1</v>
      </c>
      <c r="D321" s="878"/>
      <c r="E321" s="49">
        <f t="shared" si="49"/>
        <v>1</v>
      </c>
      <c r="F321" s="878"/>
      <c r="G321" s="49">
        <f t="shared" si="50"/>
        <v>1</v>
      </c>
      <c r="H321" s="878"/>
      <c r="I321" s="49">
        <f t="shared" si="51"/>
        <v>1</v>
      </c>
      <c r="J321" s="878"/>
      <c r="K321" s="49">
        <f t="shared" si="52"/>
        <v>1</v>
      </c>
      <c r="L321" s="878"/>
      <c r="M321" s="49">
        <f t="shared" si="53"/>
        <v>1</v>
      </c>
      <c r="N321" s="878"/>
      <c r="O321" s="49">
        <f t="shared" si="54"/>
        <v>1</v>
      </c>
      <c r="P321" s="878"/>
      <c r="Q321" s="49">
        <f t="shared" si="55"/>
        <v>1</v>
      </c>
      <c r="R321" s="49">
        <f t="shared" si="56"/>
        <v>0</v>
      </c>
      <c r="S321" s="734">
        <f t="shared" ref="S321:S384" si="58">ROUND(R321*B321/10000,0)</f>
        <v>0</v>
      </c>
    </row>
    <row r="322" spans="1:19">
      <c r="A322" s="879"/>
      <c r="B322" s="126"/>
      <c r="C322" s="49">
        <f t="shared" si="48"/>
        <v>1</v>
      </c>
      <c r="D322" s="878"/>
      <c r="E322" s="49">
        <f t="shared" si="49"/>
        <v>1</v>
      </c>
      <c r="F322" s="878"/>
      <c r="G322" s="49">
        <f t="shared" si="50"/>
        <v>1</v>
      </c>
      <c r="H322" s="878"/>
      <c r="I322" s="49">
        <f t="shared" si="51"/>
        <v>1</v>
      </c>
      <c r="J322" s="878"/>
      <c r="K322" s="49">
        <f t="shared" si="52"/>
        <v>1</v>
      </c>
      <c r="L322" s="878"/>
      <c r="M322" s="49">
        <f t="shared" si="53"/>
        <v>1</v>
      </c>
      <c r="N322" s="878"/>
      <c r="O322" s="49">
        <f t="shared" si="54"/>
        <v>1</v>
      </c>
      <c r="P322" s="878"/>
      <c r="Q322" s="49">
        <f t="shared" si="55"/>
        <v>1</v>
      </c>
      <c r="R322" s="49">
        <f t="shared" si="56"/>
        <v>0</v>
      </c>
      <c r="S322" s="734">
        <f t="shared" si="58"/>
        <v>0</v>
      </c>
    </row>
    <row r="323" spans="1:19">
      <c r="A323" s="879"/>
      <c r="B323" s="126"/>
      <c r="C323" s="49">
        <f t="shared" si="48"/>
        <v>1</v>
      </c>
      <c r="D323" s="878"/>
      <c r="E323" s="49">
        <f t="shared" si="49"/>
        <v>1</v>
      </c>
      <c r="F323" s="878"/>
      <c r="G323" s="49">
        <f t="shared" si="50"/>
        <v>1</v>
      </c>
      <c r="H323" s="878"/>
      <c r="I323" s="49">
        <f t="shared" si="51"/>
        <v>1</v>
      </c>
      <c r="J323" s="878"/>
      <c r="K323" s="49">
        <f t="shared" si="52"/>
        <v>1</v>
      </c>
      <c r="L323" s="878"/>
      <c r="M323" s="49">
        <f t="shared" si="53"/>
        <v>1</v>
      </c>
      <c r="N323" s="878"/>
      <c r="O323" s="49">
        <f t="shared" si="54"/>
        <v>1</v>
      </c>
      <c r="P323" s="878"/>
      <c r="Q323" s="49">
        <f t="shared" si="55"/>
        <v>1</v>
      </c>
      <c r="R323" s="49">
        <f t="shared" si="56"/>
        <v>0</v>
      </c>
      <c r="S323" s="734">
        <f t="shared" si="58"/>
        <v>0</v>
      </c>
    </row>
    <row r="324" spans="1:19">
      <c r="A324" s="879"/>
      <c r="B324" s="126"/>
      <c r="C324" s="49">
        <f t="shared" si="48"/>
        <v>1</v>
      </c>
      <c r="D324" s="878"/>
      <c r="E324" s="49">
        <f t="shared" si="49"/>
        <v>1</v>
      </c>
      <c r="F324" s="878"/>
      <c r="G324" s="49">
        <f t="shared" si="50"/>
        <v>1</v>
      </c>
      <c r="H324" s="878"/>
      <c r="I324" s="49">
        <f t="shared" si="51"/>
        <v>1</v>
      </c>
      <c r="J324" s="878"/>
      <c r="K324" s="49">
        <f t="shared" si="52"/>
        <v>1</v>
      </c>
      <c r="L324" s="878"/>
      <c r="M324" s="49">
        <f t="shared" si="53"/>
        <v>1</v>
      </c>
      <c r="N324" s="878"/>
      <c r="O324" s="49">
        <f t="shared" si="54"/>
        <v>1</v>
      </c>
      <c r="P324" s="878"/>
      <c r="Q324" s="49">
        <f t="shared" si="55"/>
        <v>1</v>
      </c>
      <c r="R324" s="49">
        <f t="shared" si="56"/>
        <v>0</v>
      </c>
      <c r="S324" s="734">
        <f t="shared" si="58"/>
        <v>0</v>
      </c>
    </row>
    <row r="325" spans="1:19">
      <c r="A325" s="879"/>
      <c r="B325" s="126"/>
      <c r="C325" s="49">
        <f t="shared" si="48"/>
        <v>1</v>
      </c>
      <c r="D325" s="878"/>
      <c r="E325" s="49">
        <f t="shared" si="49"/>
        <v>1</v>
      </c>
      <c r="F325" s="878"/>
      <c r="G325" s="49">
        <f t="shared" si="50"/>
        <v>1</v>
      </c>
      <c r="H325" s="878"/>
      <c r="I325" s="49">
        <f t="shared" si="51"/>
        <v>1</v>
      </c>
      <c r="J325" s="878"/>
      <c r="K325" s="49">
        <f t="shared" si="52"/>
        <v>1</v>
      </c>
      <c r="L325" s="878"/>
      <c r="M325" s="49">
        <f t="shared" si="53"/>
        <v>1</v>
      </c>
      <c r="N325" s="878"/>
      <c r="O325" s="49">
        <f t="shared" si="54"/>
        <v>1</v>
      </c>
      <c r="P325" s="878"/>
      <c r="Q325" s="49">
        <f t="shared" si="55"/>
        <v>1</v>
      </c>
      <c r="R325" s="49">
        <f t="shared" si="56"/>
        <v>0</v>
      </c>
      <c r="S325" s="734">
        <f t="shared" si="58"/>
        <v>0</v>
      </c>
    </row>
    <row r="326" spans="1:19">
      <c r="A326" s="879"/>
      <c r="B326" s="126"/>
      <c r="C326" s="49">
        <f t="shared" si="48"/>
        <v>1</v>
      </c>
      <c r="D326" s="878"/>
      <c r="E326" s="49">
        <f t="shared" si="49"/>
        <v>1</v>
      </c>
      <c r="F326" s="878"/>
      <c r="G326" s="49">
        <f t="shared" si="50"/>
        <v>1</v>
      </c>
      <c r="H326" s="878"/>
      <c r="I326" s="49">
        <f t="shared" si="51"/>
        <v>1</v>
      </c>
      <c r="J326" s="878"/>
      <c r="K326" s="49">
        <f t="shared" si="52"/>
        <v>1</v>
      </c>
      <c r="L326" s="878"/>
      <c r="M326" s="49">
        <f t="shared" si="53"/>
        <v>1</v>
      </c>
      <c r="N326" s="878"/>
      <c r="O326" s="49">
        <f t="shared" si="54"/>
        <v>1</v>
      </c>
      <c r="P326" s="878"/>
      <c r="Q326" s="49">
        <f t="shared" si="55"/>
        <v>1</v>
      </c>
      <c r="R326" s="49">
        <f t="shared" si="56"/>
        <v>0</v>
      </c>
      <c r="S326" s="734">
        <f t="shared" si="58"/>
        <v>0</v>
      </c>
    </row>
    <row r="327" spans="1:19">
      <c r="A327" s="879"/>
      <c r="B327" s="126"/>
      <c r="C327" s="49">
        <f t="shared" si="48"/>
        <v>1</v>
      </c>
      <c r="D327" s="878"/>
      <c r="E327" s="49">
        <f t="shared" si="49"/>
        <v>1</v>
      </c>
      <c r="F327" s="878"/>
      <c r="G327" s="49">
        <f t="shared" si="50"/>
        <v>1</v>
      </c>
      <c r="H327" s="878"/>
      <c r="I327" s="49">
        <f t="shared" si="51"/>
        <v>1</v>
      </c>
      <c r="J327" s="878"/>
      <c r="K327" s="49">
        <f t="shared" si="52"/>
        <v>1</v>
      </c>
      <c r="L327" s="878"/>
      <c r="M327" s="49">
        <f t="shared" si="53"/>
        <v>1</v>
      </c>
      <c r="N327" s="878"/>
      <c r="O327" s="49">
        <f t="shared" si="54"/>
        <v>1</v>
      </c>
      <c r="P327" s="878"/>
      <c r="Q327" s="49">
        <f t="shared" si="55"/>
        <v>1</v>
      </c>
      <c r="R327" s="49">
        <f t="shared" si="56"/>
        <v>0</v>
      </c>
      <c r="S327" s="734">
        <f t="shared" si="58"/>
        <v>0</v>
      </c>
    </row>
    <row r="328" spans="1:19">
      <c r="A328" s="879"/>
      <c r="B328" s="126"/>
      <c r="C328" s="49">
        <f t="shared" si="48"/>
        <v>1</v>
      </c>
      <c r="D328" s="878"/>
      <c r="E328" s="49">
        <f t="shared" si="49"/>
        <v>1</v>
      </c>
      <c r="F328" s="878"/>
      <c r="G328" s="49">
        <f t="shared" si="50"/>
        <v>1</v>
      </c>
      <c r="H328" s="878"/>
      <c r="I328" s="49">
        <f t="shared" si="51"/>
        <v>1</v>
      </c>
      <c r="J328" s="878"/>
      <c r="K328" s="49">
        <f t="shared" si="52"/>
        <v>1</v>
      </c>
      <c r="L328" s="878"/>
      <c r="M328" s="49">
        <f t="shared" si="53"/>
        <v>1</v>
      </c>
      <c r="N328" s="878"/>
      <c r="O328" s="49">
        <f t="shared" si="54"/>
        <v>1</v>
      </c>
      <c r="P328" s="878"/>
      <c r="Q328" s="49">
        <f t="shared" si="55"/>
        <v>1</v>
      </c>
      <c r="R328" s="49">
        <f t="shared" si="56"/>
        <v>0</v>
      </c>
      <c r="S328" s="734">
        <f t="shared" si="58"/>
        <v>0</v>
      </c>
    </row>
    <row r="329" spans="1:19">
      <c r="A329" s="879"/>
      <c r="B329" s="126"/>
      <c r="C329" s="49">
        <f t="shared" si="48"/>
        <v>1</v>
      </c>
      <c r="D329" s="878"/>
      <c r="E329" s="49">
        <f t="shared" si="49"/>
        <v>1</v>
      </c>
      <c r="F329" s="878"/>
      <c r="G329" s="49">
        <f t="shared" si="50"/>
        <v>1</v>
      </c>
      <c r="H329" s="878"/>
      <c r="I329" s="49">
        <f t="shared" si="51"/>
        <v>1</v>
      </c>
      <c r="J329" s="878"/>
      <c r="K329" s="49">
        <f t="shared" si="52"/>
        <v>1</v>
      </c>
      <c r="L329" s="878"/>
      <c r="M329" s="49">
        <f t="shared" si="53"/>
        <v>1</v>
      </c>
      <c r="N329" s="878"/>
      <c r="O329" s="49">
        <f t="shared" si="54"/>
        <v>1</v>
      </c>
      <c r="P329" s="878"/>
      <c r="Q329" s="49">
        <f t="shared" si="55"/>
        <v>1</v>
      </c>
      <c r="R329" s="49">
        <f t="shared" si="56"/>
        <v>0</v>
      </c>
      <c r="S329" s="734">
        <f t="shared" si="58"/>
        <v>0</v>
      </c>
    </row>
    <row r="330" spans="1:19">
      <c r="A330" s="879"/>
      <c r="B330" s="126"/>
      <c r="C330" s="49">
        <f t="shared" si="48"/>
        <v>1</v>
      </c>
      <c r="D330" s="878"/>
      <c r="E330" s="49">
        <f t="shared" si="49"/>
        <v>1</v>
      </c>
      <c r="F330" s="878"/>
      <c r="G330" s="49">
        <f t="shared" si="50"/>
        <v>1</v>
      </c>
      <c r="H330" s="878"/>
      <c r="I330" s="49">
        <f t="shared" si="51"/>
        <v>1</v>
      </c>
      <c r="J330" s="878"/>
      <c r="K330" s="49">
        <f t="shared" si="52"/>
        <v>1</v>
      </c>
      <c r="L330" s="878"/>
      <c r="M330" s="49">
        <f t="shared" si="53"/>
        <v>1</v>
      </c>
      <c r="N330" s="878"/>
      <c r="O330" s="49">
        <f t="shared" si="54"/>
        <v>1</v>
      </c>
      <c r="P330" s="878"/>
      <c r="Q330" s="49">
        <f t="shared" si="55"/>
        <v>1</v>
      </c>
      <c r="R330" s="49">
        <f t="shared" si="56"/>
        <v>0</v>
      </c>
      <c r="S330" s="734">
        <f t="shared" si="58"/>
        <v>0</v>
      </c>
    </row>
    <row r="331" spans="1:19">
      <c r="A331" s="879"/>
      <c r="B331" s="126"/>
      <c r="C331" s="49">
        <f t="shared" si="48"/>
        <v>1</v>
      </c>
      <c r="D331" s="878"/>
      <c r="E331" s="49">
        <f t="shared" si="49"/>
        <v>1</v>
      </c>
      <c r="F331" s="878"/>
      <c r="G331" s="49">
        <f t="shared" si="50"/>
        <v>1</v>
      </c>
      <c r="H331" s="878"/>
      <c r="I331" s="49">
        <f t="shared" si="51"/>
        <v>1</v>
      </c>
      <c r="J331" s="878"/>
      <c r="K331" s="49">
        <f t="shared" si="52"/>
        <v>1</v>
      </c>
      <c r="L331" s="878"/>
      <c r="M331" s="49">
        <f t="shared" si="53"/>
        <v>1</v>
      </c>
      <c r="N331" s="878"/>
      <c r="O331" s="49">
        <f t="shared" si="54"/>
        <v>1</v>
      </c>
      <c r="P331" s="878"/>
      <c r="Q331" s="49">
        <f t="shared" si="55"/>
        <v>1</v>
      </c>
      <c r="R331" s="49">
        <f t="shared" si="56"/>
        <v>0</v>
      </c>
      <c r="S331" s="734">
        <f t="shared" si="58"/>
        <v>0</v>
      </c>
    </row>
    <row r="332" spans="1:19">
      <c r="A332" s="879"/>
      <c r="B332" s="126"/>
      <c r="C332" s="49">
        <f t="shared" si="48"/>
        <v>1</v>
      </c>
      <c r="D332" s="878"/>
      <c r="E332" s="49">
        <f t="shared" si="49"/>
        <v>1</v>
      </c>
      <c r="F332" s="878"/>
      <c r="G332" s="49">
        <f t="shared" si="50"/>
        <v>1</v>
      </c>
      <c r="H332" s="878"/>
      <c r="I332" s="49">
        <f t="shared" si="51"/>
        <v>1</v>
      </c>
      <c r="J332" s="878"/>
      <c r="K332" s="49">
        <f t="shared" si="52"/>
        <v>1</v>
      </c>
      <c r="L332" s="878"/>
      <c r="M332" s="49">
        <f t="shared" si="53"/>
        <v>1</v>
      </c>
      <c r="N332" s="878"/>
      <c r="O332" s="49">
        <f t="shared" si="54"/>
        <v>1</v>
      </c>
      <c r="P332" s="878"/>
      <c r="Q332" s="49">
        <f t="shared" si="55"/>
        <v>1</v>
      </c>
      <c r="R332" s="49">
        <f t="shared" si="56"/>
        <v>0</v>
      </c>
      <c r="S332" s="734">
        <f t="shared" si="58"/>
        <v>0</v>
      </c>
    </row>
    <row r="333" spans="1:19">
      <c r="A333" s="879"/>
      <c r="B333" s="126"/>
      <c r="C333" s="49">
        <f t="shared" si="48"/>
        <v>1</v>
      </c>
      <c r="D333" s="878"/>
      <c r="E333" s="49">
        <f t="shared" si="49"/>
        <v>1</v>
      </c>
      <c r="F333" s="878"/>
      <c r="G333" s="49">
        <f t="shared" si="50"/>
        <v>1</v>
      </c>
      <c r="H333" s="878"/>
      <c r="I333" s="49">
        <f t="shared" si="51"/>
        <v>1</v>
      </c>
      <c r="J333" s="878"/>
      <c r="K333" s="49">
        <f t="shared" si="52"/>
        <v>1</v>
      </c>
      <c r="L333" s="878"/>
      <c r="M333" s="49">
        <f t="shared" si="53"/>
        <v>1</v>
      </c>
      <c r="N333" s="878"/>
      <c r="O333" s="49">
        <f t="shared" si="54"/>
        <v>1</v>
      </c>
      <c r="P333" s="878"/>
      <c r="Q333" s="49">
        <f t="shared" si="55"/>
        <v>1</v>
      </c>
      <c r="R333" s="49">
        <f t="shared" si="56"/>
        <v>0</v>
      </c>
      <c r="S333" s="734">
        <f t="shared" si="58"/>
        <v>0</v>
      </c>
    </row>
    <row r="334" spans="1:19">
      <c r="A334" s="879"/>
      <c r="B334" s="126"/>
      <c r="C334" s="49">
        <f t="shared" si="48"/>
        <v>1</v>
      </c>
      <c r="D334" s="878"/>
      <c r="E334" s="49">
        <f t="shared" si="49"/>
        <v>1</v>
      </c>
      <c r="F334" s="878"/>
      <c r="G334" s="49">
        <f t="shared" si="50"/>
        <v>1</v>
      </c>
      <c r="H334" s="878"/>
      <c r="I334" s="49">
        <f t="shared" si="51"/>
        <v>1</v>
      </c>
      <c r="J334" s="878"/>
      <c r="K334" s="49">
        <f t="shared" si="52"/>
        <v>1</v>
      </c>
      <c r="L334" s="878"/>
      <c r="M334" s="49">
        <f t="shared" si="53"/>
        <v>1</v>
      </c>
      <c r="N334" s="878"/>
      <c r="O334" s="49">
        <f t="shared" si="54"/>
        <v>1</v>
      </c>
      <c r="P334" s="878"/>
      <c r="Q334" s="49">
        <f t="shared" si="55"/>
        <v>1</v>
      </c>
      <c r="R334" s="49">
        <f t="shared" si="56"/>
        <v>0</v>
      </c>
      <c r="S334" s="734">
        <f t="shared" si="58"/>
        <v>0</v>
      </c>
    </row>
    <row r="335" spans="1:19">
      <c r="A335" s="879"/>
      <c r="B335" s="126"/>
      <c r="C335" s="49">
        <f t="shared" si="48"/>
        <v>1</v>
      </c>
      <c r="D335" s="878"/>
      <c r="E335" s="49">
        <f t="shared" si="49"/>
        <v>1</v>
      </c>
      <c r="F335" s="878"/>
      <c r="G335" s="49">
        <f t="shared" si="50"/>
        <v>1</v>
      </c>
      <c r="H335" s="878"/>
      <c r="I335" s="49">
        <f t="shared" si="51"/>
        <v>1</v>
      </c>
      <c r="J335" s="878"/>
      <c r="K335" s="49">
        <f t="shared" si="52"/>
        <v>1</v>
      </c>
      <c r="L335" s="878"/>
      <c r="M335" s="49">
        <f t="shared" si="53"/>
        <v>1</v>
      </c>
      <c r="N335" s="878"/>
      <c r="O335" s="49">
        <f t="shared" si="54"/>
        <v>1</v>
      </c>
      <c r="P335" s="878"/>
      <c r="Q335" s="49">
        <f t="shared" si="55"/>
        <v>1</v>
      </c>
      <c r="R335" s="49">
        <f t="shared" si="56"/>
        <v>0</v>
      </c>
      <c r="S335" s="734">
        <f t="shared" si="58"/>
        <v>0</v>
      </c>
    </row>
    <row r="336" spans="1:19">
      <c r="A336" s="879"/>
      <c r="B336" s="126"/>
      <c r="C336" s="49">
        <f t="shared" si="48"/>
        <v>1</v>
      </c>
      <c r="D336" s="878"/>
      <c r="E336" s="49">
        <f t="shared" si="49"/>
        <v>1</v>
      </c>
      <c r="F336" s="878"/>
      <c r="G336" s="49">
        <f t="shared" si="50"/>
        <v>1</v>
      </c>
      <c r="H336" s="878"/>
      <c r="I336" s="49">
        <f t="shared" si="51"/>
        <v>1</v>
      </c>
      <c r="J336" s="878"/>
      <c r="K336" s="49">
        <f t="shared" si="52"/>
        <v>1</v>
      </c>
      <c r="L336" s="878"/>
      <c r="M336" s="49">
        <f t="shared" si="53"/>
        <v>1</v>
      </c>
      <c r="N336" s="878"/>
      <c r="O336" s="49">
        <f t="shared" si="54"/>
        <v>1</v>
      </c>
      <c r="P336" s="878"/>
      <c r="Q336" s="49">
        <f t="shared" si="55"/>
        <v>1</v>
      </c>
      <c r="R336" s="49">
        <f t="shared" si="56"/>
        <v>0</v>
      </c>
      <c r="S336" s="734">
        <f t="shared" si="58"/>
        <v>0</v>
      </c>
    </row>
    <row r="337" spans="1:19">
      <c r="A337" s="879"/>
      <c r="B337" s="126"/>
      <c r="C337" s="49">
        <f t="shared" si="48"/>
        <v>1</v>
      </c>
      <c r="D337" s="878"/>
      <c r="E337" s="49">
        <f t="shared" si="49"/>
        <v>1</v>
      </c>
      <c r="F337" s="878"/>
      <c r="G337" s="49">
        <f t="shared" si="50"/>
        <v>1</v>
      </c>
      <c r="H337" s="878"/>
      <c r="I337" s="49">
        <f t="shared" si="51"/>
        <v>1</v>
      </c>
      <c r="J337" s="878"/>
      <c r="K337" s="49">
        <f t="shared" si="52"/>
        <v>1</v>
      </c>
      <c r="L337" s="878"/>
      <c r="M337" s="49">
        <f t="shared" si="53"/>
        <v>1</v>
      </c>
      <c r="N337" s="878"/>
      <c r="O337" s="49">
        <f t="shared" si="54"/>
        <v>1</v>
      </c>
      <c r="P337" s="878"/>
      <c r="Q337" s="49">
        <f t="shared" si="55"/>
        <v>1</v>
      </c>
      <c r="R337" s="49">
        <f t="shared" si="56"/>
        <v>0</v>
      </c>
      <c r="S337" s="734">
        <f t="shared" si="58"/>
        <v>0</v>
      </c>
    </row>
    <row r="338" spans="1:19">
      <c r="A338" s="879"/>
      <c r="B338" s="126"/>
      <c r="C338" s="49">
        <f t="shared" si="48"/>
        <v>1</v>
      </c>
      <c r="D338" s="878"/>
      <c r="E338" s="49">
        <f t="shared" si="49"/>
        <v>1</v>
      </c>
      <c r="F338" s="878"/>
      <c r="G338" s="49">
        <f t="shared" si="50"/>
        <v>1</v>
      </c>
      <c r="H338" s="878"/>
      <c r="I338" s="49">
        <f t="shared" si="51"/>
        <v>1</v>
      </c>
      <c r="J338" s="878"/>
      <c r="K338" s="49">
        <f t="shared" si="52"/>
        <v>1</v>
      </c>
      <c r="L338" s="878"/>
      <c r="M338" s="49">
        <f t="shared" si="53"/>
        <v>1</v>
      </c>
      <c r="N338" s="878"/>
      <c r="O338" s="49">
        <f t="shared" si="54"/>
        <v>1</v>
      </c>
      <c r="P338" s="878"/>
      <c r="Q338" s="49">
        <f t="shared" si="55"/>
        <v>1</v>
      </c>
      <c r="R338" s="49">
        <f t="shared" si="56"/>
        <v>0</v>
      </c>
      <c r="S338" s="734">
        <f t="shared" si="58"/>
        <v>0</v>
      </c>
    </row>
    <row r="339" spans="1:19">
      <c r="A339" s="879"/>
      <c r="B339" s="126"/>
      <c r="C339" s="49">
        <f t="shared" si="48"/>
        <v>1</v>
      </c>
      <c r="D339" s="878"/>
      <c r="E339" s="49">
        <f t="shared" si="49"/>
        <v>1</v>
      </c>
      <c r="F339" s="878"/>
      <c r="G339" s="49">
        <f t="shared" si="50"/>
        <v>1</v>
      </c>
      <c r="H339" s="878"/>
      <c r="I339" s="49">
        <f t="shared" si="51"/>
        <v>1</v>
      </c>
      <c r="J339" s="878"/>
      <c r="K339" s="49">
        <f t="shared" si="52"/>
        <v>1</v>
      </c>
      <c r="L339" s="878"/>
      <c r="M339" s="49">
        <f t="shared" si="53"/>
        <v>1</v>
      </c>
      <c r="N339" s="878"/>
      <c r="O339" s="49">
        <f t="shared" si="54"/>
        <v>1</v>
      </c>
      <c r="P339" s="878"/>
      <c r="Q339" s="49">
        <f t="shared" si="55"/>
        <v>1</v>
      </c>
      <c r="R339" s="49">
        <f t="shared" si="56"/>
        <v>0</v>
      </c>
      <c r="S339" s="734">
        <f t="shared" si="58"/>
        <v>0</v>
      </c>
    </row>
    <row r="340" spans="1:19">
      <c r="A340" s="879"/>
      <c r="B340" s="126"/>
      <c r="C340" s="49">
        <f t="shared" si="48"/>
        <v>1</v>
      </c>
      <c r="D340" s="878"/>
      <c r="E340" s="49">
        <f t="shared" si="49"/>
        <v>1</v>
      </c>
      <c r="F340" s="878"/>
      <c r="G340" s="49">
        <f t="shared" si="50"/>
        <v>1</v>
      </c>
      <c r="H340" s="878"/>
      <c r="I340" s="49">
        <f t="shared" si="51"/>
        <v>1</v>
      </c>
      <c r="J340" s="878"/>
      <c r="K340" s="49">
        <f t="shared" si="52"/>
        <v>1</v>
      </c>
      <c r="L340" s="878"/>
      <c r="M340" s="49">
        <f t="shared" si="53"/>
        <v>1</v>
      </c>
      <c r="N340" s="878"/>
      <c r="O340" s="49">
        <f t="shared" si="54"/>
        <v>1</v>
      </c>
      <c r="P340" s="878"/>
      <c r="Q340" s="49">
        <f t="shared" si="55"/>
        <v>1</v>
      </c>
      <c r="R340" s="49">
        <f t="shared" si="56"/>
        <v>0</v>
      </c>
      <c r="S340" s="734">
        <f t="shared" si="58"/>
        <v>0</v>
      </c>
    </row>
    <row r="341" spans="1:19">
      <c r="A341" s="879"/>
      <c r="B341" s="126"/>
      <c r="C341" s="49">
        <f t="shared" si="48"/>
        <v>1</v>
      </c>
      <c r="D341" s="878"/>
      <c r="E341" s="49">
        <f t="shared" si="49"/>
        <v>1</v>
      </c>
      <c r="F341" s="878"/>
      <c r="G341" s="49">
        <f t="shared" si="50"/>
        <v>1</v>
      </c>
      <c r="H341" s="878"/>
      <c r="I341" s="49">
        <f t="shared" si="51"/>
        <v>1</v>
      </c>
      <c r="J341" s="878"/>
      <c r="K341" s="49">
        <f t="shared" si="52"/>
        <v>1</v>
      </c>
      <c r="L341" s="878"/>
      <c r="M341" s="49">
        <f t="shared" si="53"/>
        <v>1</v>
      </c>
      <c r="N341" s="878"/>
      <c r="O341" s="49">
        <f t="shared" si="54"/>
        <v>1</v>
      </c>
      <c r="P341" s="878"/>
      <c r="Q341" s="49">
        <f t="shared" si="55"/>
        <v>1</v>
      </c>
      <c r="R341" s="49">
        <f t="shared" si="56"/>
        <v>0</v>
      </c>
      <c r="S341" s="734">
        <f t="shared" si="58"/>
        <v>0</v>
      </c>
    </row>
    <row r="342" spans="1:19">
      <c r="A342" s="879"/>
      <c r="B342" s="126"/>
      <c r="C342" s="49">
        <f t="shared" si="48"/>
        <v>1</v>
      </c>
      <c r="D342" s="878"/>
      <c r="E342" s="49">
        <f t="shared" si="49"/>
        <v>1</v>
      </c>
      <c r="F342" s="878"/>
      <c r="G342" s="49">
        <f t="shared" si="50"/>
        <v>1</v>
      </c>
      <c r="H342" s="878"/>
      <c r="I342" s="49">
        <f t="shared" si="51"/>
        <v>1</v>
      </c>
      <c r="J342" s="878"/>
      <c r="K342" s="49">
        <f t="shared" si="52"/>
        <v>1</v>
      </c>
      <c r="L342" s="878"/>
      <c r="M342" s="49">
        <f t="shared" si="53"/>
        <v>1</v>
      </c>
      <c r="N342" s="878"/>
      <c r="O342" s="49">
        <f t="shared" si="54"/>
        <v>1</v>
      </c>
      <c r="P342" s="878"/>
      <c r="Q342" s="49">
        <f t="shared" si="55"/>
        <v>1</v>
      </c>
      <c r="R342" s="49">
        <f t="shared" si="56"/>
        <v>0</v>
      </c>
      <c r="S342" s="734">
        <f t="shared" si="58"/>
        <v>0</v>
      </c>
    </row>
    <row r="343" spans="1:19">
      <c r="A343" s="879"/>
      <c r="B343" s="126"/>
      <c r="C343" s="49">
        <f t="shared" si="48"/>
        <v>1</v>
      </c>
      <c r="D343" s="878"/>
      <c r="E343" s="49">
        <f t="shared" si="49"/>
        <v>1</v>
      </c>
      <c r="F343" s="878"/>
      <c r="G343" s="49">
        <f t="shared" si="50"/>
        <v>1</v>
      </c>
      <c r="H343" s="878"/>
      <c r="I343" s="49">
        <f t="shared" si="51"/>
        <v>1</v>
      </c>
      <c r="J343" s="878"/>
      <c r="K343" s="49">
        <f t="shared" si="52"/>
        <v>1</v>
      </c>
      <c r="L343" s="878"/>
      <c r="M343" s="49">
        <f t="shared" si="53"/>
        <v>1</v>
      </c>
      <c r="N343" s="878"/>
      <c r="O343" s="49">
        <f t="shared" si="54"/>
        <v>1</v>
      </c>
      <c r="P343" s="878"/>
      <c r="Q343" s="49">
        <f t="shared" si="55"/>
        <v>1</v>
      </c>
      <c r="R343" s="49">
        <f t="shared" si="56"/>
        <v>0</v>
      </c>
      <c r="S343" s="734">
        <f t="shared" si="58"/>
        <v>0</v>
      </c>
    </row>
    <row r="344" spans="1:19">
      <c r="A344" s="879"/>
      <c r="B344" s="126"/>
      <c r="C344" s="49">
        <f t="shared" si="48"/>
        <v>1</v>
      </c>
      <c r="D344" s="878"/>
      <c r="E344" s="49">
        <f t="shared" si="49"/>
        <v>1</v>
      </c>
      <c r="F344" s="878"/>
      <c r="G344" s="49">
        <f t="shared" si="50"/>
        <v>1</v>
      </c>
      <c r="H344" s="878"/>
      <c r="I344" s="49">
        <f t="shared" si="51"/>
        <v>1</v>
      </c>
      <c r="J344" s="878"/>
      <c r="K344" s="49">
        <f t="shared" si="52"/>
        <v>1</v>
      </c>
      <c r="L344" s="878"/>
      <c r="M344" s="49">
        <f t="shared" si="53"/>
        <v>1</v>
      </c>
      <c r="N344" s="878"/>
      <c r="O344" s="49">
        <f t="shared" si="54"/>
        <v>1</v>
      </c>
      <c r="P344" s="878"/>
      <c r="Q344" s="49">
        <f t="shared" si="55"/>
        <v>1</v>
      </c>
      <c r="R344" s="49">
        <f t="shared" si="56"/>
        <v>0</v>
      </c>
      <c r="S344" s="734">
        <f t="shared" si="58"/>
        <v>0</v>
      </c>
    </row>
    <row r="345" spans="1:19">
      <c r="A345" s="879"/>
      <c r="B345" s="126"/>
      <c r="C345" s="49">
        <f t="shared" si="48"/>
        <v>1</v>
      </c>
      <c r="D345" s="878"/>
      <c r="E345" s="49">
        <f t="shared" si="49"/>
        <v>1</v>
      </c>
      <c r="F345" s="878"/>
      <c r="G345" s="49">
        <f t="shared" si="50"/>
        <v>1</v>
      </c>
      <c r="H345" s="878"/>
      <c r="I345" s="49">
        <f t="shared" si="51"/>
        <v>1</v>
      </c>
      <c r="J345" s="878"/>
      <c r="K345" s="49">
        <f t="shared" si="52"/>
        <v>1</v>
      </c>
      <c r="L345" s="878"/>
      <c r="M345" s="49">
        <f t="shared" si="53"/>
        <v>1</v>
      </c>
      <c r="N345" s="878"/>
      <c r="O345" s="49">
        <f t="shared" si="54"/>
        <v>1</v>
      </c>
      <c r="P345" s="878"/>
      <c r="Q345" s="49">
        <f t="shared" si="55"/>
        <v>1</v>
      </c>
      <c r="R345" s="49">
        <f t="shared" si="56"/>
        <v>0</v>
      </c>
      <c r="S345" s="734">
        <f t="shared" si="58"/>
        <v>0</v>
      </c>
    </row>
    <row r="346" spans="1:19">
      <c r="A346" s="879"/>
      <c r="B346" s="126"/>
      <c r="C346" s="49">
        <f t="shared" ref="C346:C409" si="59">IF(B346="",1,(LOOKUP(B346,$3:$3,$4:$4)-LOOKUP($B$24,$3:$3,$4:$4)+100)/100)</f>
        <v>1</v>
      </c>
      <c r="D346" s="878"/>
      <c r="E346" s="49">
        <f t="shared" ref="E346:E409" si="60">(SUMIF($5:$5,D346,$6:$6)-SUMIF($5:$5,$D$24,$6:$6)+100)/100</f>
        <v>1</v>
      </c>
      <c r="F346" s="878"/>
      <c r="G346" s="49">
        <f t="shared" ref="G346:G409" si="61">(SUMIF($7:$7,F346,$8:$8)-SUMIF($7:$7,$F$24,$8:$8)+100)/100</f>
        <v>1</v>
      </c>
      <c r="H346" s="878"/>
      <c r="I346" s="49">
        <f t="shared" ref="I346:I409" si="62">(SUMIF($9:$9,H346,$10:$10)-SUMIF($9:$9,$H$24,$10:$10)+100)/100</f>
        <v>1</v>
      </c>
      <c r="J346" s="878"/>
      <c r="K346" s="49">
        <f t="shared" ref="K346:K409" si="63">(SUMIF($11:$11,J346,$12:$12)-SUMIF($11:$11,$J$24,$12:$12)+100)/100</f>
        <v>1</v>
      </c>
      <c r="L346" s="878"/>
      <c r="M346" s="49">
        <f t="shared" ref="M346:M409" si="64">(SUMIF($13:$13,L346,$14:$14)-SUMIF($13:$13,$L$24,$14:$14)+100)/100</f>
        <v>1</v>
      </c>
      <c r="N346" s="878"/>
      <c r="O346" s="49">
        <f t="shared" ref="O346:O409" si="65">(SUMIF($15:$15,N346,$16:$16)-SUMIF($15:$15,$N$24,$16:$16)+100)/100</f>
        <v>1</v>
      </c>
      <c r="P346" s="878"/>
      <c r="Q346" s="49">
        <f t="shared" ref="Q346:Q409" si="66">(SUMIF($17:$17,P346,$18:$18)-SUMIF($17:$17,$P$24,$18:$18)+100)/100</f>
        <v>1</v>
      </c>
      <c r="R346" s="49">
        <f t="shared" ref="R346:R409" si="67">IF(B346="",0,ROUND($R$24*C346*E346*G346*I346*K346*M346*O346*Q346,0))</f>
        <v>0</v>
      </c>
      <c r="S346" s="734">
        <f t="shared" si="58"/>
        <v>0</v>
      </c>
    </row>
    <row r="347" spans="1:19">
      <c r="A347" s="879"/>
      <c r="B347" s="126"/>
      <c r="C347" s="49">
        <f t="shared" si="59"/>
        <v>1</v>
      </c>
      <c r="D347" s="878"/>
      <c r="E347" s="49">
        <f t="shared" si="60"/>
        <v>1</v>
      </c>
      <c r="F347" s="878"/>
      <c r="G347" s="49">
        <f t="shared" si="61"/>
        <v>1</v>
      </c>
      <c r="H347" s="878"/>
      <c r="I347" s="49">
        <f t="shared" si="62"/>
        <v>1</v>
      </c>
      <c r="J347" s="878"/>
      <c r="K347" s="49">
        <f t="shared" si="63"/>
        <v>1</v>
      </c>
      <c r="L347" s="878"/>
      <c r="M347" s="49">
        <f t="shared" si="64"/>
        <v>1</v>
      </c>
      <c r="N347" s="878"/>
      <c r="O347" s="49">
        <f t="shared" si="65"/>
        <v>1</v>
      </c>
      <c r="P347" s="878"/>
      <c r="Q347" s="49">
        <f t="shared" si="66"/>
        <v>1</v>
      </c>
      <c r="R347" s="49">
        <f t="shared" si="67"/>
        <v>0</v>
      </c>
      <c r="S347" s="734">
        <f t="shared" si="58"/>
        <v>0</v>
      </c>
    </row>
    <row r="348" spans="1:19">
      <c r="A348" s="879"/>
      <c r="B348" s="126"/>
      <c r="C348" s="49">
        <f t="shared" si="59"/>
        <v>1</v>
      </c>
      <c r="D348" s="878"/>
      <c r="E348" s="49">
        <f t="shared" si="60"/>
        <v>1</v>
      </c>
      <c r="F348" s="878"/>
      <c r="G348" s="49">
        <f t="shared" si="61"/>
        <v>1</v>
      </c>
      <c r="H348" s="878"/>
      <c r="I348" s="49">
        <f t="shared" si="62"/>
        <v>1</v>
      </c>
      <c r="J348" s="878"/>
      <c r="K348" s="49">
        <f t="shared" si="63"/>
        <v>1</v>
      </c>
      <c r="L348" s="878"/>
      <c r="M348" s="49">
        <f t="shared" si="64"/>
        <v>1</v>
      </c>
      <c r="N348" s="878"/>
      <c r="O348" s="49">
        <f t="shared" si="65"/>
        <v>1</v>
      </c>
      <c r="P348" s="878"/>
      <c r="Q348" s="49">
        <f t="shared" si="66"/>
        <v>1</v>
      </c>
      <c r="R348" s="49">
        <f t="shared" si="67"/>
        <v>0</v>
      </c>
      <c r="S348" s="734">
        <f t="shared" si="58"/>
        <v>0</v>
      </c>
    </row>
    <row r="349" spans="1:19">
      <c r="A349" s="879"/>
      <c r="B349" s="126"/>
      <c r="C349" s="49">
        <f t="shared" si="59"/>
        <v>1</v>
      </c>
      <c r="D349" s="878"/>
      <c r="E349" s="49">
        <f t="shared" si="60"/>
        <v>1</v>
      </c>
      <c r="F349" s="878"/>
      <c r="G349" s="49">
        <f t="shared" si="61"/>
        <v>1</v>
      </c>
      <c r="H349" s="878"/>
      <c r="I349" s="49">
        <f t="shared" si="62"/>
        <v>1</v>
      </c>
      <c r="J349" s="878"/>
      <c r="K349" s="49">
        <f t="shared" si="63"/>
        <v>1</v>
      </c>
      <c r="L349" s="878"/>
      <c r="M349" s="49">
        <f t="shared" si="64"/>
        <v>1</v>
      </c>
      <c r="N349" s="878"/>
      <c r="O349" s="49">
        <f t="shared" si="65"/>
        <v>1</v>
      </c>
      <c r="P349" s="878"/>
      <c r="Q349" s="49">
        <f t="shared" si="66"/>
        <v>1</v>
      </c>
      <c r="R349" s="49">
        <f t="shared" si="67"/>
        <v>0</v>
      </c>
      <c r="S349" s="734">
        <f t="shared" si="58"/>
        <v>0</v>
      </c>
    </row>
    <row r="350" spans="1:19">
      <c r="A350" s="879"/>
      <c r="B350" s="126"/>
      <c r="C350" s="49">
        <f t="shared" si="59"/>
        <v>1</v>
      </c>
      <c r="D350" s="878"/>
      <c r="E350" s="49">
        <f t="shared" si="60"/>
        <v>1</v>
      </c>
      <c r="F350" s="878"/>
      <c r="G350" s="49">
        <f t="shared" si="61"/>
        <v>1</v>
      </c>
      <c r="H350" s="878"/>
      <c r="I350" s="49">
        <f t="shared" si="62"/>
        <v>1</v>
      </c>
      <c r="J350" s="878"/>
      <c r="K350" s="49">
        <f t="shared" si="63"/>
        <v>1</v>
      </c>
      <c r="L350" s="878"/>
      <c r="M350" s="49">
        <f t="shared" si="64"/>
        <v>1</v>
      </c>
      <c r="N350" s="878"/>
      <c r="O350" s="49">
        <f t="shared" si="65"/>
        <v>1</v>
      </c>
      <c r="P350" s="878"/>
      <c r="Q350" s="49">
        <f t="shared" si="66"/>
        <v>1</v>
      </c>
      <c r="R350" s="49">
        <f t="shared" si="67"/>
        <v>0</v>
      </c>
      <c r="S350" s="734">
        <f t="shared" si="58"/>
        <v>0</v>
      </c>
    </row>
    <row r="351" spans="1:19">
      <c r="A351" s="879"/>
      <c r="B351" s="126"/>
      <c r="C351" s="49">
        <f t="shared" si="59"/>
        <v>1</v>
      </c>
      <c r="D351" s="878"/>
      <c r="E351" s="49">
        <f t="shared" si="60"/>
        <v>1</v>
      </c>
      <c r="F351" s="878"/>
      <c r="G351" s="49">
        <f t="shared" si="61"/>
        <v>1</v>
      </c>
      <c r="H351" s="878"/>
      <c r="I351" s="49">
        <f t="shared" si="62"/>
        <v>1</v>
      </c>
      <c r="J351" s="878"/>
      <c r="K351" s="49">
        <f t="shared" si="63"/>
        <v>1</v>
      </c>
      <c r="L351" s="878"/>
      <c r="M351" s="49">
        <f t="shared" si="64"/>
        <v>1</v>
      </c>
      <c r="N351" s="878"/>
      <c r="O351" s="49">
        <f t="shared" si="65"/>
        <v>1</v>
      </c>
      <c r="P351" s="878"/>
      <c r="Q351" s="49">
        <f t="shared" si="66"/>
        <v>1</v>
      </c>
      <c r="R351" s="49">
        <f t="shared" si="67"/>
        <v>0</v>
      </c>
      <c r="S351" s="734">
        <f t="shared" si="58"/>
        <v>0</v>
      </c>
    </row>
    <row r="352" spans="1:19">
      <c r="A352" s="879"/>
      <c r="B352" s="126"/>
      <c r="C352" s="49">
        <f t="shared" si="59"/>
        <v>1</v>
      </c>
      <c r="D352" s="878"/>
      <c r="E352" s="49">
        <f t="shared" si="60"/>
        <v>1</v>
      </c>
      <c r="F352" s="878"/>
      <c r="G352" s="49">
        <f t="shared" si="61"/>
        <v>1</v>
      </c>
      <c r="H352" s="878"/>
      <c r="I352" s="49">
        <f t="shared" si="62"/>
        <v>1</v>
      </c>
      <c r="J352" s="878"/>
      <c r="K352" s="49">
        <f t="shared" si="63"/>
        <v>1</v>
      </c>
      <c r="L352" s="878"/>
      <c r="M352" s="49">
        <f t="shared" si="64"/>
        <v>1</v>
      </c>
      <c r="N352" s="878"/>
      <c r="O352" s="49">
        <f t="shared" si="65"/>
        <v>1</v>
      </c>
      <c r="P352" s="878"/>
      <c r="Q352" s="49">
        <f t="shared" si="66"/>
        <v>1</v>
      </c>
      <c r="R352" s="49">
        <f t="shared" si="67"/>
        <v>0</v>
      </c>
      <c r="S352" s="734">
        <f t="shared" si="58"/>
        <v>0</v>
      </c>
    </row>
    <row r="353" spans="1:19">
      <c r="A353" s="879"/>
      <c r="B353" s="126"/>
      <c r="C353" s="49">
        <f t="shared" si="59"/>
        <v>1</v>
      </c>
      <c r="D353" s="878"/>
      <c r="E353" s="49">
        <f t="shared" si="60"/>
        <v>1</v>
      </c>
      <c r="F353" s="878"/>
      <c r="G353" s="49">
        <f t="shared" si="61"/>
        <v>1</v>
      </c>
      <c r="H353" s="878"/>
      <c r="I353" s="49">
        <f t="shared" si="62"/>
        <v>1</v>
      </c>
      <c r="J353" s="878"/>
      <c r="K353" s="49">
        <f t="shared" si="63"/>
        <v>1</v>
      </c>
      <c r="L353" s="878"/>
      <c r="M353" s="49">
        <f t="shared" si="64"/>
        <v>1</v>
      </c>
      <c r="N353" s="878"/>
      <c r="O353" s="49">
        <f t="shared" si="65"/>
        <v>1</v>
      </c>
      <c r="P353" s="878"/>
      <c r="Q353" s="49">
        <f t="shared" si="66"/>
        <v>1</v>
      </c>
      <c r="R353" s="49">
        <f t="shared" si="67"/>
        <v>0</v>
      </c>
      <c r="S353" s="734">
        <f t="shared" si="58"/>
        <v>0</v>
      </c>
    </row>
    <row r="354" spans="1:19">
      <c r="A354" s="879"/>
      <c r="B354" s="126"/>
      <c r="C354" s="49">
        <f t="shared" si="59"/>
        <v>1</v>
      </c>
      <c r="D354" s="878"/>
      <c r="E354" s="49">
        <f t="shared" si="60"/>
        <v>1</v>
      </c>
      <c r="F354" s="878"/>
      <c r="G354" s="49">
        <f t="shared" si="61"/>
        <v>1</v>
      </c>
      <c r="H354" s="878"/>
      <c r="I354" s="49">
        <f t="shared" si="62"/>
        <v>1</v>
      </c>
      <c r="J354" s="878"/>
      <c r="K354" s="49">
        <f t="shared" si="63"/>
        <v>1</v>
      </c>
      <c r="L354" s="878"/>
      <c r="M354" s="49">
        <f t="shared" si="64"/>
        <v>1</v>
      </c>
      <c r="N354" s="878"/>
      <c r="O354" s="49">
        <f t="shared" si="65"/>
        <v>1</v>
      </c>
      <c r="P354" s="878"/>
      <c r="Q354" s="49">
        <f t="shared" si="66"/>
        <v>1</v>
      </c>
      <c r="R354" s="49">
        <f t="shared" si="67"/>
        <v>0</v>
      </c>
      <c r="S354" s="734">
        <f t="shared" si="58"/>
        <v>0</v>
      </c>
    </row>
    <row r="355" spans="1:19">
      <c r="A355" s="879"/>
      <c r="B355" s="126"/>
      <c r="C355" s="49">
        <f t="shared" si="59"/>
        <v>1</v>
      </c>
      <c r="D355" s="878"/>
      <c r="E355" s="49">
        <f t="shared" si="60"/>
        <v>1</v>
      </c>
      <c r="F355" s="878"/>
      <c r="G355" s="49">
        <f t="shared" si="61"/>
        <v>1</v>
      </c>
      <c r="H355" s="878"/>
      <c r="I355" s="49">
        <f t="shared" si="62"/>
        <v>1</v>
      </c>
      <c r="J355" s="878"/>
      <c r="K355" s="49">
        <f t="shared" si="63"/>
        <v>1</v>
      </c>
      <c r="L355" s="878"/>
      <c r="M355" s="49">
        <f t="shared" si="64"/>
        <v>1</v>
      </c>
      <c r="N355" s="878"/>
      <c r="O355" s="49">
        <f t="shared" si="65"/>
        <v>1</v>
      </c>
      <c r="P355" s="878"/>
      <c r="Q355" s="49">
        <f t="shared" si="66"/>
        <v>1</v>
      </c>
      <c r="R355" s="49">
        <f t="shared" si="67"/>
        <v>0</v>
      </c>
      <c r="S355" s="734">
        <f t="shared" si="58"/>
        <v>0</v>
      </c>
    </row>
    <row r="356" spans="1:19">
      <c r="A356" s="879"/>
      <c r="B356" s="126"/>
      <c r="C356" s="49">
        <f t="shared" si="59"/>
        <v>1</v>
      </c>
      <c r="D356" s="878"/>
      <c r="E356" s="49">
        <f t="shared" si="60"/>
        <v>1</v>
      </c>
      <c r="F356" s="878"/>
      <c r="G356" s="49">
        <f t="shared" si="61"/>
        <v>1</v>
      </c>
      <c r="H356" s="878"/>
      <c r="I356" s="49">
        <f t="shared" si="62"/>
        <v>1</v>
      </c>
      <c r="J356" s="878"/>
      <c r="K356" s="49">
        <f t="shared" si="63"/>
        <v>1</v>
      </c>
      <c r="L356" s="878"/>
      <c r="M356" s="49">
        <f t="shared" si="64"/>
        <v>1</v>
      </c>
      <c r="N356" s="878"/>
      <c r="O356" s="49">
        <f t="shared" si="65"/>
        <v>1</v>
      </c>
      <c r="P356" s="878"/>
      <c r="Q356" s="49">
        <f t="shared" si="66"/>
        <v>1</v>
      </c>
      <c r="R356" s="49">
        <f t="shared" si="67"/>
        <v>0</v>
      </c>
      <c r="S356" s="734">
        <f t="shared" si="58"/>
        <v>0</v>
      </c>
    </row>
    <row r="357" spans="1:19">
      <c r="A357" s="879"/>
      <c r="B357" s="126"/>
      <c r="C357" s="49">
        <f t="shared" si="59"/>
        <v>1</v>
      </c>
      <c r="D357" s="878"/>
      <c r="E357" s="49">
        <f t="shared" si="60"/>
        <v>1</v>
      </c>
      <c r="F357" s="878"/>
      <c r="G357" s="49">
        <f t="shared" si="61"/>
        <v>1</v>
      </c>
      <c r="H357" s="878"/>
      <c r="I357" s="49">
        <f t="shared" si="62"/>
        <v>1</v>
      </c>
      <c r="J357" s="878"/>
      <c r="K357" s="49">
        <f t="shared" si="63"/>
        <v>1</v>
      </c>
      <c r="L357" s="878"/>
      <c r="M357" s="49">
        <f t="shared" si="64"/>
        <v>1</v>
      </c>
      <c r="N357" s="878"/>
      <c r="O357" s="49">
        <f t="shared" si="65"/>
        <v>1</v>
      </c>
      <c r="P357" s="878"/>
      <c r="Q357" s="49">
        <f t="shared" si="66"/>
        <v>1</v>
      </c>
      <c r="R357" s="49">
        <f t="shared" si="67"/>
        <v>0</v>
      </c>
      <c r="S357" s="734">
        <f t="shared" si="58"/>
        <v>0</v>
      </c>
    </row>
    <row r="358" spans="1:19">
      <c r="A358" s="879"/>
      <c r="B358" s="126"/>
      <c r="C358" s="49">
        <f t="shared" si="59"/>
        <v>1</v>
      </c>
      <c r="D358" s="878"/>
      <c r="E358" s="49">
        <f t="shared" si="60"/>
        <v>1</v>
      </c>
      <c r="F358" s="878"/>
      <c r="G358" s="49">
        <f t="shared" si="61"/>
        <v>1</v>
      </c>
      <c r="H358" s="878"/>
      <c r="I358" s="49">
        <f t="shared" si="62"/>
        <v>1</v>
      </c>
      <c r="J358" s="878"/>
      <c r="K358" s="49">
        <f t="shared" si="63"/>
        <v>1</v>
      </c>
      <c r="L358" s="878"/>
      <c r="M358" s="49">
        <f t="shared" si="64"/>
        <v>1</v>
      </c>
      <c r="N358" s="878"/>
      <c r="O358" s="49">
        <f t="shared" si="65"/>
        <v>1</v>
      </c>
      <c r="P358" s="878"/>
      <c r="Q358" s="49">
        <f t="shared" si="66"/>
        <v>1</v>
      </c>
      <c r="R358" s="49">
        <f t="shared" si="67"/>
        <v>0</v>
      </c>
      <c r="S358" s="734">
        <f t="shared" si="58"/>
        <v>0</v>
      </c>
    </row>
    <row r="359" spans="1:19">
      <c r="A359" s="879"/>
      <c r="B359" s="126"/>
      <c r="C359" s="49">
        <f t="shared" si="59"/>
        <v>1</v>
      </c>
      <c r="D359" s="878"/>
      <c r="E359" s="49">
        <f t="shared" si="60"/>
        <v>1</v>
      </c>
      <c r="F359" s="878"/>
      <c r="G359" s="49">
        <f t="shared" si="61"/>
        <v>1</v>
      </c>
      <c r="H359" s="878"/>
      <c r="I359" s="49">
        <f t="shared" si="62"/>
        <v>1</v>
      </c>
      <c r="J359" s="878"/>
      <c r="K359" s="49">
        <f t="shared" si="63"/>
        <v>1</v>
      </c>
      <c r="L359" s="878"/>
      <c r="M359" s="49">
        <f t="shared" si="64"/>
        <v>1</v>
      </c>
      <c r="N359" s="878"/>
      <c r="O359" s="49">
        <f t="shared" si="65"/>
        <v>1</v>
      </c>
      <c r="P359" s="878"/>
      <c r="Q359" s="49">
        <f t="shared" si="66"/>
        <v>1</v>
      </c>
      <c r="R359" s="49">
        <f t="shared" si="67"/>
        <v>0</v>
      </c>
      <c r="S359" s="734">
        <f t="shared" si="58"/>
        <v>0</v>
      </c>
    </row>
    <row r="360" spans="1:19">
      <c r="A360" s="879"/>
      <c r="B360" s="126"/>
      <c r="C360" s="49">
        <f t="shared" si="59"/>
        <v>1</v>
      </c>
      <c r="D360" s="878"/>
      <c r="E360" s="49">
        <f t="shared" si="60"/>
        <v>1</v>
      </c>
      <c r="F360" s="878"/>
      <c r="G360" s="49">
        <f t="shared" si="61"/>
        <v>1</v>
      </c>
      <c r="H360" s="878"/>
      <c r="I360" s="49">
        <f t="shared" si="62"/>
        <v>1</v>
      </c>
      <c r="J360" s="878"/>
      <c r="K360" s="49">
        <f t="shared" si="63"/>
        <v>1</v>
      </c>
      <c r="L360" s="878"/>
      <c r="M360" s="49">
        <f t="shared" si="64"/>
        <v>1</v>
      </c>
      <c r="N360" s="878"/>
      <c r="O360" s="49">
        <f t="shared" si="65"/>
        <v>1</v>
      </c>
      <c r="P360" s="878"/>
      <c r="Q360" s="49">
        <f t="shared" si="66"/>
        <v>1</v>
      </c>
      <c r="R360" s="49">
        <f t="shared" si="67"/>
        <v>0</v>
      </c>
      <c r="S360" s="734">
        <f t="shared" si="58"/>
        <v>0</v>
      </c>
    </row>
    <row r="361" spans="1:19">
      <c r="A361" s="879"/>
      <c r="B361" s="126"/>
      <c r="C361" s="49">
        <f t="shared" si="59"/>
        <v>1</v>
      </c>
      <c r="D361" s="878"/>
      <c r="E361" s="49">
        <f t="shared" si="60"/>
        <v>1</v>
      </c>
      <c r="F361" s="878"/>
      <c r="G361" s="49">
        <f t="shared" si="61"/>
        <v>1</v>
      </c>
      <c r="H361" s="878"/>
      <c r="I361" s="49">
        <f t="shared" si="62"/>
        <v>1</v>
      </c>
      <c r="J361" s="878"/>
      <c r="K361" s="49">
        <f t="shared" si="63"/>
        <v>1</v>
      </c>
      <c r="L361" s="878"/>
      <c r="M361" s="49">
        <f t="shared" si="64"/>
        <v>1</v>
      </c>
      <c r="N361" s="878"/>
      <c r="O361" s="49">
        <f t="shared" si="65"/>
        <v>1</v>
      </c>
      <c r="P361" s="878"/>
      <c r="Q361" s="49">
        <f t="shared" si="66"/>
        <v>1</v>
      </c>
      <c r="R361" s="49">
        <f t="shared" si="67"/>
        <v>0</v>
      </c>
      <c r="S361" s="734">
        <f t="shared" si="58"/>
        <v>0</v>
      </c>
    </row>
    <row r="362" spans="1:19">
      <c r="A362" s="879"/>
      <c r="B362" s="126"/>
      <c r="C362" s="49">
        <f t="shared" si="59"/>
        <v>1</v>
      </c>
      <c r="D362" s="878"/>
      <c r="E362" s="49">
        <f t="shared" si="60"/>
        <v>1</v>
      </c>
      <c r="F362" s="878"/>
      <c r="G362" s="49">
        <f t="shared" si="61"/>
        <v>1</v>
      </c>
      <c r="H362" s="878"/>
      <c r="I362" s="49">
        <f t="shared" si="62"/>
        <v>1</v>
      </c>
      <c r="J362" s="878"/>
      <c r="K362" s="49">
        <f t="shared" si="63"/>
        <v>1</v>
      </c>
      <c r="L362" s="878"/>
      <c r="M362" s="49">
        <f t="shared" si="64"/>
        <v>1</v>
      </c>
      <c r="N362" s="878"/>
      <c r="O362" s="49">
        <f t="shared" si="65"/>
        <v>1</v>
      </c>
      <c r="P362" s="878"/>
      <c r="Q362" s="49">
        <f t="shared" si="66"/>
        <v>1</v>
      </c>
      <c r="R362" s="49">
        <f t="shared" si="67"/>
        <v>0</v>
      </c>
      <c r="S362" s="734">
        <f t="shared" si="58"/>
        <v>0</v>
      </c>
    </row>
    <row r="363" spans="1:19">
      <c r="A363" s="879"/>
      <c r="B363" s="126"/>
      <c r="C363" s="49">
        <f t="shared" si="59"/>
        <v>1</v>
      </c>
      <c r="D363" s="878"/>
      <c r="E363" s="49">
        <f t="shared" si="60"/>
        <v>1</v>
      </c>
      <c r="F363" s="878"/>
      <c r="G363" s="49">
        <f t="shared" si="61"/>
        <v>1</v>
      </c>
      <c r="H363" s="878"/>
      <c r="I363" s="49">
        <f t="shared" si="62"/>
        <v>1</v>
      </c>
      <c r="J363" s="878"/>
      <c r="K363" s="49">
        <f t="shared" si="63"/>
        <v>1</v>
      </c>
      <c r="L363" s="878"/>
      <c r="M363" s="49">
        <f t="shared" si="64"/>
        <v>1</v>
      </c>
      <c r="N363" s="878"/>
      <c r="O363" s="49">
        <f t="shared" si="65"/>
        <v>1</v>
      </c>
      <c r="P363" s="878"/>
      <c r="Q363" s="49">
        <f t="shared" si="66"/>
        <v>1</v>
      </c>
      <c r="R363" s="49">
        <f t="shared" si="67"/>
        <v>0</v>
      </c>
      <c r="S363" s="734">
        <f t="shared" si="58"/>
        <v>0</v>
      </c>
    </row>
    <row r="364" spans="1:19">
      <c r="A364" s="879"/>
      <c r="B364" s="126"/>
      <c r="C364" s="49">
        <f t="shared" si="59"/>
        <v>1</v>
      </c>
      <c r="D364" s="878"/>
      <c r="E364" s="49">
        <f t="shared" si="60"/>
        <v>1</v>
      </c>
      <c r="F364" s="878"/>
      <c r="G364" s="49">
        <f t="shared" si="61"/>
        <v>1</v>
      </c>
      <c r="H364" s="878"/>
      <c r="I364" s="49">
        <f t="shared" si="62"/>
        <v>1</v>
      </c>
      <c r="J364" s="878"/>
      <c r="K364" s="49">
        <f t="shared" si="63"/>
        <v>1</v>
      </c>
      <c r="L364" s="878"/>
      <c r="M364" s="49">
        <f t="shared" si="64"/>
        <v>1</v>
      </c>
      <c r="N364" s="878"/>
      <c r="O364" s="49">
        <f t="shared" si="65"/>
        <v>1</v>
      </c>
      <c r="P364" s="878"/>
      <c r="Q364" s="49">
        <f t="shared" si="66"/>
        <v>1</v>
      </c>
      <c r="R364" s="49">
        <f t="shared" si="67"/>
        <v>0</v>
      </c>
      <c r="S364" s="734">
        <f t="shared" si="58"/>
        <v>0</v>
      </c>
    </row>
    <row r="365" spans="1:19">
      <c r="A365" s="879"/>
      <c r="B365" s="126"/>
      <c r="C365" s="49">
        <f t="shared" si="59"/>
        <v>1</v>
      </c>
      <c r="D365" s="878"/>
      <c r="E365" s="49">
        <f t="shared" si="60"/>
        <v>1</v>
      </c>
      <c r="F365" s="878"/>
      <c r="G365" s="49">
        <f t="shared" si="61"/>
        <v>1</v>
      </c>
      <c r="H365" s="878"/>
      <c r="I365" s="49">
        <f t="shared" si="62"/>
        <v>1</v>
      </c>
      <c r="J365" s="878"/>
      <c r="K365" s="49">
        <f t="shared" si="63"/>
        <v>1</v>
      </c>
      <c r="L365" s="878"/>
      <c r="M365" s="49">
        <f t="shared" si="64"/>
        <v>1</v>
      </c>
      <c r="N365" s="878"/>
      <c r="O365" s="49">
        <f t="shared" si="65"/>
        <v>1</v>
      </c>
      <c r="P365" s="878"/>
      <c r="Q365" s="49">
        <f t="shared" si="66"/>
        <v>1</v>
      </c>
      <c r="R365" s="49">
        <f t="shared" si="67"/>
        <v>0</v>
      </c>
      <c r="S365" s="734">
        <f t="shared" si="58"/>
        <v>0</v>
      </c>
    </row>
    <row r="366" spans="1:19">
      <c r="A366" s="879"/>
      <c r="B366" s="126"/>
      <c r="C366" s="49">
        <f t="shared" si="59"/>
        <v>1</v>
      </c>
      <c r="D366" s="878"/>
      <c r="E366" s="49">
        <f t="shared" si="60"/>
        <v>1</v>
      </c>
      <c r="F366" s="878"/>
      <c r="G366" s="49">
        <f t="shared" si="61"/>
        <v>1</v>
      </c>
      <c r="H366" s="878"/>
      <c r="I366" s="49">
        <f t="shared" si="62"/>
        <v>1</v>
      </c>
      <c r="J366" s="878"/>
      <c r="K366" s="49">
        <f t="shared" si="63"/>
        <v>1</v>
      </c>
      <c r="L366" s="878"/>
      <c r="M366" s="49">
        <f t="shared" si="64"/>
        <v>1</v>
      </c>
      <c r="N366" s="878"/>
      <c r="O366" s="49">
        <f t="shared" si="65"/>
        <v>1</v>
      </c>
      <c r="P366" s="878"/>
      <c r="Q366" s="49">
        <f t="shared" si="66"/>
        <v>1</v>
      </c>
      <c r="R366" s="49">
        <f t="shared" si="67"/>
        <v>0</v>
      </c>
      <c r="S366" s="734">
        <f t="shared" si="58"/>
        <v>0</v>
      </c>
    </row>
    <row r="367" spans="1:19">
      <c r="A367" s="879"/>
      <c r="B367" s="126"/>
      <c r="C367" s="49">
        <f t="shared" si="59"/>
        <v>1</v>
      </c>
      <c r="D367" s="878"/>
      <c r="E367" s="49">
        <f t="shared" si="60"/>
        <v>1</v>
      </c>
      <c r="F367" s="878"/>
      <c r="G367" s="49">
        <f t="shared" si="61"/>
        <v>1</v>
      </c>
      <c r="H367" s="878"/>
      <c r="I367" s="49">
        <f t="shared" si="62"/>
        <v>1</v>
      </c>
      <c r="J367" s="878"/>
      <c r="K367" s="49">
        <f t="shared" si="63"/>
        <v>1</v>
      </c>
      <c r="L367" s="878"/>
      <c r="M367" s="49">
        <f t="shared" si="64"/>
        <v>1</v>
      </c>
      <c r="N367" s="878"/>
      <c r="O367" s="49">
        <f t="shared" si="65"/>
        <v>1</v>
      </c>
      <c r="P367" s="878"/>
      <c r="Q367" s="49">
        <f t="shared" si="66"/>
        <v>1</v>
      </c>
      <c r="R367" s="49">
        <f t="shared" si="67"/>
        <v>0</v>
      </c>
      <c r="S367" s="734">
        <f t="shared" si="58"/>
        <v>0</v>
      </c>
    </row>
    <row r="368" spans="1:19">
      <c r="A368" s="879"/>
      <c r="B368" s="126"/>
      <c r="C368" s="49">
        <f t="shared" si="59"/>
        <v>1</v>
      </c>
      <c r="D368" s="878"/>
      <c r="E368" s="49">
        <f t="shared" si="60"/>
        <v>1</v>
      </c>
      <c r="F368" s="878"/>
      <c r="G368" s="49">
        <f t="shared" si="61"/>
        <v>1</v>
      </c>
      <c r="H368" s="878"/>
      <c r="I368" s="49">
        <f t="shared" si="62"/>
        <v>1</v>
      </c>
      <c r="J368" s="878"/>
      <c r="K368" s="49">
        <f t="shared" si="63"/>
        <v>1</v>
      </c>
      <c r="L368" s="878"/>
      <c r="M368" s="49">
        <f t="shared" si="64"/>
        <v>1</v>
      </c>
      <c r="N368" s="878"/>
      <c r="O368" s="49">
        <f t="shared" si="65"/>
        <v>1</v>
      </c>
      <c r="P368" s="878"/>
      <c r="Q368" s="49">
        <f t="shared" si="66"/>
        <v>1</v>
      </c>
      <c r="R368" s="49">
        <f t="shared" si="67"/>
        <v>0</v>
      </c>
      <c r="S368" s="734">
        <f t="shared" si="58"/>
        <v>0</v>
      </c>
    </row>
    <row r="369" spans="1:19">
      <c r="A369" s="879"/>
      <c r="B369" s="126"/>
      <c r="C369" s="49">
        <f t="shared" si="59"/>
        <v>1</v>
      </c>
      <c r="D369" s="878"/>
      <c r="E369" s="49">
        <f t="shared" si="60"/>
        <v>1</v>
      </c>
      <c r="F369" s="878"/>
      <c r="G369" s="49">
        <f t="shared" si="61"/>
        <v>1</v>
      </c>
      <c r="H369" s="878"/>
      <c r="I369" s="49">
        <f t="shared" si="62"/>
        <v>1</v>
      </c>
      <c r="J369" s="878"/>
      <c r="K369" s="49">
        <f t="shared" si="63"/>
        <v>1</v>
      </c>
      <c r="L369" s="878"/>
      <c r="M369" s="49">
        <f t="shared" si="64"/>
        <v>1</v>
      </c>
      <c r="N369" s="878"/>
      <c r="O369" s="49">
        <f t="shared" si="65"/>
        <v>1</v>
      </c>
      <c r="P369" s="878"/>
      <c r="Q369" s="49">
        <f t="shared" si="66"/>
        <v>1</v>
      </c>
      <c r="R369" s="49">
        <f t="shared" si="67"/>
        <v>0</v>
      </c>
      <c r="S369" s="734">
        <f t="shared" si="58"/>
        <v>0</v>
      </c>
    </row>
    <row r="370" spans="1:19">
      <c r="A370" s="879"/>
      <c r="B370" s="126"/>
      <c r="C370" s="49">
        <f t="shared" si="59"/>
        <v>1</v>
      </c>
      <c r="D370" s="878"/>
      <c r="E370" s="49">
        <f t="shared" si="60"/>
        <v>1</v>
      </c>
      <c r="F370" s="878"/>
      <c r="G370" s="49">
        <f t="shared" si="61"/>
        <v>1</v>
      </c>
      <c r="H370" s="878"/>
      <c r="I370" s="49">
        <f t="shared" si="62"/>
        <v>1</v>
      </c>
      <c r="J370" s="878"/>
      <c r="K370" s="49">
        <f t="shared" si="63"/>
        <v>1</v>
      </c>
      <c r="L370" s="878"/>
      <c r="M370" s="49">
        <f t="shared" si="64"/>
        <v>1</v>
      </c>
      <c r="N370" s="878"/>
      <c r="O370" s="49">
        <f t="shared" si="65"/>
        <v>1</v>
      </c>
      <c r="P370" s="878"/>
      <c r="Q370" s="49">
        <f t="shared" si="66"/>
        <v>1</v>
      </c>
      <c r="R370" s="49">
        <f t="shared" si="67"/>
        <v>0</v>
      </c>
      <c r="S370" s="734">
        <f t="shared" si="58"/>
        <v>0</v>
      </c>
    </row>
    <row r="371" spans="1:19">
      <c r="A371" s="879"/>
      <c r="B371" s="126"/>
      <c r="C371" s="49">
        <f t="shared" si="59"/>
        <v>1</v>
      </c>
      <c r="D371" s="878"/>
      <c r="E371" s="49">
        <f t="shared" si="60"/>
        <v>1</v>
      </c>
      <c r="F371" s="878"/>
      <c r="G371" s="49">
        <f t="shared" si="61"/>
        <v>1</v>
      </c>
      <c r="H371" s="878"/>
      <c r="I371" s="49">
        <f t="shared" si="62"/>
        <v>1</v>
      </c>
      <c r="J371" s="878"/>
      <c r="K371" s="49">
        <f t="shared" si="63"/>
        <v>1</v>
      </c>
      <c r="L371" s="878"/>
      <c r="M371" s="49">
        <f t="shared" si="64"/>
        <v>1</v>
      </c>
      <c r="N371" s="878"/>
      <c r="O371" s="49">
        <f t="shared" si="65"/>
        <v>1</v>
      </c>
      <c r="P371" s="878"/>
      <c r="Q371" s="49">
        <f t="shared" si="66"/>
        <v>1</v>
      </c>
      <c r="R371" s="49">
        <f t="shared" si="67"/>
        <v>0</v>
      </c>
      <c r="S371" s="734">
        <f t="shared" si="58"/>
        <v>0</v>
      </c>
    </row>
    <row r="372" spans="1:19">
      <c r="A372" s="879"/>
      <c r="B372" s="126"/>
      <c r="C372" s="49">
        <f t="shared" si="59"/>
        <v>1</v>
      </c>
      <c r="D372" s="878"/>
      <c r="E372" s="49">
        <f t="shared" si="60"/>
        <v>1</v>
      </c>
      <c r="F372" s="878"/>
      <c r="G372" s="49">
        <f t="shared" si="61"/>
        <v>1</v>
      </c>
      <c r="H372" s="878"/>
      <c r="I372" s="49">
        <f t="shared" si="62"/>
        <v>1</v>
      </c>
      <c r="J372" s="878"/>
      <c r="K372" s="49">
        <f t="shared" si="63"/>
        <v>1</v>
      </c>
      <c r="L372" s="878"/>
      <c r="M372" s="49">
        <f t="shared" si="64"/>
        <v>1</v>
      </c>
      <c r="N372" s="878"/>
      <c r="O372" s="49">
        <f t="shared" si="65"/>
        <v>1</v>
      </c>
      <c r="P372" s="878"/>
      <c r="Q372" s="49">
        <f t="shared" si="66"/>
        <v>1</v>
      </c>
      <c r="R372" s="49">
        <f t="shared" si="67"/>
        <v>0</v>
      </c>
      <c r="S372" s="734">
        <f t="shared" si="58"/>
        <v>0</v>
      </c>
    </row>
    <row r="373" spans="1:19">
      <c r="A373" s="879"/>
      <c r="B373" s="126"/>
      <c r="C373" s="49">
        <f t="shared" si="59"/>
        <v>1</v>
      </c>
      <c r="D373" s="878"/>
      <c r="E373" s="49">
        <f t="shared" si="60"/>
        <v>1</v>
      </c>
      <c r="F373" s="878"/>
      <c r="G373" s="49">
        <f t="shared" si="61"/>
        <v>1</v>
      </c>
      <c r="H373" s="878"/>
      <c r="I373" s="49">
        <f t="shared" si="62"/>
        <v>1</v>
      </c>
      <c r="J373" s="878"/>
      <c r="K373" s="49">
        <f t="shared" si="63"/>
        <v>1</v>
      </c>
      <c r="L373" s="878"/>
      <c r="M373" s="49">
        <f t="shared" si="64"/>
        <v>1</v>
      </c>
      <c r="N373" s="878"/>
      <c r="O373" s="49">
        <f t="shared" si="65"/>
        <v>1</v>
      </c>
      <c r="P373" s="878"/>
      <c r="Q373" s="49">
        <f t="shared" si="66"/>
        <v>1</v>
      </c>
      <c r="R373" s="49">
        <f t="shared" si="67"/>
        <v>0</v>
      </c>
      <c r="S373" s="734">
        <f t="shared" si="58"/>
        <v>0</v>
      </c>
    </row>
    <row r="374" spans="1:19">
      <c r="A374" s="879"/>
      <c r="B374" s="126"/>
      <c r="C374" s="49">
        <f t="shared" si="59"/>
        <v>1</v>
      </c>
      <c r="D374" s="878"/>
      <c r="E374" s="49">
        <f t="shared" si="60"/>
        <v>1</v>
      </c>
      <c r="F374" s="878"/>
      <c r="G374" s="49">
        <f t="shared" si="61"/>
        <v>1</v>
      </c>
      <c r="H374" s="878"/>
      <c r="I374" s="49">
        <f t="shared" si="62"/>
        <v>1</v>
      </c>
      <c r="J374" s="878"/>
      <c r="K374" s="49">
        <f t="shared" si="63"/>
        <v>1</v>
      </c>
      <c r="L374" s="878"/>
      <c r="M374" s="49">
        <f t="shared" si="64"/>
        <v>1</v>
      </c>
      <c r="N374" s="878"/>
      <c r="O374" s="49">
        <f t="shared" si="65"/>
        <v>1</v>
      </c>
      <c r="P374" s="878"/>
      <c r="Q374" s="49">
        <f t="shared" si="66"/>
        <v>1</v>
      </c>
      <c r="R374" s="49">
        <f t="shared" si="67"/>
        <v>0</v>
      </c>
      <c r="S374" s="734">
        <f t="shared" si="58"/>
        <v>0</v>
      </c>
    </row>
    <row r="375" spans="1:19">
      <c r="A375" s="879"/>
      <c r="B375" s="126"/>
      <c r="C375" s="49">
        <f t="shared" si="59"/>
        <v>1</v>
      </c>
      <c r="D375" s="878"/>
      <c r="E375" s="49">
        <f t="shared" si="60"/>
        <v>1</v>
      </c>
      <c r="F375" s="878"/>
      <c r="G375" s="49">
        <f t="shared" si="61"/>
        <v>1</v>
      </c>
      <c r="H375" s="878"/>
      <c r="I375" s="49">
        <f t="shared" si="62"/>
        <v>1</v>
      </c>
      <c r="J375" s="878"/>
      <c r="K375" s="49">
        <f t="shared" si="63"/>
        <v>1</v>
      </c>
      <c r="L375" s="878"/>
      <c r="M375" s="49">
        <f t="shared" si="64"/>
        <v>1</v>
      </c>
      <c r="N375" s="878"/>
      <c r="O375" s="49">
        <f t="shared" si="65"/>
        <v>1</v>
      </c>
      <c r="P375" s="878"/>
      <c r="Q375" s="49">
        <f t="shared" si="66"/>
        <v>1</v>
      </c>
      <c r="R375" s="49">
        <f t="shared" si="67"/>
        <v>0</v>
      </c>
      <c r="S375" s="734">
        <f t="shared" si="58"/>
        <v>0</v>
      </c>
    </row>
    <row r="376" spans="1:19">
      <c r="A376" s="879"/>
      <c r="B376" s="126"/>
      <c r="C376" s="49">
        <f t="shared" si="59"/>
        <v>1</v>
      </c>
      <c r="D376" s="878"/>
      <c r="E376" s="49">
        <f t="shared" si="60"/>
        <v>1</v>
      </c>
      <c r="F376" s="878"/>
      <c r="G376" s="49">
        <f t="shared" si="61"/>
        <v>1</v>
      </c>
      <c r="H376" s="878"/>
      <c r="I376" s="49">
        <f t="shared" si="62"/>
        <v>1</v>
      </c>
      <c r="J376" s="878"/>
      <c r="K376" s="49">
        <f t="shared" si="63"/>
        <v>1</v>
      </c>
      <c r="L376" s="878"/>
      <c r="M376" s="49">
        <f t="shared" si="64"/>
        <v>1</v>
      </c>
      <c r="N376" s="878"/>
      <c r="O376" s="49">
        <f t="shared" si="65"/>
        <v>1</v>
      </c>
      <c r="P376" s="878"/>
      <c r="Q376" s="49">
        <f t="shared" si="66"/>
        <v>1</v>
      </c>
      <c r="R376" s="49">
        <f t="shared" si="67"/>
        <v>0</v>
      </c>
      <c r="S376" s="734">
        <f t="shared" si="58"/>
        <v>0</v>
      </c>
    </row>
    <row r="377" spans="1:19">
      <c r="A377" s="879"/>
      <c r="B377" s="126"/>
      <c r="C377" s="49">
        <f t="shared" si="59"/>
        <v>1</v>
      </c>
      <c r="D377" s="878"/>
      <c r="E377" s="49">
        <f t="shared" si="60"/>
        <v>1</v>
      </c>
      <c r="F377" s="878"/>
      <c r="G377" s="49">
        <f t="shared" si="61"/>
        <v>1</v>
      </c>
      <c r="H377" s="878"/>
      <c r="I377" s="49">
        <f t="shared" si="62"/>
        <v>1</v>
      </c>
      <c r="J377" s="878"/>
      <c r="K377" s="49">
        <f t="shared" si="63"/>
        <v>1</v>
      </c>
      <c r="L377" s="878"/>
      <c r="M377" s="49">
        <f t="shared" si="64"/>
        <v>1</v>
      </c>
      <c r="N377" s="878"/>
      <c r="O377" s="49">
        <f t="shared" si="65"/>
        <v>1</v>
      </c>
      <c r="P377" s="878"/>
      <c r="Q377" s="49">
        <f t="shared" si="66"/>
        <v>1</v>
      </c>
      <c r="R377" s="49">
        <f t="shared" si="67"/>
        <v>0</v>
      </c>
      <c r="S377" s="734">
        <f t="shared" si="58"/>
        <v>0</v>
      </c>
    </row>
    <row r="378" spans="1:19">
      <c r="A378" s="879"/>
      <c r="B378" s="126"/>
      <c r="C378" s="49">
        <f t="shared" si="59"/>
        <v>1</v>
      </c>
      <c r="D378" s="878"/>
      <c r="E378" s="49">
        <f t="shared" si="60"/>
        <v>1</v>
      </c>
      <c r="F378" s="878"/>
      <c r="G378" s="49">
        <f t="shared" si="61"/>
        <v>1</v>
      </c>
      <c r="H378" s="878"/>
      <c r="I378" s="49">
        <f t="shared" si="62"/>
        <v>1</v>
      </c>
      <c r="J378" s="878"/>
      <c r="K378" s="49">
        <f t="shared" si="63"/>
        <v>1</v>
      </c>
      <c r="L378" s="878"/>
      <c r="M378" s="49">
        <f t="shared" si="64"/>
        <v>1</v>
      </c>
      <c r="N378" s="878"/>
      <c r="O378" s="49">
        <f t="shared" si="65"/>
        <v>1</v>
      </c>
      <c r="P378" s="878"/>
      <c r="Q378" s="49">
        <f t="shared" si="66"/>
        <v>1</v>
      </c>
      <c r="R378" s="49">
        <f t="shared" si="67"/>
        <v>0</v>
      </c>
      <c r="S378" s="734">
        <f t="shared" si="58"/>
        <v>0</v>
      </c>
    </row>
    <row r="379" spans="1:19">
      <c r="A379" s="879"/>
      <c r="B379" s="126"/>
      <c r="C379" s="49">
        <f t="shared" si="59"/>
        <v>1</v>
      </c>
      <c r="D379" s="878"/>
      <c r="E379" s="49">
        <f t="shared" si="60"/>
        <v>1</v>
      </c>
      <c r="F379" s="878"/>
      <c r="G379" s="49">
        <f t="shared" si="61"/>
        <v>1</v>
      </c>
      <c r="H379" s="878"/>
      <c r="I379" s="49">
        <f t="shared" si="62"/>
        <v>1</v>
      </c>
      <c r="J379" s="878"/>
      <c r="K379" s="49">
        <f t="shared" si="63"/>
        <v>1</v>
      </c>
      <c r="L379" s="878"/>
      <c r="M379" s="49">
        <f t="shared" si="64"/>
        <v>1</v>
      </c>
      <c r="N379" s="878"/>
      <c r="O379" s="49">
        <f t="shared" si="65"/>
        <v>1</v>
      </c>
      <c r="P379" s="878"/>
      <c r="Q379" s="49">
        <f t="shared" si="66"/>
        <v>1</v>
      </c>
      <c r="R379" s="49">
        <f t="shared" si="67"/>
        <v>0</v>
      </c>
      <c r="S379" s="734">
        <f t="shared" si="58"/>
        <v>0</v>
      </c>
    </row>
    <row r="380" spans="1:19">
      <c r="A380" s="879"/>
      <c r="B380" s="126"/>
      <c r="C380" s="49">
        <f t="shared" si="59"/>
        <v>1</v>
      </c>
      <c r="D380" s="878"/>
      <c r="E380" s="49">
        <f t="shared" si="60"/>
        <v>1</v>
      </c>
      <c r="F380" s="878"/>
      <c r="G380" s="49">
        <f t="shared" si="61"/>
        <v>1</v>
      </c>
      <c r="H380" s="878"/>
      <c r="I380" s="49">
        <f t="shared" si="62"/>
        <v>1</v>
      </c>
      <c r="J380" s="878"/>
      <c r="K380" s="49">
        <f t="shared" si="63"/>
        <v>1</v>
      </c>
      <c r="L380" s="878"/>
      <c r="M380" s="49">
        <f t="shared" si="64"/>
        <v>1</v>
      </c>
      <c r="N380" s="878"/>
      <c r="O380" s="49">
        <f t="shared" si="65"/>
        <v>1</v>
      </c>
      <c r="P380" s="878"/>
      <c r="Q380" s="49">
        <f t="shared" si="66"/>
        <v>1</v>
      </c>
      <c r="R380" s="49">
        <f t="shared" si="67"/>
        <v>0</v>
      </c>
      <c r="S380" s="734">
        <f t="shared" si="58"/>
        <v>0</v>
      </c>
    </row>
    <row r="381" spans="1:19">
      <c r="A381" s="879"/>
      <c r="B381" s="126"/>
      <c r="C381" s="49">
        <f t="shared" si="59"/>
        <v>1</v>
      </c>
      <c r="D381" s="878"/>
      <c r="E381" s="49">
        <f t="shared" si="60"/>
        <v>1</v>
      </c>
      <c r="F381" s="878"/>
      <c r="G381" s="49">
        <f t="shared" si="61"/>
        <v>1</v>
      </c>
      <c r="H381" s="878"/>
      <c r="I381" s="49">
        <f t="shared" si="62"/>
        <v>1</v>
      </c>
      <c r="J381" s="878"/>
      <c r="K381" s="49">
        <f t="shared" si="63"/>
        <v>1</v>
      </c>
      <c r="L381" s="878"/>
      <c r="M381" s="49">
        <f t="shared" si="64"/>
        <v>1</v>
      </c>
      <c r="N381" s="878"/>
      <c r="O381" s="49">
        <f t="shared" si="65"/>
        <v>1</v>
      </c>
      <c r="P381" s="878"/>
      <c r="Q381" s="49">
        <f t="shared" si="66"/>
        <v>1</v>
      </c>
      <c r="R381" s="49">
        <f t="shared" si="67"/>
        <v>0</v>
      </c>
      <c r="S381" s="734">
        <f t="shared" si="58"/>
        <v>0</v>
      </c>
    </row>
    <row r="382" spans="1:19">
      <c r="A382" s="879"/>
      <c r="B382" s="126"/>
      <c r="C382" s="49">
        <f t="shared" si="59"/>
        <v>1</v>
      </c>
      <c r="D382" s="878"/>
      <c r="E382" s="49">
        <f t="shared" si="60"/>
        <v>1</v>
      </c>
      <c r="F382" s="878"/>
      <c r="G382" s="49">
        <f t="shared" si="61"/>
        <v>1</v>
      </c>
      <c r="H382" s="878"/>
      <c r="I382" s="49">
        <f t="shared" si="62"/>
        <v>1</v>
      </c>
      <c r="J382" s="878"/>
      <c r="K382" s="49">
        <f t="shared" si="63"/>
        <v>1</v>
      </c>
      <c r="L382" s="878"/>
      <c r="M382" s="49">
        <f t="shared" si="64"/>
        <v>1</v>
      </c>
      <c r="N382" s="878"/>
      <c r="O382" s="49">
        <f t="shared" si="65"/>
        <v>1</v>
      </c>
      <c r="P382" s="878"/>
      <c r="Q382" s="49">
        <f t="shared" si="66"/>
        <v>1</v>
      </c>
      <c r="R382" s="49">
        <f t="shared" si="67"/>
        <v>0</v>
      </c>
      <c r="S382" s="734">
        <f t="shared" si="58"/>
        <v>0</v>
      </c>
    </row>
    <row r="383" spans="1:19">
      <c r="A383" s="879"/>
      <c r="B383" s="126"/>
      <c r="C383" s="49">
        <f t="shared" si="59"/>
        <v>1</v>
      </c>
      <c r="D383" s="878"/>
      <c r="E383" s="49">
        <f t="shared" si="60"/>
        <v>1</v>
      </c>
      <c r="F383" s="878"/>
      <c r="G383" s="49">
        <f t="shared" si="61"/>
        <v>1</v>
      </c>
      <c r="H383" s="878"/>
      <c r="I383" s="49">
        <f t="shared" si="62"/>
        <v>1</v>
      </c>
      <c r="J383" s="878"/>
      <c r="K383" s="49">
        <f t="shared" si="63"/>
        <v>1</v>
      </c>
      <c r="L383" s="878"/>
      <c r="M383" s="49">
        <f t="shared" si="64"/>
        <v>1</v>
      </c>
      <c r="N383" s="878"/>
      <c r="O383" s="49">
        <f t="shared" si="65"/>
        <v>1</v>
      </c>
      <c r="P383" s="878"/>
      <c r="Q383" s="49">
        <f t="shared" si="66"/>
        <v>1</v>
      </c>
      <c r="R383" s="49">
        <f t="shared" si="67"/>
        <v>0</v>
      </c>
      <c r="S383" s="734">
        <f t="shared" si="58"/>
        <v>0</v>
      </c>
    </row>
    <row r="384" spans="1:19">
      <c r="A384" s="879"/>
      <c r="B384" s="126"/>
      <c r="C384" s="49">
        <f t="shared" si="59"/>
        <v>1</v>
      </c>
      <c r="D384" s="878"/>
      <c r="E384" s="49">
        <f t="shared" si="60"/>
        <v>1</v>
      </c>
      <c r="F384" s="878"/>
      <c r="G384" s="49">
        <f t="shared" si="61"/>
        <v>1</v>
      </c>
      <c r="H384" s="878"/>
      <c r="I384" s="49">
        <f t="shared" si="62"/>
        <v>1</v>
      </c>
      <c r="J384" s="878"/>
      <c r="K384" s="49">
        <f t="shared" si="63"/>
        <v>1</v>
      </c>
      <c r="L384" s="878"/>
      <c r="M384" s="49">
        <f t="shared" si="64"/>
        <v>1</v>
      </c>
      <c r="N384" s="878"/>
      <c r="O384" s="49">
        <f t="shared" si="65"/>
        <v>1</v>
      </c>
      <c r="P384" s="878"/>
      <c r="Q384" s="49">
        <f t="shared" si="66"/>
        <v>1</v>
      </c>
      <c r="R384" s="49">
        <f t="shared" si="67"/>
        <v>0</v>
      </c>
      <c r="S384" s="734">
        <f t="shared" si="58"/>
        <v>0</v>
      </c>
    </row>
    <row r="385" spans="1:19">
      <c r="A385" s="879"/>
      <c r="B385" s="126"/>
      <c r="C385" s="49">
        <f t="shared" si="59"/>
        <v>1</v>
      </c>
      <c r="D385" s="878"/>
      <c r="E385" s="49">
        <f t="shared" si="60"/>
        <v>1</v>
      </c>
      <c r="F385" s="878"/>
      <c r="G385" s="49">
        <f t="shared" si="61"/>
        <v>1</v>
      </c>
      <c r="H385" s="878"/>
      <c r="I385" s="49">
        <f t="shared" si="62"/>
        <v>1</v>
      </c>
      <c r="J385" s="878"/>
      <c r="K385" s="49">
        <f t="shared" si="63"/>
        <v>1</v>
      </c>
      <c r="L385" s="878"/>
      <c r="M385" s="49">
        <f t="shared" si="64"/>
        <v>1</v>
      </c>
      <c r="N385" s="878"/>
      <c r="O385" s="49">
        <f t="shared" si="65"/>
        <v>1</v>
      </c>
      <c r="P385" s="878"/>
      <c r="Q385" s="49">
        <f t="shared" si="66"/>
        <v>1</v>
      </c>
      <c r="R385" s="49">
        <f t="shared" si="67"/>
        <v>0</v>
      </c>
      <c r="S385" s="734">
        <f t="shared" ref="S385:S422" si="68">ROUND(R385*B385/10000,0)</f>
        <v>0</v>
      </c>
    </row>
    <row r="386" spans="1:19">
      <c r="A386" s="879"/>
      <c r="B386" s="126"/>
      <c r="C386" s="49">
        <f t="shared" si="59"/>
        <v>1</v>
      </c>
      <c r="D386" s="878"/>
      <c r="E386" s="49">
        <f t="shared" si="60"/>
        <v>1</v>
      </c>
      <c r="F386" s="878"/>
      <c r="G386" s="49">
        <f t="shared" si="61"/>
        <v>1</v>
      </c>
      <c r="H386" s="878"/>
      <c r="I386" s="49">
        <f t="shared" si="62"/>
        <v>1</v>
      </c>
      <c r="J386" s="878"/>
      <c r="K386" s="49">
        <f t="shared" si="63"/>
        <v>1</v>
      </c>
      <c r="L386" s="878"/>
      <c r="M386" s="49">
        <f t="shared" si="64"/>
        <v>1</v>
      </c>
      <c r="N386" s="878"/>
      <c r="O386" s="49">
        <f t="shared" si="65"/>
        <v>1</v>
      </c>
      <c r="P386" s="878"/>
      <c r="Q386" s="49">
        <f t="shared" si="66"/>
        <v>1</v>
      </c>
      <c r="R386" s="49">
        <f t="shared" si="67"/>
        <v>0</v>
      </c>
      <c r="S386" s="734">
        <f t="shared" si="68"/>
        <v>0</v>
      </c>
    </row>
    <row r="387" spans="1:19">
      <c r="A387" s="879"/>
      <c r="B387" s="126"/>
      <c r="C387" s="49">
        <f t="shared" si="59"/>
        <v>1</v>
      </c>
      <c r="D387" s="878"/>
      <c r="E387" s="49">
        <f t="shared" si="60"/>
        <v>1</v>
      </c>
      <c r="F387" s="878"/>
      <c r="G387" s="49">
        <f t="shared" si="61"/>
        <v>1</v>
      </c>
      <c r="H387" s="878"/>
      <c r="I387" s="49">
        <f t="shared" si="62"/>
        <v>1</v>
      </c>
      <c r="J387" s="878"/>
      <c r="K387" s="49">
        <f t="shared" si="63"/>
        <v>1</v>
      </c>
      <c r="L387" s="878"/>
      <c r="M387" s="49">
        <f t="shared" si="64"/>
        <v>1</v>
      </c>
      <c r="N387" s="878"/>
      <c r="O387" s="49">
        <f t="shared" si="65"/>
        <v>1</v>
      </c>
      <c r="P387" s="878"/>
      <c r="Q387" s="49">
        <f t="shared" si="66"/>
        <v>1</v>
      </c>
      <c r="R387" s="49">
        <f t="shared" si="67"/>
        <v>0</v>
      </c>
      <c r="S387" s="734">
        <f t="shared" si="68"/>
        <v>0</v>
      </c>
    </row>
    <row r="388" spans="1:19">
      <c r="A388" s="879"/>
      <c r="B388" s="126"/>
      <c r="C388" s="49">
        <f t="shared" si="59"/>
        <v>1</v>
      </c>
      <c r="D388" s="878"/>
      <c r="E388" s="49">
        <f t="shared" si="60"/>
        <v>1</v>
      </c>
      <c r="F388" s="878"/>
      <c r="G388" s="49">
        <f t="shared" si="61"/>
        <v>1</v>
      </c>
      <c r="H388" s="878"/>
      <c r="I388" s="49">
        <f t="shared" si="62"/>
        <v>1</v>
      </c>
      <c r="J388" s="878"/>
      <c r="K388" s="49">
        <f t="shared" si="63"/>
        <v>1</v>
      </c>
      <c r="L388" s="878"/>
      <c r="M388" s="49">
        <f t="shared" si="64"/>
        <v>1</v>
      </c>
      <c r="N388" s="878"/>
      <c r="O388" s="49">
        <f t="shared" si="65"/>
        <v>1</v>
      </c>
      <c r="P388" s="878"/>
      <c r="Q388" s="49">
        <f t="shared" si="66"/>
        <v>1</v>
      </c>
      <c r="R388" s="49">
        <f t="shared" si="67"/>
        <v>0</v>
      </c>
      <c r="S388" s="734">
        <f t="shared" si="68"/>
        <v>0</v>
      </c>
    </row>
    <row r="389" spans="1:19">
      <c r="A389" s="879"/>
      <c r="B389" s="126"/>
      <c r="C389" s="49">
        <f t="shared" si="59"/>
        <v>1</v>
      </c>
      <c r="D389" s="878"/>
      <c r="E389" s="49">
        <f t="shared" si="60"/>
        <v>1</v>
      </c>
      <c r="F389" s="878"/>
      <c r="G389" s="49">
        <f t="shared" si="61"/>
        <v>1</v>
      </c>
      <c r="H389" s="878"/>
      <c r="I389" s="49">
        <f t="shared" si="62"/>
        <v>1</v>
      </c>
      <c r="J389" s="878"/>
      <c r="K389" s="49">
        <f t="shared" si="63"/>
        <v>1</v>
      </c>
      <c r="L389" s="878"/>
      <c r="M389" s="49">
        <f t="shared" si="64"/>
        <v>1</v>
      </c>
      <c r="N389" s="878"/>
      <c r="O389" s="49">
        <f t="shared" si="65"/>
        <v>1</v>
      </c>
      <c r="P389" s="878"/>
      <c r="Q389" s="49">
        <f t="shared" si="66"/>
        <v>1</v>
      </c>
      <c r="R389" s="49">
        <f t="shared" si="67"/>
        <v>0</v>
      </c>
      <c r="S389" s="734">
        <f t="shared" si="68"/>
        <v>0</v>
      </c>
    </row>
    <row r="390" spans="1:19">
      <c r="A390" s="879"/>
      <c r="B390" s="126"/>
      <c r="C390" s="49">
        <f t="shared" si="59"/>
        <v>1</v>
      </c>
      <c r="D390" s="878"/>
      <c r="E390" s="49">
        <f t="shared" si="60"/>
        <v>1</v>
      </c>
      <c r="F390" s="878"/>
      <c r="G390" s="49">
        <f t="shared" si="61"/>
        <v>1</v>
      </c>
      <c r="H390" s="878"/>
      <c r="I390" s="49">
        <f t="shared" si="62"/>
        <v>1</v>
      </c>
      <c r="J390" s="878"/>
      <c r="K390" s="49">
        <f t="shared" si="63"/>
        <v>1</v>
      </c>
      <c r="L390" s="878"/>
      <c r="M390" s="49">
        <f t="shared" si="64"/>
        <v>1</v>
      </c>
      <c r="N390" s="878"/>
      <c r="O390" s="49">
        <f t="shared" si="65"/>
        <v>1</v>
      </c>
      <c r="P390" s="878"/>
      <c r="Q390" s="49">
        <f t="shared" si="66"/>
        <v>1</v>
      </c>
      <c r="R390" s="49">
        <f t="shared" si="67"/>
        <v>0</v>
      </c>
      <c r="S390" s="734">
        <f t="shared" si="68"/>
        <v>0</v>
      </c>
    </row>
    <row r="391" spans="1:19">
      <c r="A391" s="879"/>
      <c r="B391" s="126"/>
      <c r="C391" s="49">
        <f t="shared" si="59"/>
        <v>1</v>
      </c>
      <c r="D391" s="878"/>
      <c r="E391" s="49">
        <f t="shared" si="60"/>
        <v>1</v>
      </c>
      <c r="F391" s="878"/>
      <c r="G391" s="49">
        <f t="shared" si="61"/>
        <v>1</v>
      </c>
      <c r="H391" s="878"/>
      <c r="I391" s="49">
        <f t="shared" si="62"/>
        <v>1</v>
      </c>
      <c r="J391" s="878"/>
      <c r="K391" s="49">
        <f t="shared" si="63"/>
        <v>1</v>
      </c>
      <c r="L391" s="878"/>
      <c r="M391" s="49">
        <f t="shared" si="64"/>
        <v>1</v>
      </c>
      <c r="N391" s="878"/>
      <c r="O391" s="49">
        <f t="shared" si="65"/>
        <v>1</v>
      </c>
      <c r="P391" s="878"/>
      <c r="Q391" s="49">
        <f t="shared" si="66"/>
        <v>1</v>
      </c>
      <c r="R391" s="49">
        <f t="shared" si="67"/>
        <v>0</v>
      </c>
      <c r="S391" s="734">
        <f t="shared" si="68"/>
        <v>0</v>
      </c>
    </row>
    <row r="392" spans="1:19">
      <c r="A392" s="879"/>
      <c r="B392" s="126"/>
      <c r="C392" s="49">
        <f t="shared" si="59"/>
        <v>1</v>
      </c>
      <c r="D392" s="878"/>
      <c r="E392" s="49">
        <f t="shared" si="60"/>
        <v>1</v>
      </c>
      <c r="F392" s="878"/>
      <c r="G392" s="49">
        <f t="shared" si="61"/>
        <v>1</v>
      </c>
      <c r="H392" s="878"/>
      <c r="I392" s="49">
        <f t="shared" si="62"/>
        <v>1</v>
      </c>
      <c r="J392" s="878"/>
      <c r="K392" s="49">
        <f t="shared" si="63"/>
        <v>1</v>
      </c>
      <c r="L392" s="878"/>
      <c r="M392" s="49">
        <f t="shared" si="64"/>
        <v>1</v>
      </c>
      <c r="N392" s="878"/>
      <c r="O392" s="49">
        <f t="shared" si="65"/>
        <v>1</v>
      </c>
      <c r="P392" s="878"/>
      <c r="Q392" s="49">
        <f t="shared" si="66"/>
        <v>1</v>
      </c>
      <c r="R392" s="49">
        <f t="shared" si="67"/>
        <v>0</v>
      </c>
      <c r="S392" s="734">
        <f t="shared" si="68"/>
        <v>0</v>
      </c>
    </row>
    <row r="393" spans="1:19">
      <c r="A393" s="879"/>
      <c r="B393" s="126"/>
      <c r="C393" s="49">
        <f t="shared" si="59"/>
        <v>1</v>
      </c>
      <c r="D393" s="878"/>
      <c r="E393" s="49">
        <f t="shared" si="60"/>
        <v>1</v>
      </c>
      <c r="F393" s="878"/>
      <c r="G393" s="49">
        <f t="shared" si="61"/>
        <v>1</v>
      </c>
      <c r="H393" s="878"/>
      <c r="I393" s="49">
        <f t="shared" si="62"/>
        <v>1</v>
      </c>
      <c r="J393" s="878"/>
      <c r="K393" s="49">
        <f t="shared" si="63"/>
        <v>1</v>
      </c>
      <c r="L393" s="878"/>
      <c r="M393" s="49">
        <f t="shared" si="64"/>
        <v>1</v>
      </c>
      <c r="N393" s="878"/>
      <c r="O393" s="49">
        <f t="shared" si="65"/>
        <v>1</v>
      </c>
      <c r="P393" s="878"/>
      <c r="Q393" s="49">
        <f t="shared" si="66"/>
        <v>1</v>
      </c>
      <c r="R393" s="49">
        <f t="shared" si="67"/>
        <v>0</v>
      </c>
      <c r="S393" s="734">
        <f t="shared" si="68"/>
        <v>0</v>
      </c>
    </row>
    <row r="394" spans="1:19">
      <c r="A394" s="879"/>
      <c r="B394" s="126"/>
      <c r="C394" s="49">
        <f t="shared" si="59"/>
        <v>1</v>
      </c>
      <c r="D394" s="878"/>
      <c r="E394" s="49">
        <f t="shared" si="60"/>
        <v>1</v>
      </c>
      <c r="F394" s="878"/>
      <c r="G394" s="49">
        <f t="shared" si="61"/>
        <v>1</v>
      </c>
      <c r="H394" s="878"/>
      <c r="I394" s="49">
        <f t="shared" si="62"/>
        <v>1</v>
      </c>
      <c r="J394" s="878"/>
      <c r="K394" s="49">
        <f t="shared" si="63"/>
        <v>1</v>
      </c>
      <c r="L394" s="878"/>
      <c r="M394" s="49">
        <f t="shared" si="64"/>
        <v>1</v>
      </c>
      <c r="N394" s="878"/>
      <c r="O394" s="49">
        <f t="shared" si="65"/>
        <v>1</v>
      </c>
      <c r="P394" s="878"/>
      <c r="Q394" s="49">
        <f t="shared" si="66"/>
        <v>1</v>
      </c>
      <c r="R394" s="49">
        <f t="shared" si="67"/>
        <v>0</v>
      </c>
      <c r="S394" s="734">
        <f t="shared" si="68"/>
        <v>0</v>
      </c>
    </row>
    <row r="395" spans="1:19">
      <c r="A395" s="879"/>
      <c r="B395" s="126"/>
      <c r="C395" s="49">
        <f t="shared" si="59"/>
        <v>1</v>
      </c>
      <c r="D395" s="878"/>
      <c r="E395" s="49">
        <f t="shared" si="60"/>
        <v>1</v>
      </c>
      <c r="F395" s="878"/>
      <c r="G395" s="49">
        <f t="shared" si="61"/>
        <v>1</v>
      </c>
      <c r="H395" s="878"/>
      <c r="I395" s="49">
        <f t="shared" si="62"/>
        <v>1</v>
      </c>
      <c r="J395" s="878"/>
      <c r="K395" s="49">
        <f t="shared" si="63"/>
        <v>1</v>
      </c>
      <c r="L395" s="878"/>
      <c r="M395" s="49">
        <f t="shared" si="64"/>
        <v>1</v>
      </c>
      <c r="N395" s="878"/>
      <c r="O395" s="49">
        <f t="shared" si="65"/>
        <v>1</v>
      </c>
      <c r="P395" s="878"/>
      <c r="Q395" s="49">
        <f t="shared" si="66"/>
        <v>1</v>
      </c>
      <c r="R395" s="49">
        <f t="shared" si="67"/>
        <v>0</v>
      </c>
      <c r="S395" s="734">
        <f t="shared" si="68"/>
        <v>0</v>
      </c>
    </row>
    <row r="396" spans="1:19">
      <c r="A396" s="879"/>
      <c r="B396" s="126"/>
      <c r="C396" s="49">
        <f t="shared" si="59"/>
        <v>1</v>
      </c>
      <c r="D396" s="878"/>
      <c r="E396" s="49">
        <f t="shared" si="60"/>
        <v>1</v>
      </c>
      <c r="F396" s="878"/>
      <c r="G396" s="49">
        <f t="shared" si="61"/>
        <v>1</v>
      </c>
      <c r="H396" s="878"/>
      <c r="I396" s="49">
        <f t="shared" si="62"/>
        <v>1</v>
      </c>
      <c r="J396" s="878"/>
      <c r="K396" s="49">
        <f t="shared" si="63"/>
        <v>1</v>
      </c>
      <c r="L396" s="878"/>
      <c r="M396" s="49">
        <f t="shared" si="64"/>
        <v>1</v>
      </c>
      <c r="N396" s="878"/>
      <c r="O396" s="49">
        <f t="shared" si="65"/>
        <v>1</v>
      </c>
      <c r="P396" s="878"/>
      <c r="Q396" s="49">
        <f t="shared" si="66"/>
        <v>1</v>
      </c>
      <c r="R396" s="49">
        <f t="shared" si="67"/>
        <v>0</v>
      </c>
      <c r="S396" s="734">
        <f t="shared" si="68"/>
        <v>0</v>
      </c>
    </row>
    <row r="397" spans="1:19">
      <c r="A397" s="879"/>
      <c r="B397" s="126"/>
      <c r="C397" s="49">
        <f t="shared" si="59"/>
        <v>1</v>
      </c>
      <c r="D397" s="878"/>
      <c r="E397" s="49">
        <f t="shared" si="60"/>
        <v>1</v>
      </c>
      <c r="F397" s="878"/>
      <c r="G397" s="49">
        <f t="shared" si="61"/>
        <v>1</v>
      </c>
      <c r="H397" s="878"/>
      <c r="I397" s="49">
        <f t="shared" si="62"/>
        <v>1</v>
      </c>
      <c r="J397" s="878"/>
      <c r="K397" s="49">
        <f t="shared" si="63"/>
        <v>1</v>
      </c>
      <c r="L397" s="878"/>
      <c r="M397" s="49">
        <f t="shared" si="64"/>
        <v>1</v>
      </c>
      <c r="N397" s="878"/>
      <c r="O397" s="49">
        <f t="shared" si="65"/>
        <v>1</v>
      </c>
      <c r="P397" s="878"/>
      <c r="Q397" s="49">
        <f t="shared" si="66"/>
        <v>1</v>
      </c>
      <c r="R397" s="49">
        <f t="shared" si="67"/>
        <v>0</v>
      </c>
      <c r="S397" s="734">
        <f t="shared" si="68"/>
        <v>0</v>
      </c>
    </row>
    <row r="398" spans="1:19">
      <c r="A398" s="879"/>
      <c r="B398" s="126"/>
      <c r="C398" s="49">
        <f t="shared" si="59"/>
        <v>1</v>
      </c>
      <c r="D398" s="878"/>
      <c r="E398" s="49">
        <f t="shared" si="60"/>
        <v>1</v>
      </c>
      <c r="F398" s="878"/>
      <c r="G398" s="49">
        <f t="shared" si="61"/>
        <v>1</v>
      </c>
      <c r="H398" s="878"/>
      <c r="I398" s="49">
        <f t="shared" si="62"/>
        <v>1</v>
      </c>
      <c r="J398" s="878"/>
      <c r="K398" s="49">
        <f t="shared" si="63"/>
        <v>1</v>
      </c>
      <c r="L398" s="878"/>
      <c r="M398" s="49">
        <f t="shared" si="64"/>
        <v>1</v>
      </c>
      <c r="N398" s="878"/>
      <c r="O398" s="49">
        <f t="shared" si="65"/>
        <v>1</v>
      </c>
      <c r="P398" s="878"/>
      <c r="Q398" s="49">
        <f t="shared" si="66"/>
        <v>1</v>
      </c>
      <c r="R398" s="49">
        <f t="shared" si="67"/>
        <v>0</v>
      </c>
      <c r="S398" s="734">
        <f t="shared" si="68"/>
        <v>0</v>
      </c>
    </row>
    <row r="399" spans="1:19">
      <c r="A399" s="879"/>
      <c r="B399" s="126"/>
      <c r="C399" s="49">
        <f t="shared" si="59"/>
        <v>1</v>
      </c>
      <c r="D399" s="878"/>
      <c r="E399" s="49">
        <f t="shared" si="60"/>
        <v>1</v>
      </c>
      <c r="F399" s="878"/>
      <c r="G399" s="49">
        <f t="shared" si="61"/>
        <v>1</v>
      </c>
      <c r="H399" s="878"/>
      <c r="I399" s="49">
        <f t="shared" si="62"/>
        <v>1</v>
      </c>
      <c r="J399" s="878"/>
      <c r="K399" s="49">
        <f t="shared" si="63"/>
        <v>1</v>
      </c>
      <c r="L399" s="878"/>
      <c r="M399" s="49">
        <f t="shared" si="64"/>
        <v>1</v>
      </c>
      <c r="N399" s="878"/>
      <c r="O399" s="49">
        <f t="shared" si="65"/>
        <v>1</v>
      </c>
      <c r="P399" s="878"/>
      <c r="Q399" s="49">
        <f t="shared" si="66"/>
        <v>1</v>
      </c>
      <c r="R399" s="49">
        <f t="shared" si="67"/>
        <v>0</v>
      </c>
      <c r="S399" s="734">
        <f t="shared" si="68"/>
        <v>0</v>
      </c>
    </row>
    <row r="400" spans="1:19">
      <c r="A400" s="879"/>
      <c r="B400" s="126"/>
      <c r="C400" s="49">
        <f t="shared" si="59"/>
        <v>1</v>
      </c>
      <c r="D400" s="878"/>
      <c r="E400" s="49">
        <f t="shared" si="60"/>
        <v>1</v>
      </c>
      <c r="F400" s="878"/>
      <c r="G400" s="49">
        <f t="shared" si="61"/>
        <v>1</v>
      </c>
      <c r="H400" s="878"/>
      <c r="I400" s="49">
        <f t="shared" si="62"/>
        <v>1</v>
      </c>
      <c r="J400" s="878"/>
      <c r="K400" s="49">
        <f t="shared" si="63"/>
        <v>1</v>
      </c>
      <c r="L400" s="878"/>
      <c r="M400" s="49">
        <f t="shared" si="64"/>
        <v>1</v>
      </c>
      <c r="N400" s="878"/>
      <c r="O400" s="49">
        <f t="shared" si="65"/>
        <v>1</v>
      </c>
      <c r="P400" s="878"/>
      <c r="Q400" s="49">
        <f t="shared" si="66"/>
        <v>1</v>
      </c>
      <c r="R400" s="49">
        <f t="shared" si="67"/>
        <v>0</v>
      </c>
      <c r="S400" s="734">
        <f t="shared" si="68"/>
        <v>0</v>
      </c>
    </row>
    <row r="401" spans="1:19">
      <c r="A401" s="879"/>
      <c r="B401" s="126"/>
      <c r="C401" s="49">
        <f t="shared" si="59"/>
        <v>1</v>
      </c>
      <c r="D401" s="878"/>
      <c r="E401" s="49">
        <f t="shared" si="60"/>
        <v>1</v>
      </c>
      <c r="F401" s="878"/>
      <c r="G401" s="49">
        <f t="shared" si="61"/>
        <v>1</v>
      </c>
      <c r="H401" s="878"/>
      <c r="I401" s="49">
        <f t="shared" si="62"/>
        <v>1</v>
      </c>
      <c r="J401" s="878"/>
      <c r="K401" s="49">
        <f t="shared" si="63"/>
        <v>1</v>
      </c>
      <c r="L401" s="878"/>
      <c r="M401" s="49">
        <f t="shared" si="64"/>
        <v>1</v>
      </c>
      <c r="N401" s="878"/>
      <c r="O401" s="49">
        <f t="shared" si="65"/>
        <v>1</v>
      </c>
      <c r="P401" s="878"/>
      <c r="Q401" s="49">
        <f t="shared" si="66"/>
        <v>1</v>
      </c>
      <c r="R401" s="49">
        <f t="shared" si="67"/>
        <v>0</v>
      </c>
      <c r="S401" s="734">
        <f t="shared" si="68"/>
        <v>0</v>
      </c>
    </row>
    <row r="402" spans="1:19">
      <c r="A402" s="879"/>
      <c r="B402" s="126"/>
      <c r="C402" s="49">
        <f t="shared" si="59"/>
        <v>1</v>
      </c>
      <c r="D402" s="878"/>
      <c r="E402" s="49">
        <f t="shared" si="60"/>
        <v>1</v>
      </c>
      <c r="F402" s="878"/>
      <c r="G402" s="49">
        <f t="shared" si="61"/>
        <v>1</v>
      </c>
      <c r="H402" s="878"/>
      <c r="I402" s="49">
        <f t="shared" si="62"/>
        <v>1</v>
      </c>
      <c r="J402" s="878"/>
      <c r="K402" s="49">
        <f t="shared" si="63"/>
        <v>1</v>
      </c>
      <c r="L402" s="878"/>
      <c r="M402" s="49">
        <f t="shared" si="64"/>
        <v>1</v>
      </c>
      <c r="N402" s="878"/>
      <c r="O402" s="49">
        <f t="shared" si="65"/>
        <v>1</v>
      </c>
      <c r="P402" s="878"/>
      <c r="Q402" s="49">
        <f t="shared" si="66"/>
        <v>1</v>
      </c>
      <c r="R402" s="49">
        <f t="shared" si="67"/>
        <v>0</v>
      </c>
      <c r="S402" s="734">
        <f t="shared" si="68"/>
        <v>0</v>
      </c>
    </row>
    <row r="403" spans="1:19">
      <c r="A403" s="879"/>
      <c r="B403" s="126"/>
      <c r="C403" s="49">
        <f t="shared" si="59"/>
        <v>1</v>
      </c>
      <c r="D403" s="878"/>
      <c r="E403" s="49">
        <f t="shared" si="60"/>
        <v>1</v>
      </c>
      <c r="F403" s="878"/>
      <c r="G403" s="49">
        <f t="shared" si="61"/>
        <v>1</v>
      </c>
      <c r="H403" s="878"/>
      <c r="I403" s="49">
        <f t="shared" si="62"/>
        <v>1</v>
      </c>
      <c r="J403" s="878"/>
      <c r="K403" s="49">
        <f t="shared" si="63"/>
        <v>1</v>
      </c>
      <c r="L403" s="878"/>
      <c r="M403" s="49">
        <f t="shared" si="64"/>
        <v>1</v>
      </c>
      <c r="N403" s="878"/>
      <c r="O403" s="49">
        <f t="shared" si="65"/>
        <v>1</v>
      </c>
      <c r="P403" s="878"/>
      <c r="Q403" s="49">
        <f t="shared" si="66"/>
        <v>1</v>
      </c>
      <c r="R403" s="49">
        <f t="shared" si="67"/>
        <v>0</v>
      </c>
      <c r="S403" s="734">
        <f t="shared" si="68"/>
        <v>0</v>
      </c>
    </row>
    <row r="404" spans="1:19">
      <c r="A404" s="879"/>
      <c r="B404" s="126"/>
      <c r="C404" s="49">
        <f t="shared" si="59"/>
        <v>1</v>
      </c>
      <c r="D404" s="878"/>
      <c r="E404" s="49">
        <f t="shared" si="60"/>
        <v>1</v>
      </c>
      <c r="F404" s="878"/>
      <c r="G404" s="49">
        <f t="shared" si="61"/>
        <v>1</v>
      </c>
      <c r="H404" s="878"/>
      <c r="I404" s="49">
        <f t="shared" si="62"/>
        <v>1</v>
      </c>
      <c r="J404" s="878"/>
      <c r="K404" s="49">
        <f t="shared" si="63"/>
        <v>1</v>
      </c>
      <c r="L404" s="878"/>
      <c r="M404" s="49">
        <f t="shared" si="64"/>
        <v>1</v>
      </c>
      <c r="N404" s="878"/>
      <c r="O404" s="49">
        <f t="shared" si="65"/>
        <v>1</v>
      </c>
      <c r="P404" s="878"/>
      <c r="Q404" s="49">
        <f t="shared" si="66"/>
        <v>1</v>
      </c>
      <c r="R404" s="49">
        <f t="shared" si="67"/>
        <v>0</v>
      </c>
      <c r="S404" s="734">
        <f t="shared" si="68"/>
        <v>0</v>
      </c>
    </row>
    <row r="405" spans="1:19">
      <c r="A405" s="879"/>
      <c r="B405" s="126"/>
      <c r="C405" s="49">
        <f t="shared" si="59"/>
        <v>1</v>
      </c>
      <c r="D405" s="878"/>
      <c r="E405" s="49">
        <f t="shared" si="60"/>
        <v>1</v>
      </c>
      <c r="F405" s="878"/>
      <c r="G405" s="49">
        <f t="shared" si="61"/>
        <v>1</v>
      </c>
      <c r="H405" s="878"/>
      <c r="I405" s="49">
        <f t="shared" si="62"/>
        <v>1</v>
      </c>
      <c r="J405" s="878"/>
      <c r="K405" s="49">
        <f t="shared" si="63"/>
        <v>1</v>
      </c>
      <c r="L405" s="878"/>
      <c r="M405" s="49">
        <f t="shared" si="64"/>
        <v>1</v>
      </c>
      <c r="N405" s="878"/>
      <c r="O405" s="49">
        <f t="shared" si="65"/>
        <v>1</v>
      </c>
      <c r="P405" s="878"/>
      <c r="Q405" s="49">
        <f t="shared" si="66"/>
        <v>1</v>
      </c>
      <c r="R405" s="49">
        <f t="shared" si="67"/>
        <v>0</v>
      </c>
      <c r="S405" s="734">
        <f t="shared" si="68"/>
        <v>0</v>
      </c>
    </row>
    <row r="406" spans="1:19">
      <c r="A406" s="879"/>
      <c r="B406" s="126"/>
      <c r="C406" s="49">
        <f t="shared" si="59"/>
        <v>1</v>
      </c>
      <c r="D406" s="878"/>
      <c r="E406" s="49">
        <f t="shared" si="60"/>
        <v>1</v>
      </c>
      <c r="F406" s="878"/>
      <c r="G406" s="49">
        <f t="shared" si="61"/>
        <v>1</v>
      </c>
      <c r="H406" s="878"/>
      <c r="I406" s="49">
        <f t="shared" si="62"/>
        <v>1</v>
      </c>
      <c r="J406" s="878"/>
      <c r="K406" s="49">
        <f t="shared" si="63"/>
        <v>1</v>
      </c>
      <c r="L406" s="878"/>
      <c r="M406" s="49">
        <f t="shared" si="64"/>
        <v>1</v>
      </c>
      <c r="N406" s="878"/>
      <c r="O406" s="49">
        <f t="shared" si="65"/>
        <v>1</v>
      </c>
      <c r="P406" s="878"/>
      <c r="Q406" s="49">
        <f t="shared" si="66"/>
        <v>1</v>
      </c>
      <c r="R406" s="49">
        <f t="shared" si="67"/>
        <v>0</v>
      </c>
      <c r="S406" s="734">
        <f t="shared" si="68"/>
        <v>0</v>
      </c>
    </row>
    <row r="407" spans="1:19">
      <c r="A407" s="879"/>
      <c r="B407" s="126"/>
      <c r="C407" s="49">
        <f t="shared" si="59"/>
        <v>1</v>
      </c>
      <c r="D407" s="878"/>
      <c r="E407" s="49">
        <f t="shared" si="60"/>
        <v>1</v>
      </c>
      <c r="F407" s="878"/>
      <c r="G407" s="49">
        <f t="shared" si="61"/>
        <v>1</v>
      </c>
      <c r="H407" s="878"/>
      <c r="I407" s="49">
        <f t="shared" si="62"/>
        <v>1</v>
      </c>
      <c r="J407" s="878"/>
      <c r="K407" s="49">
        <f t="shared" si="63"/>
        <v>1</v>
      </c>
      <c r="L407" s="878"/>
      <c r="M407" s="49">
        <f t="shared" si="64"/>
        <v>1</v>
      </c>
      <c r="N407" s="878"/>
      <c r="O407" s="49">
        <f t="shared" si="65"/>
        <v>1</v>
      </c>
      <c r="P407" s="878"/>
      <c r="Q407" s="49">
        <f t="shared" si="66"/>
        <v>1</v>
      </c>
      <c r="R407" s="49">
        <f t="shared" si="67"/>
        <v>0</v>
      </c>
      <c r="S407" s="734">
        <f t="shared" si="68"/>
        <v>0</v>
      </c>
    </row>
    <row r="408" spans="1:19">
      <c r="A408" s="879"/>
      <c r="B408" s="126"/>
      <c r="C408" s="49">
        <f t="shared" si="59"/>
        <v>1</v>
      </c>
      <c r="D408" s="878"/>
      <c r="E408" s="49">
        <f t="shared" si="60"/>
        <v>1</v>
      </c>
      <c r="F408" s="878"/>
      <c r="G408" s="49">
        <f t="shared" si="61"/>
        <v>1</v>
      </c>
      <c r="H408" s="878"/>
      <c r="I408" s="49">
        <f t="shared" si="62"/>
        <v>1</v>
      </c>
      <c r="J408" s="878"/>
      <c r="K408" s="49">
        <f t="shared" si="63"/>
        <v>1</v>
      </c>
      <c r="L408" s="878"/>
      <c r="M408" s="49">
        <f t="shared" si="64"/>
        <v>1</v>
      </c>
      <c r="N408" s="878"/>
      <c r="O408" s="49">
        <f t="shared" si="65"/>
        <v>1</v>
      </c>
      <c r="P408" s="878"/>
      <c r="Q408" s="49">
        <f t="shared" si="66"/>
        <v>1</v>
      </c>
      <c r="R408" s="49">
        <f t="shared" si="67"/>
        <v>0</v>
      </c>
      <c r="S408" s="734">
        <f t="shared" si="68"/>
        <v>0</v>
      </c>
    </row>
    <row r="409" spans="1:19">
      <c r="A409" s="879"/>
      <c r="B409" s="126"/>
      <c r="C409" s="49">
        <f t="shared" si="59"/>
        <v>1</v>
      </c>
      <c r="D409" s="878"/>
      <c r="E409" s="49">
        <f t="shared" si="60"/>
        <v>1</v>
      </c>
      <c r="F409" s="878"/>
      <c r="G409" s="49">
        <f t="shared" si="61"/>
        <v>1</v>
      </c>
      <c r="H409" s="878"/>
      <c r="I409" s="49">
        <f t="shared" si="62"/>
        <v>1</v>
      </c>
      <c r="J409" s="878"/>
      <c r="K409" s="49">
        <f t="shared" si="63"/>
        <v>1</v>
      </c>
      <c r="L409" s="878"/>
      <c r="M409" s="49">
        <f t="shared" si="64"/>
        <v>1</v>
      </c>
      <c r="N409" s="878"/>
      <c r="O409" s="49">
        <f t="shared" si="65"/>
        <v>1</v>
      </c>
      <c r="P409" s="878"/>
      <c r="Q409" s="49">
        <f t="shared" si="66"/>
        <v>1</v>
      </c>
      <c r="R409" s="49">
        <f t="shared" si="67"/>
        <v>0</v>
      </c>
      <c r="S409" s="734">
        <f t="shared" si="68"/>
        <v>0</v>
      </c>
    </row>
    <row r="410" spans="1:19">
      <c r="A410" s="879"/>
      <c r="B410" s="126"/>
      <c r="C410" s="49">
        <f t="shared" ref="C410:C473" si="69">IF(B410="",1,(LOOKUP(B410,$3:$3,$4:$4)-LOOKUP($B$24,$3:$3,$4:$4)+100)/100)</f>
        <v>1</v>
      </c>
      <c r="D410" s="878"/>
      <c r="E410" s="49">
        <f t="shared" ref="E410:E473" si="70">(SUMIF($5:$5,D410,$6:$6)-SUMIF($5:$5,$D$24,$6:$6)+100)/100</f>
        <v>1</v>
      </c>
      <c r="F410" s="878"/>
      <c r="G410" s="49">
        <f t="shared" ref="G410:G473" si="71">(SUMIF($7:$7,F410,$8:$8)-SUMIF($7:$7,$F$24,$8:$8)+100)/100</f>
        <v>1</v>
      </c>
      <c r="H410" s="878"/>
      <c r="I410" s="49">
        <f t="shared" ref="I410:I473" si="72">(SUMIF($9:$9,H410,$10:$10)-SUMIF($9:$9,$H$24,$10:$10)+100)/100</f>
        <v>1</v>
      </c>
      <c r="J410" s="878"/>
      <c r="K410" s="49">
        <f t="shared" ref="K410:K473" si="73">(SUMIF($11:$11,J410,$12:$12)-SUMIF($11:$11,$J$24,$12:$12)+100)/100</f>
        <v>1</v>
      </c>
      <c r="L410" s="878"/>
      <c r="M410" s="49">
        <f t="shared" ref="M410:M473" si="74">(SUMIF($13:$13,L410,$14:$14)-SUMIF($13:$13,$L$24,$14:$14)+100)/100</f>
        <v>1</v>
      </c>
      <c r="N410" s="878"/>
      <c r="O410" s="49">
        <f t="shared" ref="O410:O473" si="75">(SUMIF($15:$15,N410,$16:$16)-SUMIF($15:$15,$N$24,$16:$16)+100)/100</f>
        <v>1</v>
      </c>
      <c r="P410" s="878"/>
      <c r="Q410" s="49">
        <f t="shared" ref="Q410:Q473" si="76">(SUMIF($17:$17,P410,$18:$18)-SUMIF($17:$17,$P$24,$18:$18)+100)/100</f>
        <v>1</v>
      </c>
      <c r="R410" s="49">
        <f t="shared" ref="R410:R473" si="77">IF(B410="",0,ROUND($R$24*C410*E410*G410*I410*K410*M410*O410*Q410,0))</f>
        <v>0</v>
      </c>
      <c r="S410" s="734">
        <f t="shared" si="68"/>
        <v>0</v>
      </c>
    </row>
    <row r="411" spans="1:19">
      <c r="A411" s="879"/>
      <c r="B411" s="126"/>
      <c r="C411" s="49">
        <f t="shared" si="69"/>
        <v>1</v>
      </c>
      <c r="D411" s="878"/>
      <c r="E411" s="49">
        <f t="shared" si="70"/>
        <v>1</v>
      </c>
      <c r="F411" s="878"/>
      <c r="G411" s="49">
        <f t="shared" si="71"/>
        <v>1</v>
      </c>
      <c r="H411" s="878"/>
      <c r="I411" s="49">
        <f t="shared" si="72"/>
        <v>1</v>
      </c>
      <c r="J411" s="878"/>
      <c r="K411" s="49">
        <f t="shared" si="73"/>
        <v>1</v>
      </c>
      <c r="L411" s="878"/>
      <c r="M411" s="49">
        <f t="shared" si="74"/>
        <v>1</v>
      </c>
      <c r="N411" s="878"/>
      <c r="O411" s="49">
        <f t="shared" si="75"/>
        <v>1</v>
      </c>
      <c r="P411" s="878"/>
      <c r="Q411" s="49">
        <f t="shared" si="76"/>
        <v>1</v>
      </c>
      <c r="R411" s="49">
        <f t="shared" si="77"/>
        <v>0</v>
      </c>
      <c r="S411" s="734">
        <f t="shared" si="68"/>
        <v>0</v>
      </c>
    </row>
    <row r="412" spans="1:19">
      <c r="A412" s="879"/>
      <c r="B412" s="126"/>
      <c r="C412" s="49">
        <f t="shared" si="69"/>
        <v>1</v>
      </c>
      <c r="D412" s="878"/>
      <c r="E412" s="49">
        <f t="shared" si="70"/>
        <v>1</v>
      </c>
      <c r="F412" s="878"/>
      <c r="G412" s="49">
        <f t="shared" si="71"/>
        <v>1</v>
      </c>
      <c r="H412" s="878"/>
      <c r="I412" s="49">
        <f t="shared" si="72"/>
        <v>1</v>
      </c>
      <c r="J412" s="878"/>
      <c r="K412" s="49">
        <f t="shared" si="73"/>
        <v>1</v>
      </c>
      <c r="L412" s="878"/>
      <c r="M412" s="49">
        <f t="shared" si="74"/>
        <v>1</v>
      </c>
      <c r="N412" s="878"/>
      <c r="O412" s="49">
        <f t="shared" si="75"/>
        <v>1</v>
      </c>
      <c r="P412" s="878"/>
      <c r="Q412" s="49">
        <f t="shared" si="76"/>
        <v>1</v>
      </c>
      <c r="R412" s="49">
        <f t="shared" si="77"/>
        <v>0</v>
      </c>
      <c r="S412" s="734">
        <f t="shared" si="68"/>
        <v>0</v>
      </c>
    </row>
    <row r="413" spans="1:19">
      <c r="A413" s="879"/>
      <c r="B413" s="126"/>
      <c r="C413" s="49">
        <f t="shared" si="69"/>
        <v>1</v>
      </c>
      <c r="D413" s="878"/>
      <c r="E413" s="49">
        <f t="shared" si="70"/>
        <v>1</v>
      </c>
      <c r="F413" s="878"/>
      <c r="G413" s="49">
        <f t="shared" si="71"/>
        <v>1</v>
      </c>
      <c r="H413" s="878"/>
      <c r="I413" s="49">
        <f t="shared" si="72"/>
        <v>1</v>
      </c>
      <c r="J413" s="878"/>
      <c r="K413" s="49">
        <f t="shared" si="73"/>
        <v>1</v>
      </c>
      <c r="L413" s="878"/>
      <c r="M413" s="49">
        <f t="shared" si="74"/>
        <v>1</v>
      </c>
      <c r="N413" s="878"/>
      <c r="O413" s="49">
        <f t="shared" si="75"/>
        <v>1</v>
      </c>
      <c r="P413" s="878"/>
      <c r="Q413" s="49">
        <f t="shared" si="76"/>
        <v>1</v>
      </c>
      <c r="R413" s="49">
        <f t="shared" si="77"/>
        <v>0</v>
      </c>
      <c r="S413" s="734">
        <f t="shared" si="68"/>
        <v>0</v>
      </c>
    </row>
    <row r="414" spans="1:19">
      <c r="A414" s="879"/>
      <c r="B414" s="126"/>
      <c r="C414" s="49">
        <f t="shared" si="69"/>
        <v>1</v>
      </c>
      <c r="D414" s="878"/>
      <c r="E414" s="49">
        <f t="shared" si="70"/>
        <v>1</v>
      </c>
      <c r="F414" s="878"/>
      <c r="G414" s="49">
        <f t="shared" si="71"/>
        <v>1</v>
      </c>
      <c r="H414" s="878"/>
      <c r="I414" s="49">
        <f t="shared" si="72"/>
        <v>1</v>
      </c>
      <c r="J414" s="878"/>
      <c r="K414" s="49">
        <f t="shared" si="73"/>
        <v>1</v>
      </c>
      <c r="L414" s="878"/>
      <c r="M414" s="49">
        <f t="shared" si="74"/>
        <v>1</v>
      </c>
      <c r="N414" s="878"/>
      <c r="O414" s="49">
        <f t="shared" si="75"/>
        <v>1</v>
      </c>
      <c r="P414" s="878"/>
      <c r="Q414" s="49">
        <f t="shared" si="76"/>
        <v>1</v>
      </c>
      <c r="R414" s="49">
        <f t="shared" si="77"/>
        <v>0</v>
      </c>
      <c r="S414" s="734">
        <f t="shared" si="68"/>
        <v>0</v>
      </c>
    </row>
    <row r="415" spans="1:19">
      <c r="A415" s="879"/>
      <c r="B415" s="126"/>
      <c r="C415" s="49">
        <f t="shared" si="69"/>
        <v>1</v>
      </c>
      <c r="D415" s="878"/>
      <c r="E415" s="49">
        <f t="shared" si="70"/>
        <v>1</v>
      </c>
      <c r="F415" s="878"/>
      <c r="G415" s="49">
        <f t="shared" si="71"/>
        <v>1</v>
      </c>
      <c r="H415" s="878"/>
      <c r="I415" s="49">
        <f t="shared" si="72"/>
        <v>1</v>
      </c>
      <c r="J415" s="878"/>
      <c r="K415" s="49">
        <f t="shared" si="73"/>
        <v>1</v>
      </c>
      <c r="L415" s="878"/>
      <c r="M415" s="49">
        <f t="shared" si="74"/>
        <v>1</v>
      </c>
      <c r="N415" s="878"/>
      <c r="O415" s="49">
        <f t="shared" si="75"/>
        <v>1</v>
      </c>
      <c r="P415" s="878"/>
      <c r="Q415" s="49">
        <f t="shared" si="76"/>
        <v>1</v>
      </c>
      <c r="R415" s="49">
        <f t="shared" si="77"/>
        <v>0</v>
      </c>
      <c r="S415" s="734">
        <f t="shared" si="68"/>
        <v>0</v>
      </c>
    </row>
    <row r="416" spans="1:19">
      <c r="A416" s="879"/>
      <c r="B416" s="126"/>
      <c r="C416" s="49">
        <f t="shared" si="69"/>
        <v>1</v>
      </c>
      <c r="D416" s="878"/>
      <c r="E416" s="49">
        <f t="shared" si="70"/>
        <v>1</v>
      </c>
      <c r="F416" s="878"/>
      <c r="G416" s="49">
        <f t="shared" si="71"/>
        <v>1</v>
      </c>
      <c r="H416" s="878"/>
      <c r="I416" s="49">
        <f t="shared" si="72"/>
        <v>1</v>
      </c>
      <c r="J416" s="878"/>
      <c r="K416" s="49">
        <f t="shared" si="73"/>
        <v>1</v>
      </c>
      <c r="L416" s="878"/>
      <c r="M416" s="49">
        <f t="shared" si="74"/>
        <v>1</v>
      </c>
      <c r="N416" s="878"/>
      <c r="O416" s="49">
        <f t="shared" si="75"/>
        <v>1</v>
      </c>
      <c r="P416" s="878"/>
      <c r="Q416" s="49">
        <f t="shared" si="76"/>
        <v>1</v>
      </c>
      <c r="R416" s="49">
        <f t="shared" si="77"/>
        <v>0</v>
      </c>
      <c r="S416" s="734">
        <f t="shared" si="68"/>
        <v>0</v>
      </c>
    </row>
    <row r="417" spans="1:19">
      <c r="A417" s="879"/>
      <c r="B417" s="126"/>
      <c r="C417" s="49">
        <f t="shared" si="69"/>
        <v>1</v>
      </c>
      <c r="D417" s="878"/>
      <c r="E417" s="49">
        <f t="shared" si="70"/>
        <v>1</v>
      </c>
      <c r="F417" s="878"/>
      <c r="G417" s="49">
        <f t="shared" si="71"/>
        <v>1</v>
      </c>
      <c r="H417" s="878"/>
      <c r="I417" s="49">
        <f t="shared" si="72"/>
        <v>1</v>
      </c>
      <c r="J417" s="878"/>
      <c r="K417" s="49">
        <f t="shared" si="73"/>
        <v>1</v>
      </c>
      <c r="L417" s="878"/>
      <c r="M417" s="49">
        <f t="shared" si="74"/>
        <v>1</v>
      </c>
      <c r="N417" s="878"/>
      <c r="O417" s="49">
        <f t="shared" si="75"/>
        <v>1</v>
      </c>
      <c r="P417" s="878"/>
      <c r="Q417" s="49">
        <f t="shared" si="76"/>
        <v>1</v>
      </c>
      <c r="R417" s="49">
        <f t="shared" si="77"/>
        <v>0</v>
      </c>
      <c r="S417" s="734">
        <f t="shared" si="68"/>
        <v>0</v>
      </c>
    </row>
    <row r="418" spans="1:19">
      <c r="A418" s="879"/>
      <c r="B418" s="126"/>
      <c r="C418" s="49">
        <f t="shared" si="69"/>
        <v>1</v>
      </c>
      <c r="D418" s="878"/>
      <c r="E418" s="49">
        <f t="shared" si="70"/>
        <v>1</v>
      </c>
      <c r="F418" s="878"/>
      <c r="G418" s="49">
        <f t="shared" si="71"/>
        <v>1</v>
      </c>
      <c r="H418" s="878"/>
      <c r="I418" s="49">
        <f t="shared" si="72"/>
        <v>1</v>
      </c>
      <c r="J418" s="878"/>
      <c r="K418" s="49">
        <f t="shared" si="73"/>
        <v>1</v>
      </c>
      <c r="L418" s="878"/>
      <c r="M418" s="49">
        <f t="shared" si="74"/>
        <v>1</v>
      </c>
      <c r="N418" s="878"/>
      <c r="O418" s="49">
        <f t="shared" si="75"/>
        <v>1</v>
      </c>
      <c r="P418" s="878"/>
      <c r="Q418" s="49">
        <f t="shared" si="76"/>
        <v>1</v>
      </c>
      <c r="R418" s="49">
        <f t="shared" si="77"/>
        <v>0</v>
      </c>
      <c r="S418" s="734">
        <f t="shared" si="68"/>
        <v>0</v>
      </c>
    </row>
    <row r="419" spans="1:19">
      <c r="A419" s="879"/>
      <c r="B419" s="126"/>
      <c r="C419" s="49">
        <f t="shared" si="69"/>
        <v>1</v>
      </c>
      <c r="D419" s="878"/>
      <c r="E419" s="49">
        <f t="shared" si="70"/>
        <v>1</v>
      </c>
      <c r="F419" s="878"/>
      <c r="G419" s="49">
        <f t="shared" si="71"/>
        <v>1</v>
      </c>
      <c r="H419" s="878"/>
      <c r="I419" s="49">
        <f t="shared" si="72"/>
        <v>1</v>
      </c>
      <c r="J419" s="878"/>
      <c r="K419" s="49">
        <f t="shared" si="73"/>
        <v>1</v>
      </c>
      <c r="L419" s="878"/>
      <c r="M419" s="49">
        <f t="shared" si="74"/>
        <v>1</v>
      </c>
      <c r="N419" s="878"/>
      <c r="O419" s="49">
        <f t="shared" si="75"/>
        <v>1</v>
      </c>
      <c r="P419" s="878"/>
      <c r="Q419" s="49">
        <f t="shared" si="76"/>
        <v>1</v>
      </c>
      <c r="R419" s="49">
        <f t="shared" si="77"/>
        <v>0</v>
      </c>
      <c r="S419" s="734">
        <f t="shared" si="68"/>
        <v>0</v>
      </c>
    </row>
    <row r="420" spans="1:19">
      <c r="A420" s="879"/>
      <c r="B420" s="126"/>
      <c r="C420" s="49">
        <f t="shared" si="69"/>
        <v>1</v>
      </c>
      <c r="D420" s="878"/>
      <c r="E420" s="49">
        <f t="shared" si="70"/>
        <v>1</v>
      </c>
      <c r="F420" s="878"/>
      <c r="G420" s="49">
        <f t="shared" si="71"/>
        <v>1</v>
      </c>
      <c r="H420" s="878"/>
      <c r="I420" s="49">
        <f t="shared" si="72"/>
        <v>1</v>
      </c>
      <c r="J420" s="878"/>
      <c r="K420" s="49">
        <f t="shared" si="73"/>
        <v>1</v>
      </c>
      <c r="L420" s="878"/>
      <c r="M420" s="49">
        <f t="shared" si="74"/>
        <v>1</v>
      </c>
      <c r="N420" s="878"/>
      <c r="O420" s="49">
        <f t="shared" si="75"/>
        <v>1</v>
      </c>
      <c r="P420" s="878"/>
      <c r="Q420" s="49">
        <f t="shared" si="76"/>
        <v>1</v>
      </c>
      <c r="R420" s="49">
        <f t="shared" si="77"/>
        <v>0</v>
      </c>
      <c r="S420" s="734">
        <f t="shared" si="68"/>
        <v>0</v>
      </c>
    </row>
    <row r="421" spans="1:19">
      <c r="A421" s="879"/>
      <c r="B421" s="126"/>
      <c r="C421" s="49">
        <f t="shared" si="69"/>
        <v>1</v>
      </c>
      <c r="D421" s="878"/>
      <c r="E421" s="49">
        <f t="shared" si="70"/>
        <v>1</v>
      </c>
      <c r="F421" s="878"/>
      <c r="G421" s="49">
        <f t="shared" si="71"/>
        <v>1</v>
      </c>
      <c r="H421" s="878"/>
      <c r="I421" s="49">
        <f t="shared" si="72"/>
        <v>1</v>
      </c>
      <c r="J421" s="878"/>
      <c r="K421" s="49">
        <f t="shared" si="73"/>
        <v>1</v>
      </c>
      <c r="L421" s="878"/>
      <c r="M421" s="49">
        <f t="shared" si="74"/>
        <v>1</v>
      </c>
      <c r="N421" s="878"/>
      <c r="O421" s="49">
        <f t="shared" si="75"/>
        <v>1</v>
      </c>
      <c r="P421" s="878"/>
      <c r="Q421" s="49">
        <f t="shared" si="76"/>
        <v>1</v>
      </c>
      <c r="R421" s="49">
        <f t="shared" si="77"/>
        <v>0</v>
      </c>
      <c r="S421" s="734">
        <f t="shared" si="68"/>
        <v>0</v>
      </c>
    </row>
    <row r="422" spans="1:19">
      <c r="A422" s="879"/>
      <c r="B422" s="126"/>
      <c r="C422" s="49">
        <f t="shared" si="69"/>
        <v>1</v>
      </c>
      <c r="D422" s="878"/>
      <c r="E422" s="49">
        <f t="shared" si="70"/>
        <v>1</v>
      </c>
      <c r="F422" s="878"/>
      <c r="G422" s="49">
        <f t="shared" si="71"/>
        <v>1</v>
      </c>
      <c r="H422" s="878"/>
      <c r="I422" s="49">
        <f t="shared" si="72"/>
        <v>1</v>
      </c>
      <c r="J422" s="878"/>
      <c r="K422" s="49">
        <f t="shared" si="73"/>
        <v>1</v>
      </c>
      <c r="L422" s="878"/>
      <c r="M422" s="49">
        <f t="shared" si="74"/>
        <v>1</v>
      </c>
      <c r="N422" s="878"/>
      <c r="O422" s="49">
        <f t="shared" si="75"/>
        <v>1</v>
      </c>
      <c r="P422" s="878"/>
      <c r="Q422" s="49">
        <f t="shared" si="76"/>
        <v>1</v>
      </c>
      <c r="R422" s="49">
        <f t="shared" si="77"/>
        <v>0</v>
      </c>
      <c r="S422" s="734">
        <f t="shared" si="68"/>
        <v>0</v>
      </c>
    </row>
    <row r="423" spans="1:19">
      <c r="A423" s="879"/>
      <c r="B423" s="126"/>
      <c r="C423" s="49">
        <f t="shared" si="69"/>
        <v>1</v>
      </c>
      <c r="D423" s="878"/>
      <c r="E423" s="49">
        <f t="shared" si="70"/>
        <v>1</v>
      </c>
      <c r="F423" s="878"/>
      <c r="G423" s="49">
        <f t="shared" si="71"/>
        <v>1</v>
      </c>
      <c r="H423" s="878"/>
      <c r="I423" s="49">
        <f t="shared" si="72"/>
        <v>1</v>
      </c>
      <c r="J423" s="878"/>
      <c r="K423" s="49">
        <f t="shared" si="73"/>
        <v>1</v>
      </c>
      <c r="L423" s="878"/>
      <c r="M423" s="49">
        <f t="shared" si="74"/>
        <v>1</v>
      </c>
      <c r="N423" s="878"/>
      <c r="O423" s="49">
        <f t="shared" si="75"/>
        <v>1</v>
      </c>
      <c r="P423" s="878"/>
      <c r="Q423" s="49">
        <f t="shared" si="76"/>
        <v>1</v>
      </c>
      <c r="R423" s="49">
        <f t="shared" si="77"/>
        <v>0</v>
      </c>
      <c r="S423" s="734">
        <f t="shared" ref="S423:S467" si="78">ROUND(R423*B423/10000,0)</f>
        <v>0</v>
      </c>
    </row>
    <row r="424" spans="1:19">
      <c r="A424" s="879"/>
      <c r="B424" s="126"/>
      <c r="C424" s="49">
        <f t="shared" si="69"/>
        <v>1</v>
      </c>
      <c r="D424" s="878"/>
      <c r="E424" s="49">
        <f t="shared" si="70"/>
        <v>1</v>
      </c>
      <c r="F424" s="878"/>
      <c r="G424" s="49">
        <f t="shared" si="71"/>
        <v>1</v>
      </c>
      <c r="H424" s="878"/>
      <c r="I424" s="49">
        <f t="shared" si="72"/>
        <v>1</v>
      </c>
      <c r="J424" s="878"/>
      <c r="K424" s="49">
        <f t="shared" si="73"/>
        <v>1</v>
      </c>
      <c r="L424" s="878"/>
      <c r="M424" s="49">
        <f t="shared" si="74"/>
        <v>1</v>
      </c>
      <c r="N424" s="878"/>
      <c r="O424" s="49">
        <f t="shared" si="75"/>
        <v>1</v>
      </c>
      <c r="P424" s="878"/>
      <c r="Q424" s="49">
        <f t="shared" si="76"/>
        <v>1</v>
      </c>
      <c r="R424" s="49">
        <f t="shared" si="77"/>
        <v>0</v>
      </c>
      <c r="S424" s="734">
        <f t="shared" si="78"/>
        <v>0</v>
      </c>
    </row>
    <row r="425" spans="1:19">
      <c r="A425" s="879"/>
      <c r="B425" s="126"/>
      <c r="C425" s="49">
        <f t="shared" si="69"/>
        <v>1</v>
      </c>
      <c r="D425" s="878"/>
      <c r="E425" s="49">
        <f t="shared" si="70"/>
        <v>1</v>
      </c>
      <c r="F425" s="878"/>
      <c r="G425" s="49">
        <f t="shared" si="71"/>
        <v>1</v>
      </c>
      <c r="H425" s="878"/>
      <c r="I425" s="49">
        <f t="shared" si="72"/>
        <v>1</v>
      </c>
      <c r="J425" s="878"/>
      <c r="K425" s="49">
        <f t="shared" si="73"/>
        <v>1</v>
      </c>
      <c r="L425" s="878"/>
      <c r="M425" s="49">
        <f t="shared" si="74"/>
        <v>1</v>
      </c>
      <c r="N425" s="878"/>
      <c r="O425" s="49">
        <f t="shared" si="75"/>
        <v>1</v>
      </c>
      <c r="P425" s="878"/>
      <c r="Q425" s="49">
        <f t="shared" si="76"/>
        <v>1</v>
      </c>
      <c r="R425" s="49">
        <f t="shared" si="77"/>
        <v>0</v>
      </c>
      <c r="S425" s="734">
        <f t="shared" si="78"/>
        <v>0</v>
      </c>
    </row>
    <row r="426" spans="1:19">
      <c r="A426" s="879"/>
      <c r="B426" s="126"/>
      <c r="C426" s="49">
        <f t="shared" si="69"/>
        <v>1</v>
      </c>
      <c r="D426" s="878"/>
      <c r="E426" s="49">
        <f t="shared" si="70"/>
        <v>1</v>
      </c>
      <c r="F426" s="878"/>
      <c r="G426" s="49">
        <f t="shared" si="71"/>
        <v>1</v>
      </c>
      <c r="H426" s="878"/>
      <c r="I426" s="49">
        <f t="shared" si="72"/>
        <v>1</v>
      </c>
      <c r="J426" s="878"/>
      <c r="K426" s="49">
        <f t="shared" si="73"/>
        <v>1</v>
      </c>
      <c r="L426" s="878"/>
      <c r="M426" s="49">
        <f t="shared" si="74"/>
        <v>1</v>
      </c>
      <c r="N426" s="878"/>
      <c r="O426" s="49">
        <f t="shared" si="75"/>
        <v>1</v>
      </c>
      <c r="P426" s="878"/>
      <c r="Q426" s="49">
        <f t="shared" si="76"/>
        <v>1</v>
      </c>
      <c r="R426" s="49">
        <f t="shared" si="77"/>
        <v>0</v>
      </c>
      <c r="S426" s="734">
        <f t="shared" si="78"/>
        <v>0</v>
      </c>
    </row>
    <row r="427" spans="1:19">
      <c r="A427" s="879"/>
      <c r="B427" s="126"/>
      <c r="C427" s="49">
        <f t="shared" si="69"/>
        <v>1</v>
      </c>
      <c r="D427" s="878"/>
      <c r="E427" s="49">
        <f t="shared" si="70"/>
        <v>1</v>
      </c>
      <c r="F427" s="878"/>
      <c r="G427" s="49">
        <f t="shared" si="71"/>
        <v>1</v>
      </c>
      <c r="H427" s="878"/>
      <c r="I427" s="49">
        <f t="shared" si="72"/>
        <v>1</v>
      </c>
      <c r="J427" s="878"/>
      <c r="K427" s="49">
        <f t="shared" si="73"/>
        <v>1</v>
      </c>
      <c r="L427" s="878"/>
      <c r="M427" s="49">
        <f t="shared" si="74"/>
        <v>1</v>
      </c>
      <c r="N427" s="878"/>
      <c r="O427" s="49">
        <f t="shared" si="75"/>
        <v>1</v>
      </c>
      <c r="P427" s="878"/>
      <c r="Q427" s="49">
        <f t="shared" si="76"/>
        <v>1</v>
      </c>
      <c r="R427" s="49">
        <f t="shared" si="77"/>
        <v>0</v>
      </c>
      <c r="S427" s="734">
        <f t="shared" si="78"/>
        <v>0</v>
      </c>
    </row>
    <row r="428" spans="1:19">
      <c r="A428" s="879"/>
      <c r="B428" s="126"/>
      <c r="C428" s="49">
        <f t="shared" si="69"/>
        <v>1</v>
      </c>
      <c r="D428" s="878"/>
      <c r="E428" s="49">
        <f t="shared" si="70"/>
        <v>1</v>
      </c>
      <c r="F428" s="878"/>
      <c r="G428" s="49">
        <f t="shared" si="71"/>
        <v>1</v>
      </c>
      <c r="H428" s="878"/>
      <c r="I428" s="49">
        <f t="shared" si="72"/>
        <v>1</v>
      </c>
      <c r="J428" s="878"/>
      <c r="K428" s="49">
        <f t="shared" si="73"/>
        <v>1</v>
      </c>
      <c r="L428" s="878"/>
      <c r="M428" s="49">
        <f t="shared" si="74"/>
        <v>1</v>
      </c>
      <c r="N428" s="878"/>
      <c r="O428" s="49">
        <f t="shared" si="75"/>
        <v>1</v>
      </c>
      <c r="P428" s="878"/>
      <c r="Q428" s="49">
        <f t="shared" si="76"/>
        <v>1</v>
      </c>
      <c r="R428" s="49">
        <f t="shared" si="77"/>
        <v>0</v>
      </c>
      <c r="S428" s="734">
        <f t="shared" si="78"/>
        <v>0</v>
      </c>
    </row>
    <row r="429" spans="1:19">
      <c r="A429" s="879"/>
      <c r="B429" s="126"/>
      <c r="C429" s="49">
        <f t="shared" si="69"/>
        <v>1</v>
      </c>
      <c r="D429" s="878"/>
      <c r="E429" s="49">
        <f t="shared" si="70"/>
        <v>1</v>
      </c>
      <c r="F429" s="878"/>
      <c r="G429" s="49">
        <f t="shared" si="71"/>
        <v>1</v>
      </c>
      <c r="H429" s="878"/>
      <c r="I429" s="49">
        <f t="shared" si="72"/>
        <v>1</v>
      </c>
      <c r="J429" s="878"/>
      <c r="K429" s="49">
        <f t="shared" si="73"/>
        <v>1</v>
      </c>
      <c r="L429" s="878"/>
      <c r="M429" s="49">
        <f t="shared" si="74"/>
        <v>1</v>
      </c>
      <c r="N429" s="878"/>
      <c r="O429" s="49">
        <f t="shared" si="75"/>
        <v>1</v>
      </c>
      <c r="P429" s="878"/>
      <c r="Q429" s="49">
        <f t="shared" si="76"/>
        <v>1</v>
      </c>
      <c r="R429" s="49">
        <f t="shared" si="77"/>
        <v>0</v>
      </c>
      <c r="S429" s="734">
        <f t="shared" si="78"/>
        <v>0</v>
      </c>
    </row>
    <row r="430" spans="1:19">
      <c r="A430" s="879"/>
      <c r="B430" s="126"/>
      <c r="C430" s="49">
        <f t="shared" si="69"/>
        <v>1</v>
      </c>
      <c r="D430" s="878"/>
      <c r="E430" s="49">
        <f t="shared" si="70"/>
        <v>1</v>
      </c>
      <c r="F430" s="878"/>
      <c r="G430" s="49">
        <f t="shared" si="71"/>
        <v>1</v>
      </c>
      <c r="H430" s="878"/>
      <c r="I430" s="49">
        <f t="shared" si="72"/>
        <v>1</v>
      </c>
      <c r="J430" s="878"/>
      <c r="K430" s="49">
        <f t="shared" si="73"/>
        <v>1</v>
      </c>
      <c r="L430" s="878"/>
      <c r="M430" s="49">
        <f t="shared" si="74"/>
        <v>1</v>
      </c>
      <c r="N430" s="878"/>
      <c r="O430" s="49">
        <f t="shared" si="75"/>
        <v>1</v>
      </c>
      <c r="P430" s="878"/>
      <c r="Q430" s="49">
        <f t="shared" si="76"/>
        <v>1</v>
      </c>
      <c r="R430" s="49">
        <f t="shared" si="77"/>
        <v>0</v>
      </c>
      <c r="S430" s="734">
        <f t="shared" si="78"/>
        <v>0</v>
      </c>
    </row>
    <row r="431" spans="1:19">
      <c r="A431" s="879"/>
      <c r="B431" s="126"/>
      <c r="C431" s="49">
        <f t="shared" si="69"/>
        <v>1</v>
      </c>
      <c r="D431" s="878"/>
      <c r="E431" s="49">
        <f t="shared" si="70"/>
        <v>1</v>
      </c>
      <c r="F431" s="878"/>
      <c r="G431" s="49">
        <f t="shared" si="71"/>
        <v>1</v>
      </c>
      <c r="H431" s="878"/>
      <c r="I431" s="49">
        <f t="shared" si="72"/>
        <v>1</v>
      </c>
      <c r="J431" s="878"/>
      <c r="K431" s="49">
        <f t="shared" si="73"/>
        <v>1</v>
      </c>
      <c r="L431" s="878"/>
      <c r="M431" s="49">
        <f t="shared" si="74"/>
        <v>1</v>
      </c>
      <c r="N431" s="878"/>
      <c r="O431" s="49">
        <f t="shared" si="75"/>
        <v>1</v>
      </c>
      <c r="P431" s="878"/>
      <c r="Q431" s="49">
        <f t="shared" si="76"/>
        <v>1</v>
      </c>
      <c r="R431" s="49">
        <f t="shared" si="77"/>
        <v>0</v>
      </c>
      <c r="S431" s="734">
        <f t="shared" si="78"/>
        <v>0</v>
      </c>
    </row>
    <row r="432" spans="1:19">
      <c r="A432" s="879"/>
      <c r="B432" s="126"/>
      <c r="C432" s="49">
        <f t="shared" si="69"/>
        <v>1</v>
      </c>
      <c r="D432" s="878"/>
      <c r="E432" s="49">
        <f t="shared" si="70"/>
        <v>1</v>
      </c>
      <c r="F432" s="878"/>
      <c r="G432" s="49">
        <f t="shared" si="71"/>
        <v>1</v>
      </c>
      <c r="H432" s="878"/>
      <c r="I432" s="49">
        <f t="shared" si="72"/>
        <v>1</v>
      </c>
      <c r="J432" s="878"/>
      <c r="K432" s="49">
        <f t="shared" si="73"/>
        <v>1</v>
      </c>
      <c r="L432" s="878"/>
      <c r="M432" s="49">
        <f t="shared" si="74"/>
        <v>1</v>
      </c>
      <c r="N432" s="878"/>
      <c r="O432" s="49">
        <f t="shared" si="75"/>
        <v>1</v>
      </c>
      <c r="P432" s="878"/>
      <c r="Q432" s="49">
        <f t="shared" si="76"/>
        <v>1</v>
      </c>
      <c r="R432" s="49">
        <f t="shared" si="77"/>
        <v>0</v>
      </c>
      <c r="S432" s="734">
        <f t="shared" si="78"/>
        <v>0</v>
      </c>
    </row>
    <row r="433" spans="1:19">
      <c r="A433" s="879"/>
      <c r="B433" s="126"/>
      <c r="C433" s="49">
        <f t="shared" si="69"/>
        <v>1</v>
      </c>
      <c r="D433" s="878"/>
      <c r="E433" s="49">
        <f t="shared" si="70"/>
        <v>1</v>
      </c>
      <c r="F433" s="878"/>
      <c r="G433" s="49">
        <f t="shared" si="71"/>
        <v>1</v>
      </c>
      <c r="H433" s="878"/>
      <c r="I433" s="49">
        <f t="shared" si="72"/>
        <v>1</v>
      </c>
      <c r="J433" s="878"/>
      <c r="K433" s="49">
        <f t="shared" si="73"/>
        <v>1</v>
      </c>
      <c r="L433" s="878"/>
      <c r="M433" s="49">
        <f t="shared" si="74"/>
        <v>1</v>
      </c>
      <c r="N433" s="878"/>
      <c r="O433" s="49">
        <f t="shared" si="75"/>
        <v>1</v>
      </c>
      <c r="P433" s="878"/>
      <c r="Q433" s="49">
        <f t="shared" si="76"/>
        <v>1</v>
      </c>
      <c r="R433" s="49">
        <f t="shared" si="77"/>
        <v>0</v>
      </c>
      <c r="S433" s="734">
        <f t="shared" si="78"/>
        <v>0</v>
      </c>
    </row>
    <row r="434" spans="1:19">
      <c r="A434" s="879"/>
      <c r="B434" s="126"/>
      <c r="C434" s="49">
        <f t="shared" si="69"/>
        <v>1</v>
      </c>
      <c r="D434" s="878"/>
      <c r="E434" s="49">
        <f t="shared" si="70"/>
        <v>1</v>
      </c>
      <c r="F434" s="878"/>
      <c r="G434" s="49">
        <f t="shared" si="71"/>
        <v>1</v>
      </c>
      <c r="H434" s="878"/>
      <c r="I434" s="49">
        <f t="shared" si="72"/>
        <v>1</v>
      </c>
      <c r="J434" s="878"/>
      <c r="K434" s="49">
        <f t="shared" si="73"/>
        <v>1</v>
      </c>
      <c r="L434" s="878"/>
      <c r="M434" s="49">
        <f t="shared" si="74"/>
        <v>1</v>
      </c>
      <c r="N434" s="878"/>
      <c r="O434" s="49">
        <f t="shared" si="75"/>
        <v>1</v>
      </c>
      <c r="P434" s="878"/>
      <c r="Q434" s="49">
        <f t="shared" si="76"/>
        <v>1</v>
      </c>
      <c r="R434" s="49">
        <f t="shared" si="77"/>
        <v>0</v>
      </c>
      <c r="S434" s="734">
        <f t="shared" si="78"/>
        <v>0</v>
      </c>
    </row>
    <row r="435" spans="1:19">
      <c r="A435" s="879"/>
      <c r="B435" s="126"/>
      <c r="C435" s="49">
        <f t="shared" si="69"/>
        <v>1</v>
      </c>
      <c r="D435" s="878"/>
      <c r="E435" s="49">
        <f t="shared" si="70"/>
        <v>1</v>
      </c>
      <c r="F435" s="878"/>
      <c r="G435" s="49">
        <f t="shared" si="71"/>
        <v>1</v>
      </c>
      <c r="H435" s="878"/>
      <c r="I435" s="49">
        <f t="shared" si="72"/>
        <v>1</v>
      </c>
      <c r="J435" s="878"/>
      <c r="K435" s="49">
        <f t="shared" si="73"/>
        <v>1</v>
      </c>
      <c r="L435" s="878"/>
      <c r="M435" s="49">
        <f t="shared" si="74"/>
        <v>1</v>
      </c>
      <c r="N435" s="878"/>
      <c r="O435" s="49">
        <f t="shared" si="75"/>
        <v>1</v>
      </c>
      <c r="P435" s="878"/>
      <c r="Q435" s="49">
        <f t="shared" si="76"/>
        <v>1</v>
      </c>
      <c r="R435" s="49">
        <f t="shared" si="77"/>
        <v>0</v>
      </c>
      <c r="S435" s="734">
        <f t="shared" si="78"/>
        <v>0</v>
      </c>
    </row>
    <row r="436" spans="1:19">
      <c r="A436" s="879"/>
      <c r="B436" s="126"/>
      <c r="C436" s="49">
        <f t="shared" si="69"/>
        <v>1</v>
      </c>
      <c r="D436" s="878"/>
      <c r="E436" s="49">
        <f t="shared" si="70"/>
        <v>1</v>
      </c>
      <c r="F436" s="878"/>
      <c r="G436" s="49">
        <f t="shared" si="71"/>
        <v>1</v>
      </c>
      <c r="H436" s="878"/>
      <c r="I436" s="49">
        <f t="shared" si="72"/>
        <v>1</v>
      </c>
      <c r="J436" s="878"/>
      <c r="K436" s="49">
        <f t="shared" si="73"/>
        <v>1</v>
      </c>
      <c r="L436" s="878"/>
      <c r="M436" s="49">
        <f t="shared" si="74"/>
        <v>1</v>
      </c>
      <c r="N436" s="878"/>
      <c r="O436" s="49">
        <f t="shared" si="75"/>
        <v>1</v>
      </c>
      <c r="P436" s="878"/>
      <c r="Q436" s="49">
        <f t="shared" si="76"/>
        <v>1</v>
      </c>
      <c r="R436" s="49">
        <f t="shared" si="77"/>
        <v>0</v>
      </c>
      <c r="S436" s="734">
        <f t="shared" si="78"/>
        <v>0</v>
      </c>
    </row>
    <row r="437" spans="1:19">
      <c r="A437" s="879"/>
      <c r="B437" s="126"/>
      <c r="C437" s="49">
        <f t="shared" si="69"/>
        <v>1</v>
      </c>
      <c r="D437" s="878"/>
      <c r="E437" s="49">
        <f t="shared" si="70"/>
        <v>1</v>
      </c>
      <c r="F437" s="878"/>
      <c r="G437" s="49">
        <f t="shared" si="71"/>
        <v>1</v>
      </c>
      <c r="H437" s="878"/>
      <c r="I437" s="49">
        <f t="shared" si="72"/>
        <v>1</v>
      </c>
      <c r="J437" s="878"/>
      <c r="K437" s="49">
        <f t="shared" si="73"/>
        <v>1</v>
      </c>
      <c r="L437" s="878"/>
      <c r="M437" s="49">
        <f t="shared" si="74"/>
        <v>1</v>
      </c>
      <c r="N437" s="878"/>
      <c r="O437" s="49">
        <f t="shared" si="75"/>
        <v>1</v>
      </c>
      <c r="P437" s="878"/>
      <c r="Q437" s="49">
        <f t="shared" si="76"/>
        <v>1</v>
      </c>
      <c r="R437" s="49">
        <f t="shared" si="77"/>
        <v>0</v>
      </c>
      <c r="S437" s="734">
        <f t="shared" si="78"/>
        <v>0</v>
      </c>
    </row>
    <row r="438" spans="1:19">
      <c r="A438" s="879"/>
      <c r="B438" s="126"/>
      <c r="C438" s="49">
        <f t="shared" si="69"/>
        <v>1</v>
      </c>
      <c r="D438" s="878"/>
      <c r="E438" s="49">
        <f t="shared" si="70"/>
        <v>1</v>
      </c>
      <c r="F438" s="878"/>
      <c r="G438" s="49">
        <f t="shared" si="71"/>
        <v>1</v>
      </c>
      <c r="H438" s="878"/>
      <c r="I438" s="49">
        <f t="shared" si="72"/>
        <v>1</v>
      </c>
      <c r="J438" s="878"/>
      <c r="K438" s="49">
        <f t="shared" si="73"/>
        <v>1</v>
      </c>
      <c r="L438" s="878"/>
      <c r="M438" s="49">
        <f t="shared" si="74"/>
        <v>1</v>
      </c>
      <c r="N438" s="878"/>
      <c r="O438" s="49">
        <f t="shared" si="75"/>
        <v>1</v>
      </c>
      <c r="P438" s="878"/>
      <c r="Q438" s="49">
        <f t="shared" si="76"/>
        <v>1</v>
      </c>
      <c r="R438" s="49">
        <f t="shared" si="77"/>
        <v>0</v>
      </c>
      <c r="S438" s="734">
        <f t="shared" si="78"/>
        <v>0</v>
      </c>
    </row>
    <row r="439" spans="1:19">
      <c r="A439" s="879"/>
      <c r="B439" s="126"/>
      <c r="C439" s="49">
        <f t="shared" si="69"/>
        <v>1</v>
      </c>
      <c r="D439" s="878"/>
      <c r="E439" s="49">
        <f t="shared" si="70"/>
        <v>1</v>
      </c>
      <c r="F439" s="878"/>
      <c r="G439" s="49">
        <f t="shared" si="71"/>
        <v>1</v>
      </c>
      <c r="H439" s="878"/>
      <c r="I439" s="49">
        <f t="shared" si="72"/>
        <v>1</v>
      </c>
      <c r="J439" s="878"/>
      <c r="K439" s="49">
        <f t="shared" si="73"/>
        <v>1</v>
      </c>
      <c r="L439" s="878"/>
      <c r="M439" s="49">
        <f t="shared" si="74"/>
        <v>1</v>
      </c>
      <c r="N439" s="878"/>
      <c r="O439" s="49">
        <f t="shared" si="75"/>
        <v>1</v>
      </c>
      <c r="P439" s="878"/>
      <c r="Q439" s="49">
        <f t="shared" si="76"/>
        <v>1</v>
      </c>
      <c r="R439" s="49">
        <f t="shared" si="77"/>
        <v>0</v>
      </c>
      <c r="S439" s="734">
        <f t="shared" si="78"/>
        <v>0</v>
      </c>
    </row>
    <row r="440" spans="1:19">
      <c r="A440" s="879"/>
      <c r="B440" s="126"/>
      <c r="C440" s="49">
        <f t="shared" si="69"/>
        <v>1</v>
      </c>
      <c r="D440" s="878"/>
      <c r="E440" s="49">
        <f t="shared" si="70"/>
        <v>1</v>
      </c>
      <c r="F440" s="878"/>
      <c r="G440" s="49">
        <f t="shared" si="71"/>
        <v>1</v>
      </c>
      <c r="H440" s="878"/>
      <c r="I440" s="49">
        <f t="shared" si="72"/>
        <v>1</v>
      </c>
      <c r="J440" s="878"/>
      <c r="K440" s="49">
        <f t="shared" si="73"/>
        <v>1</v>
      </c>
      <c r="L440" s="878"/>
      <c r="M440" s="49">
        <f t="shared" si="74"/>
        <v>1</v>
      </c>
      <c r="N440" s="878"/>
      <c r="O440" s="49">
        <f t="shared" si="75"/>
        <v>1</v>
      </c>
      <c r="P440" s="878"/>
      <c r="Q440" s="49">
        <f t="shared" si="76"/>
        <v>1</v>
      </c>
      <c r="R440" s="49">
        <f t="shared" si="77"/>
        <v>0</v>
      </c>
      <c r="S440" s="734">
        <f t="shared" si="78"/>
        <v>0</v>
      </c>
    </row>
    <row r="441" spans="1:19">
      <c r="A441" s="879"/>
      <c r="B441" s="126"/>
      <c r="C441" s="49">
        <f t="shared" si="69"/>
        <v>1</v>
      </c>
      <c r="D441" s="878"/>
      <c r="E441" s="49">
        <f t="shared" si="70"/>
        <v>1</v>
      </c>
      <c r="F441" s="878"/>
      <c r="G441" s="49">
        <f t="shared" si="71"/>
        <v>1</v>
      </c>
      <c r="H441" s="878"/>
      <c r="I441" s="49">
        <f t="shared" si="72"/>
        <v>1</v>
      </c>
      <c r="J441" s="878"/>
      <c r="K441" s="49">
        <f t="shared" si="73"/>
        <v>1</v>
      </c>
      <c r="L441" s="878"/>
      <c r="M441" s="49">
        <f t="shared" si="74"/>
        <v>1</v>
      </c>
      <c r="N441" s="878"/>
      <c r="O441" s="49">
        <f t="shared" si="75"/>
        <v>1</v>
      </c>
      <c r="P441" s="878"/>
      <c r="Q441" s="49">
        <f t="shared" si="76"/>
        <v>1</v>
      </c>
      <c r="R441" s="49">
        <f t="shared" si="77"/>
        <v>0</v>
      </c>
      <c r="S441" s="734">
        <f t="shared" si="78"/>
        <v>0</v>
      </c>
    </row>
    <row r="442" spans="1:19">
      <c r="A442" s="879"/>
      <c r="B442" s="126"/>
      <c r="C442" s="49">
        <f t="shared" si="69"/>
        <v>1</v>
      </c>
      <c r="D442" s="878"/>
      <c r="E442" s="49">
        <f t="shared" si="70"/>
        <v>1</v>
      </c>
      <c r="F442" s="878"/>
      <c r="G442" s="49">
        <f t="shared" si="71"/>
        <v>1</v>
      </c>
      <c r="H442" s="878"/>
      <c r="I442" s="49">
        <f t="shared" si="72"/>
        <v>1</v>
      </c>
      <c r="J442" s="878"/>
      <c r="K442" s="49">
        <f t="shared" si="73"/>
        <v>1</v>
      </c>
      <c r="L442" s="878"/>
      <c r="M442" s="49">
        <f t="shared" si="74"/>
        <v>1</v>
      </c>
      <c r="N442" s="878"/>
      <c r="O442" s="49">
        <f t="shared" si="75"/>
        <v>1</v>
      </c>
      <c r="P442" s="878"/>
      <c r="Q442" s="49">
        <f t="shared" si="76"/>
        <v>1</v>
      </c>
      <c r="R442" s="49">
        <f t="shared" si="77"/>
        <v>0</v>
      </c>
      <c r="S442" s="734">
        <f t="shared" si="78"/>
        <v>0</v>
      </c>
    </row>
    <row r="443" spans="1:19">
      <c r="A443" s="879"/>
      <c r="B443" s="126"/>
      <c r="C443" s="49">
        <f t="shared" si="69"/>
        <v>1</v>
      </c>
      <c r="D443" s="878"/>
      <c r="E443" s="49">
        <f t="shared" si="70"/>
        <v>1</v>
      </c>
      <c r="F443" s="878"/>
      <c r="G443" s="49">
        <f t="shared" si="71"/>
        <v>1</v>
      </c>
      <c r="H443" s="878"/>
      <c r="I443" s="49">
        <f t="shared" si="72"/>
        <v>1</v>
      </c>
      <c r="J443" s="878"/>
      <c r="K443" s="49">
        <f t="shared" si="73"/>
        <v>1</v>
      </c>
      <c r="L443" s="878"/>
      <c r="M443" s="49">
        <f t="shared" si="74"/>
        <v>1</v>
      </c>
      <c r="N443" s="878"/>
      <c r="O443" s="49">
        <f t="shared" si="75"/>
        <v>1</v>
      </c>
      <c r="P443" s="878"/>
      <c r="Q443" s="49">
        <f t="shared" si="76"/>
        <v>1</v>
      </c>
      <c r="R443" s="49">
        <f t="shared" si="77"/>
        <v>0</v>
      </c>
      <c r="S443" s="734">
        <f t="shared" si="78"/>
        <v>0</v>
      </c>
    </row>
    <row r="444" spans="1:19">
      <c r="A444" s="879"/>
      <c r="B444" s="126"/>
      <c r="C444" s="49">
        <f t="shared" si="69"/>
        <v>1</v>
      </c>
      <c r="D444" s="878"/>
      <c r="E444" s="49">
        <f t="shared" si="70"/>
        <v>1</v>
      </c>
      <c r="F444" s="878"/>
      <c r="G444" s="49">
        <f t="shared" si="71"/>
        <v>1</v>
      </c>
      <c r="H444" s="878"/>
      <c r="I444" s="49">
        <f t="shared" si="72"/>
        <v>1</v>
      </c>
      <c r="J444" s="878"/>
      <c r="K444" s="49">
        <f t="shared" si="73"/>
        <v>1</v>
      </c>
      <c r="L444" s="878"/>
      <c r="M444" s="49">
        <f t="shared" si="74"/>
        <v>1</v>
      </c>
      <c r="N444" s="878"/>
      <c r="O444" s="49">
        <f t="shared" si="75"/>
        <v>1</v>
      </c>
      <c r="P444" s="878"/>
      <c r="Q444" s="49">
        <f t="shared" si="76"/>
        <v>1</v>
      </c>
      <c r="R444" s="49">
        <f t="shared" si="77"/>
        <v>0</v>
      </c>
      <c r="S444" s="734">
        <f t="shared" si="78"/>
        <v>0</v>
      </c>
    </row>
    <row r="445" spans="1:19">
      <c r="A445" s="879"/>
      <c r="B445" s="126"/>
      <c r="C445" s="49">
        <f t="shared" si="69"/>
        <v>1</v>
      </c>
      <c r="D445" s="878"/>
      <c r="E445" s="49">
        <f t="shared" si="70"/>
        <v>1</v>
      </c>
      <c r="F445" s="878"/>
      <c r="G445" s="49">
        <f t="shared" si="71"/>
        <v>1</v>
      </c>
      <c r="H445" s="878"/>
      <c r="I445" s="49">
        <f t="shared" si="72"/>
        <v>1</v>
      </c>
      <c r="J445" s="878"/>
      <c r="K445" s="49">
        <f t="shared" si="73"/>
        <v>1</v>
      </c>
      <c r="L445" s="878"/>
      <c r="M445" s="49">
        <f t="shared" si="74"/>
        <v>1</v>
      </c>
      <c r="N445" s="878"/>
      <c r="O445" s="49">
        <f t="shared" si="75"/>
        <v>1</v>
      </c>
      <c r="P445" s="878"/>
      <c r="Q445" s="49">
        <f t="shared" si="76"/>
        <v>1</v>
      </c>
      <c r="R445" s="49">
        <f t="shared" si="77"/>
        <v>0</v>
      </c>
      <c r="S445" s="734">
        <f t="shared" si="78"/>
        <v>0</v>
      </c>
    </row>
    <row r="446" spans="1:19">
      <c r="A446" s="879"/>
      <c r="B446" s="126"/>
      <c r="C446" s="49">
        <f t="shared" si="69"/>
        <v>1</v>
      </c>
      <c r="D446" s="878"/>
      <c r="E446" s="49">
        <f t="shared" si="70"/>
        <v>1</v>
      </c>
      <c r="F446" s="878"/>
      <c r="G446" s="49">
        <f t="shared" si="71"/>
        <v>1</v>
      </c>
      <c r="H446" s="878"/>
      <c r="I446" s="49">
        <f t="shared" si="72"/>
        <v>1</v>
      </c>
      <c r="J446" s="878"/>
      <c r="K446" s="49">
        <f t="shared" si="73"/>
        <v>1</v>
      </c>
      <c r="L446" s="878"/>
      <c r="M446" s="49">
        <f t="shared" si="74"/>
        <v>1</v>
      </c>
      <c r="N446" s="878"/>
      <c r="O446" s="49">
        <f t="shared" si="75"/>
        <v>1</v>
      </c>
      <c r="P446" s="878"/>
      <c r="Q446" s="49">
        <f t="shared" si="76"/>
        <v>1</v>
      </c>
      <c r="R446" s="49">
        <f t="shared" si="77"/>
        <v>0</v>
      </c>
      <c r="S446" s="734">
        <f t="shared" si="78"/>
        <v>0</v>
      </c>
    </row>
    <row r="447" spans="1:19">
      <c r="A447" s="879"/>
      <c r="B447" s="126"/>
      <c r="C447" s="49">
        <f t="shared" si="69"/>
        <v>1</v>
      </c>
      <c r="D447" s="878"/>
      <c r="E447" s="49">
        <f t="shared" si="70"/>
        <v>1</v>
      </c>
      <c r="F447" s="878"/>
      <c r="G447" s="49">
        <f t="shared" si="71"/>
        <v>1</v>
      </c>
      <c r="H447" s="878"/>
      <c r="I447" s="49">
        <f t="shared" si="72"/>
        <v>1</v>
      </c>
      <c r="J447" s="878"/>
      <c r="K447" s="49">
        <f t="shared" si="73"/>
        <v>1</v>
      </c>
      <c r="L447" s="878"/>
      <c r="M447" s="49">
        <f t="shared" si="74"/>
        <v>1</v>
      </c>
      <c r="N447" s="878"/>
      <c r="O447" s="49">
        <f t="shared" si="75"/>
        <v>1</v>
      </c>
      <c r="P447" s="878"/>
      <c r="Q447" s="49">
        <f t="shared" si="76"/>
        <v>1</v>
      </c>
      <c r="R447" s="49">
        <f t="shared" si="77"/>
        <v>0</v>
      </c>
      <c r="S447" s="734">
        <f t="shared" si="78"/>
        <v>0</v>
      </c>
    </row>
    <row r="448" spans="1:19">
      <c r="A448" s="879"/>
      <c r="B448" s="126"/>
      <c r="C448" s="49">
        <f t="shared" si="69"/>
        <v>1</v>
      </c>
      <c r="D448" s="878"/>
      <c r="E448" s="49">
        <f t="shared" si="70"/>
        <v>1</v>
      </c>
      <c r="F448" s="878"/>
      <c r="G448" s="49">
        <f t="shared" si="71"/>
        <v>1</v>
      </c>
      <c r="H448" s="878"/>
      <c r="I448" s="49">
        <f t="shared" si="72"/>
        <v>1</v>
      </c>
      <c r="J448" s="878"/>
      <c r="K448" s="49">
        <f t="shared" si="73"/>
        <v>1</v>
      </c>
      <c r="L448" s="878"/>
      <c r="M448" s="49">
        <f t="shared" si="74"/>
        <v>1</v>
      </c>
      <c r="N448" s="878"/>
      <c r="O448" s="49">
        <f t="shared" si="75"/>
        <v>1</v>
      </c>
      <c r="P448" s="878"/>
      <c r="Q448" s="49">
        <f t="shared" si="76"/>
        <v>1</v>
      </c>
      <c r="R448" s="49">
        <f t="shared" si="77"/>
        <v>0</v>
      </c>
      <c r="S448" s="734">
        <f t="shared" si="78"/>
        <v>0</v>
      </c>
    </row>
    <row r="449" spans="1:19">
      <c r="A449" s="879"/>
      <c r="B449" s="126"/>
      <c r="C449" s="49">
        <f t="shared" si="69"/>
        <v>1</v>
      </c>
      <c r="D449" s="878"/>
      <c r="E449" s="49">
        <f t="shared" si="70"/>
        <v>1</v>
      </c>
      <c r="F449" s="878"/>
      <c r="G449" s="49">
        <f t="shared" si="71"/>
        <v>1</v>
      </c>
      <c r="H449" s="878"/>
      <c r="I449" s="49">
        <f t="shared" si="72"/>
        <v>1</v>
      </c>
      <c r="J449" s="878"/>
      <c r="K449" s="49">
        <f t="shared" si="73"/>
        <v>1</v>
      </c>
      <c r="L449" s="878"/>
      <c r="M449" s="49">
        <f t="shared" si="74"/>
        <v>1</v>
      </c>
      <c r="N449" s="878"/>
      <c r="O449" s="49">
        <f t="shared" si="75"/>
        <v>1</v>
      </c>
      <c r="P449" s="878"/>
      <c r="Q449" s="49">
        <f t="shared" si="76"/>
        <v>1</v>
      </c>
      <c r="R449" s="49">
        <f t="shared" si="77"/>
        <v>0</v>
      </c>
      <c r="S449" s="734">
        <f t="shared" si="78"/>
        <v>0</v>
      </c>
    </row>
    <row r="450" spans="1:19">
      <c r="A450" s="879"/>
      <c r="B450" s="126"/>
      <c r="C450" s="49">
        <f t="shared" si="69"/>
        <v>1</v>
      </c>
      <c r="D450" s="878"/>
      <c r="E450" s="49">
        <f t="shared" si="70"/>
        <v>1</v>
      </c>
      <c r="F450" s="878"/>
      <c r="G450" s="49">
        <f t="shared" si="71"/>
        <v>1</v>
      </c>
      <c r="H450" s="878"/>
      <c r="I450" s="49">
        <f t="shared" si="72"/>
        <v>1</v>
      </c>
      <c r="J450" s="878"/>
      <c r="K450" s="49">
        <f t="shared" si="73"/>
        <v>1</v>
      </c>
      <c r="L450" s="878"/>
      <c r="M450" s="49">
        <f t="shared" si="74"/>
        <v>1</v>
      </c>
      <c r="N450" s="878"/>
      <c r="O450" s="49">
        <f t="shared" si="75"/>
        <v>1</v>
      </c>
      <c r="P450" s="878"/>
      <c r="Q450" s="49">
        <f t="shared" si="76"/>
        <v>1</v>
      </c>
      <c r="R450" s="49">
        <f t="shared" si="77"/>
        <v>0</v>
      </c>
      <c r="S450" s="734">
        <f t="shared" si="78"/>
        <v>0</v>
      </c>
    </row>
    <row r="451" spans="1:19">
      <c r="A451" s="879"/>
      <c r="B451" s="126"/>
      <c r="C451" s="49">
        <f t="shared" si="69"/>
        <v>1</v>
      </c>
      <c r="D451" s="878"/>
      <c r="E451" s="49">
        <f t="shared" si="70"/>
        <v>1</v>
      </c>
      <c r="F451" s="878"/>
      <c r="G451" s="49">
        <f t="shared" si="71"/>
        <v>1</v>
      </c>
      <c r="H451" s="878"/>
      <c r="I451" s="49">
        <f t="shared" si="72"/>
        <v>1</v>
      </c>
      <c r="J451" s="878"/>
      <c r="K451" s="49">
        <f t="shared" si="73"/>
        <v>1</v>
      </c>
      <c r="L451" s="878"/>
      <c r="M451" s="49">
        <f t="shared" si="74"/>
        <v>1</v>
      </c>
      <c r="N451" s="878"/>
      <c r="O451" s="49">
        <f t="shared" si="75"/>
        <v>1</v>
      </c>
      <c r="P451" s="878"/>
      <c r="Q451" s="49">
        <f t="shared" si="76"/>
        <v>1</v>
      </c>
      <c r="R451" s="49">
        <f t="shared" si="77"/>
        <v>0</v>
      </c>
      <c r="S451" s="734">
        <f t="shared" si="78"/>
        <v>0</v>
      </c>
    </row>
    <row r="452" spans="1:19">
      <c r="A452" s="879"/>
      <c r="B452" s="126"/>
      <c r="C452" s="49">
        <f t="shared" si="69"/>
        <v>1</v>
      </c>
      <c r="D452" s="878"/>
      <c r="E452" s="49">
        <f t="shared" si="70"/>
        <v>1</v>
      </c>
      <c r="F452" s="878"/>
      <c r="G452" s="49">
        <f t="shared" si="71"/>
        <v>1</v>
      </c>
      <c r="H452" s="878"/>
      <c r="I452" s="49">
        <f t="shared" si="72"/>
        <v>1</v>
      </c>
      <c r="J452" s="878"/>
      <c r="K452" s="49">
        <f t="shared" si="73"/>
        <v>1</v>
      </c>
      <c r="L452" s="878"/>
      <c r="M452" s="49">
        <f t="shared" si="74"/>
        <v>1</v>
      </c>
      <c r="N452" s="878"/>
      <c r="O452" s="49">
        <f t="shared" si="75"/>
        <v>1</v>
      </c>
      <c r="P452" s="878"/>
      <c r="Q452" s="49">
        <f t="shared" si="76"/>
        <v>1</v>
      </c>
      <c r="R452" s="49">
        <f t="shared" si="77"/>
        <v>0</v>
      </c>
      <c r="S452" s="734">
        <f t="shared" si="78"/>
        <v>0</v>
      </c>
    </row>
    <row r="453" spans="1:19">
      <c r="A453" s="879"/>
      <c r="B453" s="126"/>
      <c r="C453" s="49">
        <f t="shared" si="69"/>
        <v>1</v>
      </c>
      <c r="D453" s="878"/>
      <c r="E453" s="49">
        <f t="shared" si="70"/>
        <v>1</v>
      </c>
      <c r="F453" s="878"/>
      <c r="G453" s="49">
        <f t="shared" si="71"/>
        <v>1</v>
      </c>
      <c r="H453" s="878"/>
      <c r="I453" s="49">
        <f t="shared" si="72"/>
        <v>1</v>
      </c>
      <c r="J453" s="878"/>
      <c r="K453" s="49">
        <f t="shared" si="73"/>
        <v>1</v>
      </c>
      <c r="L453" s="878"/>
      <c r="M453" s="49">
        <f t="shared" si="74"/>
        <v>1</v>
      </c>
      <c r="N453" s="878"/>
      <c r="O453" s="49">
        <f t="shared" si="75"/>
        <v>1</v>
      </c>
      <c r="P453" s="878"/>
      <c r="Q453" s="49">
        <f t="shared" si="76"/>
        <v>1</v>
      </c>
      <c r="R453" s="49">
        <f t="shared" si="77"/>
        <v>0</v>
      </c>
      <c r="S453" s="734">
        <f t="shared" si="78"/>
        <v>0</v>
      </c>
    </row>
    <row r="454" spans="1:19">
      <c r="A454" s="879"/>
      <c r="B454" s="126"/>
      <c r="C454" s="49">
        <f t="shared" si="69"/>
        <v>1</v>
      </c>
      <c r="D454" s="878"/>
      <c r="E454" s="49">
        <f t="shared" si="70"/>
        <v>1</v>
      </c>
      <c r="F454" s="878"/>
      <c r="G454" s="49">
        <f t="shared" si="71"/>
        <v>1</v>
      </c>
      <c r="H454" s="878"/>
      <c r="I454" s="49">
        <f t="shared" si="72"/>
        <v>1</v>
      </c>
      <c r="J454" s="878"/>
      <c r="K454" s="49">
        <f t="shared" si="73"/>
        <v>1</v>
      </c>
      <c r="L454" s="878"/>
      <c r="M454" s="49">
        <f t="shared" si="74"/>
        <v>1</v>
      </c>
      <c r="N454" s="878"/>
      <c r="O454" s="49">
        <f t="shared" si="75"/>
        <v>1</v>
      </c>
      <c r="P454" s="878"/>
      <c r="Q454" s="49">
        <f t="shared" si="76"/>
        <v>1</v>
      </c>
      <c r="R454" s="49">
        <f t="shared" si="77"/>
        <v>0</v>
      </c>
      <c r="S454" s="734">
        <f t="shared" si="78"/>
        <v>0</v>
      </c>
    </row>
    <row r="455" spans="1:19">
      <c r="A455" s="879"/>
      <c r="B455" s="126"/>
      <c r="C455" s="49">
        <f t="shared" si="69"/>
        <v>1</v>
      </c>
      <c r="D455" s="878"/>
      <c r="E455" s="49">
        <f t="shared" si="70"/>
        <v>1</v>
      </c>
      <c r="F455" s="878"/>
      <c r="G455" s="49">
        <f t="shared" si="71"/>
        <v>1</v>
      </c>
      <c r="H455" s="878"/>
      <c r="I455" s="49">
        <f t="shared" si="72"/>
        <v>1</v>
      </c>
      <c r="J455" s="878"/>
      <c r="K455" s="49">
        <f t="shared" si="73"/>
        <v>1</v>
      </c>
      <c r="L455" s="878"/>
      <c r="M455" s="49">
        <f t="shared" si="74"/>
        <v>1</v>
      </c>
      <c r="N455" s="878"/>
      <c r="O455" s="49">
        <f t="shared" si="75"/>
        <v>1</v>
      </c>
      <c r="P455" s="878"/>
      <c r="Q455" s="49">
        <f t="shared" si="76"/>
        <v>1</v>
      </c>
      <c r="R455" s="49">
        <f t="shared" si="77"/>
        <v>0</v>
      </c>
      <c r="S455" s="734">
        <f t="shared" si="78"/>
        <v>0</v>
      </c>
    </row>
    <row r="456" spans="1:19">
      <c r="A456" s="879"/>
      <c r="B456" s="126"/>
      <c r="C456" s="49">
        <f t="shared" si="69"/>
        <v>1</v>
      </c>
      <c r="D456" s="878"/>
      <c r="E456" s="49">
        <f t="shared" si="70"/>
        <v>1</v>
      </c>
      <c r="F456" s="878"/>
      <c r="G456" s="49">
        <f t="shared" si="71"/>
        <v>1</v>
      </c>
      <c r="H456" s="878"/>
      <c r="I456" s="49">
        <f t="shared" si="72"/>
        <v>1</v>
      </c>
      <c r="J456" s="878"/>
      <c r="K456" s="49">
        <f t="shared" si="73"/>
        <v>1</v>
      </c>
      <c r="L456" s="878"/>
      <c r="M456" s="49">
        <f t="shared" si="74"/>
        <v>1</v>
      </c>
      <c r="N456" s="878"/>
      <c r="O456" s="49">
        <f t="shared" si="75"/>
        <v>1</v>
      </c>
      <c r="P456" s="878"/>
      <c r="Q456" s="49">
        <f t="shared" si="76"/>
        <v>1</v>
      </c>
      <c r="R456" s="49">
        <f t="shared" si="77"/>
        <v>0</v>
      </c>
      <c r="S456" s="734">
        <f t="shared" si="78"/>
        <v>0</v>
      </c>
    </row>
    <row r="457" spans="1:19">
      <c r="A457" s="879"/>
      <c r="B457" s="126"/>
      <c r="C457" s="49">
        <f t="shared" si="69"/>
        <v>1</v>
      </c>
      <c r="D457" s="878"/>
      <c r="E457" s="49">
        <f t="shared" si="70"/>
        <v>1</v>
      </c>
      <c r="F457" s="878"/>
      <c r="G457" s="49">
        <f t="shared" si="71"/>
        <v>1</v>
      </c>
      <c r="H457" s="878"/>
      <c r="I457" s="49">
        <f t="shared" si="72"/>
        <v>1</v>
      </c>
      <c r="J457" s="878"/>
      <c r="K457" s="49">
        <f t="shared" si="73"/>
        <v>1</v>
      </c>
      <c r="L457" s="878"/>
      <c r="M457" s="49">
        <f t="shared" si="74"/>
        <v>1</v>
      </c>
      <c r="N457" s="878"/>
      <c r="O457" s="49">
        <f t="shared" si="75"/>
        <v>1</v>
      </c>
      <c r="P457" s="878"/>
      <c r="Q457" s="49">
        <f t="shared" si="76"/>
        <v>1</v>
      </c>
      <c r="R457" s="49">
        <f t="shared" si="77"/>
        <v>0</v>
      </c>
      <c r="S457" s="734">
        <f t="shared" si="78"/>
        <v>0</v>
      </c>
    </row>
    <row r="458" spans="1:19">
      <c r="A458" s="879"/>
      <c r="B458" s="126"/>
      <c r="C458" s="49">
        <f t="shared" si="69"/>
        <v>1</v>
      </c>
      <c r="D458" s="878"/>
      <c r="E458" s="49">
        <f t="shared" si="70"/>
        <v>1</v>
      </c>
      <c r="F458" s="878"/>
      <c r="G458" s="49">
        <f t="shared" si="71"/>
        <v>1</v>
      </c>
      <c r="H458" s="878"/>
      <c r="I458" s="49">
        <f t="shared" si="72"/>
        <v>1</v>
      </c>
      <c r="J458" s="878"/>
      <c r="K458" s="49">
        <f t="shared" si="73"/>
        <v>1</v>
      </c>
      <c r="L458" s="878"/>
      <c r="M458" s="49">
        <f t="shared" si="74"/>
        <v>1</v>
      </c>
      <c r="N458" s="878"/>
      <c r="O458" s="49">
        <f t="shared" si="75"/>
        <v>1</v>
      </c>
      <c r="P458" s="878"/>
      <c r="Q458" s="49">
        <f t="shared" si="76"/>
        <v>1</v>
      </c>
      <c r="R458" s="49">
        <f t="shared" si="77"/>
        <v>0</v>
      </c>
      <c r="S458" s="734">
        <f t="shared" si="78"/>
        <v>0</v>
      </c>
    </row>
    <row r="459" spans="1:19">
      <c r="A459" s="879"/>
      <c r="B459" s="126"/>
      <c r="C459" s="49">
        <f t="shared" si="69"/>
        <v>1</v>
      </c>
      <c r="D459" s="878"/>
      <c r="E459" s="49">
        <f t="shared" si="70"/>
        <v>1</v>
      </c>
      <c r="F459" s="878"/>
      <c r="G459" s="49">
        <f t="shared" si="71"/>
        <v>1</v>
      </c>
      <c r="H459" s="878"/>
      <c r="I459" s="49">
        <f t="shared" si="72"/>
        <v>1</v>
      </c>
      <c r="J459" s="878"/>
      <c r="K459" s="49">
        <f t="shared" si="73"/>
        <v>1</v>
      </c>
      <c r="L459" s="878"/>
      <c r="M459" s="49">
        <f t="shared" si="74"/>
        <v>1</v>
      </c>
      <c r="N459" s="878"/>
      <c r="O459" s="49">
        <f t="shared" si="75"/>
        <v>1</v>
      </c>
      <c r="P459" s="878"/>
      <c r="Q459" s="49">
        <f t="shared" si="76"/>
        <v>1</v>
      </c>
      <c r="R459" s="49">
        <f t="shared" si="77"/>
        <v>0</v>
      </c>
      <c r="S459" s="734">
        <f t="shared" si="78"/>
        <v>0</v>
      </c>
    </row>
    <row r="460" spans="1:19">
      <c r="A460" s="879"/>
      <c r="B460" s="126"/>
      <c r="C460" s="49">
        <f t="shared" si="69"/>
        <v>1</v>
      </c>
      <c r="D460" s="878"/>
      <c r="E460" s="49">
        <f t="shared" si="70"/>
        <v>1</v>
      </c>
      <c r="F460" s="878"/>
      <c r="G460" s="49">
        <f t="shared" si="71"/>
        <v>1</v>
      </c>
      <c r="H460" s="878"/>
      <c r="I460" s="49">
        <f t="shared" si="72"/>
        <v>1</v>
      </c>
      <c r="J460" s="878"/>
      <c r="K460" s="49">
        <f t="shared" si="73"/>
        <v>1</v>
      </c>
      <c r="L460" s="878"/>
      <c r="M460" s="49">
        <f t="shared" si="74"/>
        <v>1</v>
      </c>
      <c r="N460" s="878"/>
      <c r="O460" s="49">
        <f t="shared" si="75"/>
        <v>1</v>
      </c>
      <c r="P460" s="878"/>
      <c r="Q460" s="49">
        <f t="shared" si="76"/>
        <v>1</v>
      </c>
      <c r="R460" s="49">
        <f t="shared" si="77"/>
        <v>0</v>
      </c>
      <c r="S460" s="734">
        <f t="shared" si="78"/>
        <v>0</v>
      </c>
    </row>
    <row r="461" spans="1:19">
      <c r="A461" s="879"/>
      <c r="B461" s="126"/>
      <c r="C461" s="49">
        <f t="shared" si="69"/>
        <v>1</v>
      </c>
      <c r="D461" s="878"/>
      <c r="E461" s="49">
        <f t="shared" si="70"/>
        <v>1</v>
      </c>
      <c r="F461" s="878"/>
      <c r="G461" s="49">
        <f t="shared" si="71"/>
        <v>1</v>
      </c>
      <c r="H461" s="878"/>
      <c r="I461" s="49">
        <f t="shared" si="72"/>
        <v>1</v>
      </c>
      <c r="J461" s="878"/>
      <c r="K461" s="49">
        <f t="shared" si="73"/>
        <v>1</v>
      </c>
      <c r="L461" s="878"/>
      <c r="M461" s="49">
        <f t="shared" si="74"/>
        <v>1</v>
      </c>
      <c r="N461" s="878"/>
      <c r="O461" s="49">
        <f t="shared" si="75"/>
        <v>1</v>
      </c>
      <c r="P461" s="878"/>
      <c r="Q461" s="49">
        <f t="shared" si="76"/>
        <v>1</v>
      </c>
      <c r="R461" s="49">
        <f t="shared" si="77"/>
        <v>0</v>
      </c>
      <c r="S461" s="734">
        <f t="shared" si="78"/>
        <v>0</v>
      </c>
    </row>
    <row r="462" spans="1:19">
      <c r="A462" s="879"/>
      <c r="B462" s="126"/>
      <c r="C462" s="49">
        <f t="shared" si="69"/>
        <v>1</v>
      </c>
      <c r="D462" s="878"/>
      <c r="E462" s="49">
        <f t="shared" si="70"/>
        <v>1</v>
      </c>
      <c r="F462" s="878"/>
      <c r="G462" s="49">
        <f t="shared" si="71"/>
        <v>1</v>
      </c>
      <c r="H462" s="878"/>
      <c r="I462" s="49">
        <f t="shared" si="72"/>
        <v>1</v>
      </c>
      <c r="J462" s="878"/>
      <c r="K462" s="49">
        <f t="shared" si="73"/>
        <v>1</v>
      </c>
      <c r="L462" s="878"/>
      <c r="M462" s="49">
        <f t="shared" si="74"/>
        <v>1</v>
      </c>
      <c r="N462" s="878"/>
      <c r="O462" s="49">
        <f t="shared" si="75"/>
        <v>1</v>
      </c>
      <c r="P462" s="878"/>
      <c r="Q462" s="49">
        <f t="shared" si="76"/>
        <v>1</v>
      </c>
      <c r="R462" s="49">
        <f t="shared" si="77"/>
        <v>0</v>
      </c>
      <c r="S462" s="734">
        <f t="shared" si="78"/>
        <v>0</v>
      </c>
    </row>
    <row r="463" spans="1:19">
      <c r="A463" s="879"/>
      <c r="B463" s="126"/>
      <c r="C463" s="49">
        <f t="shared" si="69"/>
        <v>1</v>
      </c>
      <c r="D463" s="878"/>
      <c r="E463" s="49">
        <f t="shared" si="70"/>
        <v>1</v>
      </c>
      <c r="F463" s="878"/>
      <c r="G463" s="49">
        <f t="shared" si="71"/>
        <v>1</v>
      </c>
      <c r="H463" s="878"/>
      <c r="I463" s="49">
        <f t="shared" si="72"/>
        <v>1</v>
      </c>
      <c r="J463" s="878"/>
      <c r="K463" s="49">
        <f t="shared" si="73"/>
        <v>1</v>
      </c>
      <c r="L463" s="878"/>
      <c r="M463" s="49">
        <f t="shared" si="74"/>
        <v>1</v>
      </c>
      <c r="N463" s="878"/>
      <c r="O463" s="49">
        <f t="shared" si="75"/>
        <v>1</v>
      </c>
      <c r="P463" s="878"/>
      <c r="Q463" s="49">
        <f t="shared" si="76"/>
        <v>1</v>
      </c>
      <c r="R463" s="49">
        <f t="shared" si="77"/>
        <v>0</v>
      </c>
      <c r="S463" s="734">
        <f t="shared" si="78"/>
        <v>0</v>
      </c>
    </row>
    <row r="464" spans="1:19">
      <c r="A464" s="879"/>
      <c r="B464" s="126"/>
      <c r="C464" s="49">
        <f t="shared" si="69"/>
        <v>1</v>
      </c>
      <c r="D464" s="878"/>
      <c r="E464" s="49">
        <f t="shared" si="70"/>
        <v>1</v>
      </c>
      <c r="F464" s="878"/>
      <c r="G464" s="49">
        <f t="shared" si="71"/>
        <v>1</v>
      </c>
      <c r="H464" s="878"/>
      <c r="I464" s="49">
        <f t="shared" si="72"/>
        <v>1</v>
      </c>
      <c r="J464" s="878"/>
      <c r="K464" s="49">
        <f t="shared" si="73"/>
        <v>1</v>
      </c>
      <c r="L464" s="878"/>
      <c r="M464" s="49">
        <f t="shared" si="74"/>
        <v>1</v>
      </c>
      <c r="N464" s="878"/>
      <c r="O464" s="49">
        <f t="shared" si="75"/>
        <v>1</v>
      </c>
      <c r="P464" s="878"/>
      <c r="Q464" s="49">
        <f t="shared" si="76"/>
        <v>1</v>
      </c>
      <c r="R464" s="49">
        <f t="shared" si="77"/>
        <v>0</v>
      </c>
      <c r="S464" s="734">
        <f t="shared" si="78"/>
        <v>0</v>
      </c>
    </row>
    <row r="465" spans="1:19">
      <c r="A465" s="879"/>
      <c r="B465" s="126"/>
      <c r="C465" s="49">
        <f t="shared" si="69"/>
        <v>1</v>
      </c>
      <c r="D465" s="878"/>
      <c r="E465" s="49">
        <f t="shared" si="70"/>
        <v>1</v>
      </c>
      <c r="F465" s="878"/>
      <c r="G465" s="49">
        <f t="shared" si="71"/>
        <v>1</v>
      </c>
      <c r="H465" s="878"/>
      <c r="I465" s="49">
        <f t="shared" si="72"/>
        <v>1</v>
      </c>
      <c r="J465" s="878"/>
      <c r="K465" s="49">
        <f t="shared" si="73"/>
        <v>1</v>
      </c>
      <c r="L465" s="878"/>
      <c r="M465" s="49">
        <f t="shared" si="74"/>
        <v>1</v>
      </c>
      <c r="N465" s="878"/>
      <c r="O465" s="49">
        <f t="shared" si="75"/>
        <v>1</v>
      </c>
      <c r="P465" s="878"/>
      <c r="Q465" s="49">
        <f t="shared" si="76"/>
        <v>1</v>
      </c>
      <c r="R465" s="49">
        <f t="shared" si="77"/>
        <v>0</v>
      </c>
      <c r="S465" s="734">
        <f t="shared" si="78"/>
        <v>0</v>
      </c>
    </row>
    <row r="466" spans="1:19">
      <c r="A466" s="879"/>
      <c r="B466" s="126"/>
      <c r="C466" s="49">
        <f t="shared" si="69"/>
        <v>1</v>
      </c>
      <c r="D466" s="878"/>
      <c r="E466" s="49">
        <f t="shared" si="70"/>
        <v>1</v>
      </c>
      <c r="F466" s="878"/>
      <c r="G466" s="49">
        <f t="shared" si="71"/>
        <v>1</v>
      </c>
      <c r="H466" s="878"/>
      <c r="I466" s="49">
        <f t="shared" si="72"/>
        <v>1</v>
      </c>
      <c r="J466" s="878"/>
      <c r="K466" s="49">
        <f t="shared" si="73"/>
        <v>1</v>
      </c>
      <c r="L466" s="878"/>
      <c r="M466" s="49">
        <f t="shared" si="74"/>
        <v>1</v>
      </c>
      <c r="N466" s="878"/>
      <c r="O466" s="49">
        <f t="shared" si="75"/>
        <v>1</v>
      </c>
      <c r="P466" s="878"/>
      <c r="Q466" s="49">
        <f t="shared" si="76"/>
        <v>1</v>
      </c>
      <c r="R466" s="49">
        <f t="shared" si="77"/>
        <v>0</v>
      </c>
      <c r="S466" s="734">
        <f t="shared" si="78"/>
        <v>0</v>
      </c>
    </row>
    <row r="467" spans="1:19">
      <c r="A467" s="879"/>
      <c r="B467" s="126"/>
      <c r="C467" s="49">
        <f t="shared" si="69"/>
        <v>1</v>
      </c>
      <c r="D467" s="878"/>
      <c r="E467" s="49">
        <f t="shared" si="70"/>
        <v>1</v>
      </c>
      <c r="F467" s="878"/>
      <c r="G467" s="49">
        <f t="shared" si="71"/>
        <v>1</v>
      </c>
      <c r="H467" s="878"/>
      <c r="I467" s="49">
        <f t="shared" si="72"/>
        <v>1</v>
      </c>
      <c r="J467" s="878"/>
      <c r="K467" s="49">
        <f t="shared" si="73"/>
        <v>1</v>
      </c>
      <c r="L467" s="878"/>
      <c r="M467" s="49">
        <f t="shared" si="74"/>
        <v>1</v>
      </c>
      <c r="N467" s="878"/>
      <c r="O467" s="49">
        <f t="shared" si="75"/>
        <v>1</v>
      </c>
      <c r="P467" s="878"/>
      <c r="Q467" s="49">
        <f t="shared" si="76"/>
        <v>1</v>
      </c>
      <c r="R467" s="49">
        <f t="shared" si="77"/>
        <v>0</v>
      </c>
      <c r="S467" s="734">
        <f t="shared" si="78"/>
        <v>0</v>
      </c>
    </row>
    <row r="468" spans="1:19">
      <c r="A468" s="879"/>
      <c r="B468" s="126"/>
      <c r="C468" s="49">
        <f t="shared" si="69"/>
        <v>1</v>
      </c>
      <c r="D468" s="878"/>
      <c r="E468" s="49">
        <f t="shared" si="70"/>
        <v>1</v>
      </c>
      <c r="F468" s="878"/>
      <c r="G468" s="49">
        <f t="shared" si="71"/>
        <v>1</v>
      </c>
      <c r="H468" s="878"/>
      <c r="I468" s="49">
        <f t="shared" si="72"/>
        <v>1</v>
      </c>
      <c r="J468" s="878"/>
      <c r="K468" s="49">
        <f t="shared" si="73"/>
        <v>1</v>
      </c>
      <c r="L468" s="878"/>
      <c r="M468" s="49">
        <f t="shared" si="74"/>
        <v>1</v>
      </c>
      <c r="N468" s="878"/>
      <c r="O468" s="49">
        <f t="shared" si="75"/>
        <v>1</v>
      </c>
      <c r="P468" s="878"/>
      <c r="Q468" s="49">
        <f t="shared" si="76"/>
        <v>1</v>
      </c>
      <c r="R468" s="49">
        <f t="shared" si="77"/>
        <v>0</v>
      </c>
      <c r="S468" s="734">
        <f t="shared" ref="S468:S497" si="79">ROUND(R468*B468/10000,0)</f>
        <v>0</v>
      </c>
    </row>
    <row r="469" spans="1:19">
      <c r="A469" s="879"/>
      <c r="B469" s="126"/>
      <c r="C469" s="49">
        <f t="shared" si="69"/>
        <v>1</v>
      </c>
      <c r="D469" s="878"/>
      <c r="E469" s="49">
        <f t="shared" si="70"/>
        <v>1</v>
      </c>
      <c r="F469" s="878"/>
      <c r="G469" s="49">
        <f t="shared" si="71"/>
        <v>1</v>
      </c>
      <c r="H469" s="878"/>
      <c r="I469" s="49">
        <f t="shared" si="72"/>
        <v>1</v>
      </c>
      <c r="J469" s="878"/>
      <c r="K469" s="49">
        <f t="shared" si="73"/>
        <v>1</v>
      </c>
      <c r="L469" s="878"/>
      <c r="M469" s="49">
        <f t="shared" si="74"/>
        <v>1</v>
      </c>
      <c r="N469" s="878"/>
      <c r="O469" s="49">
        <f t="shared" si="75"/>
        <v>1</v>
      </c>
      <c r="P469" s="878"/>
      <c r="Q469" s="49">
        <f t="shared" si="76"/>
        <v>1</v>
      </c>
      <c r="R469" s="49">
        <f t="shared" si="77"/>
        <v>0</v>
      </c>
      <c r="S469" s="734">
        <f t="shared" si="79"/>
        <v>0</v>
      </c>
    </row>
    <row r="470" spans="1:19">
      <c r="A470" s="879"/>
      <c r="B470" s="126"/>
      <c r="C470" s="49">
        <f t="shared" si="69"/>
        <v>1</v>
      </c>
      <c r="D470" s="878"/>
      <c r="E470" s="49">
        <f t="shared" si="70"/>
        <v>1</v>
      </c>
      <c r="F470" s="878"/>
      <c r="G470" s="49">
        <f t="shared" si="71"/>
        <v>1</v>
      </c>
      <c r="H470" s="878"/>
      <c r="I470" s="49">
        <f t="shared" si="72"/>
        <v>1</v>
      </c>
      <c r="J470" s="878"/>
      <c r="K470" s="49">
        <f t="shared" si="73"/>
        <v>1</v>
      </c>
      <c r="L470" s="878"/>
      <c r="M470" s="49">
        <f t="shared" si="74"/>
        <v>1</v>
      </c>
      <c r="N470" s="878"/>
      <c r="O470" s="49">
        <f t="shared" si="75"/>
        <v>1</v>
      </c>
      <c r="P470" s="878"/>
      <c r="Q470" s="49">
        <f t="shared" si="76"/>
        <v>1</v>
      </c>
      <c r="R470" s="49">
        <f t="shared" si="77"/>
        <v>0</v>
      </c>
      <c r="S470" s="734">
        <f t="shared" si="79"/>
        <v>0</v>
      </c>
    </row>
    <row r="471" spans="1:19">
      <c r="A471" s="879"/>
      <c r="B471" s="126"/>
      <c r="C471" s="49">
        <f t="shared" si="69"/>
        <v>1</v>
      </c>
      <c r="D471" s="878"/>
      <c r="E471" s="49">
        <f t="shared" si="70"/>
        <v>1</v>
      </c>
      <c r="F471" s="878"/>
      <c r="G471" s="49">
        <f t="shared" si="71"/>
        <v>1</v>
      </c>
      <c r="H471" s="878"/>
      <c r="I471" s="49">
        <f t="shared" si="72"/>
        <v>1</v>
      </c>
      <c r="J471" s="878"/>
      <c r="K471" s="49">
        <f t="shared" si="73"/>
        <v>1</v>
      </c>
      <c r="L471" s="878"/>
      <c r="M471" s="49">
        <f t="shared" si="74"/>
        <v>1</v>
      </c>
      <c r="N471" s="878"/>
      <c r="O471" s="49">
        <f t="shared" si="75"/>
        <v>1</v>
      </c>
      <c r="P471" s="878"/>
      <c r="Q471" s="49">
        <f t="shared" si="76"/>
        <v>1</v>
      </c>
      <c r="R471" s="49">
        <f t="shared" si="77"/>
        <v>0</v>
      </c>
      <c r="S471" s="734">
        <f t="shared" si="79"/>
        <v>0</v>
      </c>
    </row>
    <row r="472" spans="1:19">
      <c r="A472" s="879"/>
      <c r="B472" s="126"/>
      <c r="C472" s="49">
        <f t="shared" si="69"/>
        <v>1</v>
      </c>
      <c r="D472" s="878"/>
      <c r="E472" s="49">
        <f t="shared" si="70"/>
        <v>1</v>
      </c>
      <c r="F472" s="878"/>
      <c r="G472" s="49">
        <f t="shared" si="71"/>
        <v>1</v>
      </c>
      <c r="H472" s="878"/>
      <c r="I472" s="49">
        <f t="shared" si="72"/>
        <v>1</v>
      </c>
      <c r="J472" s="878"/>
      <c r="K472" s="49">
        <f t="shared" si="73"/>
        <v>1</v>
      </c>
      <c r="L472" s="878"/>
      <c r="M472" s="49">
        <f t="shared" si="74"/>
        <v>1</v>
      </c>
      <c r="N472" s="878"/>
      <c r="O472" s="49">
        <f t="shared" si="75"/>
        <v>1</v>
      </c>
      <c r="P472" s="878"/>
      <c r="Q472" s="49">
        <f t="shared" si="76"/>
        <v>1</v>
      </c>
      <c r="R472" s="49">
        <f t="shared" si="77"/>
        <v>0</v>
      </c>
      <c r="S472" s="734">
        <f t="shared" si="79"/>
        <v>0</v>
      </c>
    </row>
    <row r="473" spans="1:19">
      <c r="A473" s="879"/>
      <c r="B473" s="126"/>
      <c r="C473" s="49">
        <f t="shared" si="69"/>
        <v>1</v>
      </c>
      <c r="D473" s="878"/>
      <c r="E473" s="49">
        <f t="shared" si="70"/>
        <v>1</v>
      </c>
      <c r="F473" s="878"/>
      <c r="G473" s="49">
        <f t="shared" si="71"/>
        <v>1</v>
      </c>
      <c r="H473" s="878"/>
      <c r="I473" s="49">
        <f t="shared" si="72"/>
        <v>1</v>
      </c>
      <c r="J473" s="878"/>
      <c r="K473" s="49">
        <f t="shared" si="73"/>
        <v>1</v>
      </c>
      <c r="L473" s="878"/>
      <c r="M473" s="49">
        <f t="shared" si="74"/>
        <v>1</v>
      </c>
      <c r="N473" s="878"/>
      <c r="O473" s="49">
        <f t="shared" si="75"/>
        <v>1</v>
      </c>
      <c r="P473" s="878"/>
      <c r="Q473" s="49">
        <f t="shared" si="76"/>
        <v>1</v>
      </c>
      <c r="R473" s="49">
        <f t="shared" si="77"/>
        <v>0</v>
      </c>
      <c r="S473" s="734">
        <f t="shared" si="79"/>
        <v>0</v>
      </c>
    </row>
    <row r="474" spans="1:19">
      <c r="A474" s="879"/>
      <c r="B474" s="126"/>
      <c r="C474" s="49">
        <f t="shared" ref="C474:C524" si="80">IF(B474="",1,(LOOKUP(B474,$3:$3,$4:$4)-LOOKUP($B$24,$3:$3,$4:$4)+100)/100)</f>
        <v>1</v>
      </c>
      <c r="D474" s="878"/>
      <c r="E474" s="49">
        <f t="shared" ref="E474:E524" si="81">(SUMIF($5:$5,D474,$6:$6)-SUMIF($5:$5,$D$24,$6:$6)+100)/100</f>
        <v>1</v>
      </c>
      <c r="F474" s="878"/>
      <c r="G474" s="49">
        <f t="shared" ref="G474:G524" si="82">(SUMIF($7:$7,F474,$8:$8)-SUMIF($7:$7,$F$24,$8:$8)+100)/100</f>
        <v>1</v>
      </c>
      <c r="H474" s="878"/>
      <c r="I474" s="49">
        <f t="shared" ref="I474:I524" si="83">(SUMIF($9:$9,H474,$10:$10)-SUMIF($9:$9,$H$24,$10:$10)+100)/100</f>
        <v>1</v>
      </c>
      <c r="J474" s="878"/>
      <c r="K474" s="49">
        <f t="shared" ref="K474:K524" si="84">(SUMIF($11:$11,J474,$12:$12)-SUMIF($11:$11,$J$24,$12:$12)+100)/100</f>
        <v>1</v>
      </c>
      <c r="L474" s="878"/>
      <c r="M474" s="49">
        <f t="shared" ref="M474:M524" si="85">(SUMIF($13:$13,L474,$14:$14)-SUMIF($13:$13,$L$24,$14:$14)+100)/100</f>
        <v>1</v>
      </c>
      <c r="N474" s="878"/>
      <c r="O474" s="49">
        <f t="shared" ref="O474:O524" si="86">(SUMIF($15:$15,N474,$16:$16)-SUMIF($15:$15,$N$24,$16:$16)+100)/100</f>
        <v>1</v>
      </c>
      <c r="P474" s="878"/>
      <c r="Q474" s="49">
        <f t="shared" ref="Q474:Q524" si="87">(SUMIF($17:$17,P474,$18:$18)-SUMIF($17:$17,$P$24,$18:$18)+100)/100</f>
        <v>1</v>
      </c>
      <c r="R474" s="49">
        <f t="shared" ref="R474:R524" si="88">IF(B474="",0,ROUND($R$24*C474*E474*G474*I474*K474*M474*O474*Q474,0))</f>
        <v>0</v>
      </c>
      <c r="S474" s="734">
        <f t="shared" si="79"/>
        <v>0</v>
      </c>
    </row>
    <row r="475" spans="1:19">
      <c r="A475" s="879"/>
      <c r="B475" s="126"/>
      <c r="C475" s="49">
        <f t="shared" si="80"/>
        <v>1</v>
      </c>
      <c r="D475" s="878"/>
      <c r="E475" s="49">
        <f t="shared" si="81"/>
        <v>1</v>
      </c>
      <c r="F475" s="878"/>
      <c r="G475" s="49">
        <f t="shared" si="82"/>
        <v>1</v>
      </c>
      <c r="H475" s="878"/>
      <c r="I475" s="49">
        <f t="shared" si="83"/>
        <v>1</v>
      </c>
      <c r="J475" s="878"/>
      <c r="K475" s="49">
        <f t="shared" si="84"/>
        <v>1</v>
      </c>
      <c r="L475" s="878"/>
      <c r="M475" s="49">
        <f t="shared" si="85"/>
        <v>1</v>
      </c>
      <c r="N475" s="878"/>
      <c r="O475" s="49">
        <f t="shared" si="86"/>
        <v>1</v>
      </c>
      <c r="P475" s="878"/>
      <c r="Q475" s="49">
        <f t="shared" si="87"/>
        <v>1</v>
      </c>
      <c r="R475" s="49">
        <f t="shared" si="88"/>
        <v>0</v>
      </c>
      <c r="S475" s="734">
        <f t="shared" si="79"/>
        <v>0</v>
      </c>
    </row>
    <row r="476" spans="1:19">
      <c r="A476" s="879"/>
      <c r="B476" s="126"/>
      <c r="C476" s="49">
        <f t="shared" si="80"/>
        <v>1</v>
      </c>
      <c r="D476" s="878"/>
      <c r="E476" s="49">
        <f t="shared" si="81"/>
        <v>1</v>
      </c>
      <c r="F476" s="878"/>
      <c r="G476" s="49">
        <f t="shared" si="82"/>
        <v>1</v>
      </c>
      <c r="H476" s="878"/>
      <c r="I476" s="49">
        <f t="shared" si="83"/>
        <v>1</v>
      </c>
      <c r="J476" s="878"/>
      <c r="K476" s="49">
        <f t="shared" si="84"/>
        <v>1</v>
      </c>
      <c r="L476" s="878"/>
      <c r="M476" s="49">
        <f t="shared" si="85"/>
        <v>1</v>
      </c>
      <c r="N476" s="878"/>
      <c r="O476" s="49">
        <f t="shared" si="86"/>
        <v>1</v>
      </c>
      <c r="P476" s="878"/>
      <c r="Q476" s="49">
        <f t="shared" si="87"/>
        <v>1</v>
      </c>
      <c r="R476" s="49">
        <f t="shared" si="88"/>
        <v>0</v>
      </c>
      <c r="S476" s="734">
        <f t="shared" si="79"/>
        <v>0</v>
      </c>
    </row>
    <row r="477" spans="1:19">
      <c r="A477" s="879"/>
      <c r="B477" s="126"/>
      <c r="C477" s="49">
        <f t="shared" si="80"/>
        <v>1</v>
      </c>
      <c r="D477" s="878"/>
      <c r="E477" s="49">
        <f t="shared" si="81"/>
        <v>1</v>
      </c>
      <c r="F477" s="878"/>
      <c r="G477" s="49">
        <f t="shared" si="82"/>
        <v>1</v>
      </c>
      <c r="H477" s="878"/>
      <c r="I477" s="49">
        <f t="shared" si="83"/>
        <v>1</v>
      </c>
      <c r="J477" s="878"/>
      <c r="K477" s="49">
        <f t="shared" si="84"/>
        <v>1</v>
      </c>
      <c r="L477" s="878"/>
      <c r="M477" s="49">
        <f t="shared" si="85"/>
        <v>1</v>
      </c>
      <c r="N477" s="878"/>
      <c r="O477" s="49">
        <f t="shared" si="86"/>
        <v>1</v>
      </c>
      <c r="P477" s="878"/>
      <c r="Q477" s="49">
        <f t="shared" si="87"/>
        <v>1</v>
      </c>
      <c r="R477" s="49">
        <f t="shared" si="88"/>
        <v>0</v>
      </c>
      <c r="S477" s="734">
        <f t="shared" si="79"/>
        <v>0</v>
      </c>
    </row>
    <row r="478" spans="1:19">
      <c r="A478" s="879"/>
      <c r="B478" s="126"/>
      <c r="C478" s="49">
        <f t="shared" si="80"/>
        <v>1</v>
      </c>
      <c r="D478" s="878"/>
      <c r="E478" s="49">
        <f t="shared" si="81"/>
        <v>1</v>
      </c>
      <c r="F478" s="878"/>
      <c r="G478" s="49">
        <f t="shared" si="82"/>
        <v>1</v>
      </c>
      <c r="H478" s="878"/>
      <c r="I478" s="49">
        <f t="shared" si="83"/>
        <v>1</v>
      </c>
      <c r="J478" s="878"/>
      <c r="K478" s="49">
        <f t="shared" si="84"/>
        <v>1</v>
      </c>
      <c r="L478" s="878"/>
      <c r="M478" s="49">
        <f t="shared" si="85"/>
        <v>1</v>
      </c>
      <c r="N478" s="878"/>
      <c r="O478" s="49">
        <f t="shared" si="86"/>
        <v>1</v>
      </c>
      <c r="P478" s="878"/>
      <c r="Q478" s="49">
        <f t="shared" si="87"/>
        <v>1</v>
      </c>
      <c r="R478" s="49">
        <f t="shared" si="88"/>
        <v>0</v>
      </c>
      <c r="S478" s="734">
        <f t="shared" si="79"/>
        <v>0</v>
      </c>
    </row>
    <row r="479" spans="1:19">
      <c r="A479" s="879"/>
      <c r="B479" s="126"/>
      <c r="C479" s="49">
        <f t="shared" si="80"/>
        <v>1</v>
      </c>
      <c r="D479" s="878"/>
      <c r="E479" s="49">
        <f t="shared" si="81"/>
        <v>1</v>
      </c>
      <c r="F479" s="878"/>
      <c r="G479" s="49">
        <f t="shared" si="82"/>
        <v>1</v>
      </c>
      <c r="H479" s="878"/>
      <c r="I479" s="49">
        <f t="shared" si="83"/>
        <v>1</v>
      </c>
      <c r="J479" s="878"/>
      <c r="K479" s="49">
        <f t="shared" si="84"/>
        <v>1</v>
      </c>
      <c r="L479" s="878"/>
      <c r="M479" s="49">
        <f t="shared" si="85"/>
        <v>1</v>
      </c>
      <c r="N479" s="878"/>
      <c r="O479" s="49">
        <f t="shared" si="86"/>
        <v>1</v>
      </c>
      <c r="P479" s="878"/>
      <c r="Q479" s="49">
        <f t="shared" si="87"/>
        <v>1</v>
      </c>
      <c r="R479" s="49">
        <f t="shared" si="88"/>
        <v>0</v>
      </c>
      <c r="S479" s="734">
        <f t="shared" si="79"/>
        <v>0</v>
      </c>
    </row>
    <row r="480" spans="1:19">
      <c r="A480" s="879"/>
      <c r="B480" s="126"/>
      <c r="C480" s="49">
        <f t="shared" si="80"/>
        <v>1</v>
      </c>
      <c r="D480" s="878"/>
      <c r="E480" s="49">
        <f t="shared" si="81"/>
        <v>1</v>
      </c>
      <c r="F480" s="878"/>
      <c r="G480" s="49">
        <f t="shared" si="82"/>
        <v>1</v>
      </c>
      <c r="H480" s="878"/>
      <c r="I480" s="49">
        <f t="shared" si="83"/>
        <v>1</v>
      </c>
      <c r="J480" s="878"/>
      <c r="K480" s="49">
        <f t="shared" si="84"/>
        <v>1</v>
      </c>
      <c r="L480" s="878"/>
      <c r="M480" s="49">
        <f t="shared" si="85"/>
        <v>1</v>
      </c>
      <c r="N480" s="878"/>
      <c r="O480" s="49">
        <f t="shared" si="86"/>
        <v>1</v>
      </c>
      <c r="P480" s="878"/>
      <c r="Q480" s="49">
        <f t="shared" si="87"/>
        <v>1</v>
      </c>
      <c r="R480" s="49">
        <f t="shared" si="88"/>
        <v>0</v>
      </c>
      <c r="S480" s="734">
        <f t="shared" si="79"/>
        <v>0</v>
      </c>
    </row>
    <row r="481" spans="1:19">
      <c r="A481" s="879"/>
      <c r="B481" s="126"/>
      <c r="C481" s="49">
        <f t="shared" si="80"/>
        <v>1</v>
      </c>
      <c r="D481" s="878"/>
      <c r="E481" s="49">
        <f t="shared" si="81"/>
        <v>1</v>
      </c>
      <c r="F481" s="878"/>
      <c r="G481" s="49">
        <f t="shared" si="82"/>
        <v>1</v>
      </c>
      <c r="H481" s="878"/>
      <c r="I481" s="49">
        <f t="shared" si="83"/>
        <v>1</v>
      </c>
      <c r="J481" s="878"/>
      <c r="K481" s="49">
        <f t="shared" si="84"/>
        <v>1</v>
      </c>
      <c r="L481" s="878"/>
      <c r="M481" s="49">
        <f t="shared" si="85"/>
        <v>1</v>
      </c>
      <c r="N481" s="878"/>
      <c r="O481" s="49">
        <f t="shared" si="86"/>
        <v>1</v>
      </c>
      <c r="P481" s="878"/>
      <c r="Q481" s="49">
        <f t="shared" si="87"/>
        <v>1</v>
      </c>
      <c r="R481" s="49">
        <f t="shared" si="88"/>
        <v>0</v>
      </c>
      <c r="S481" s="734">
        <f t="shared" si="79"/>
        <v>0</v>
      </c>
    </row>
    <row r="482" spans="1:19">
      <c r="A482" s="879"/>
      <c r="B482" s="126"/>
      <c r="C482" s="49">
        <f t="shared" si="80"/>
        <v>1</v>
      </c>
      <c r="D482" s="878"/>
      <c r="E482" s="49">
        <f t="shared" si="81"/>
        <v>1</v>
      </c>
      <c r="F482" s="878"/>
      <c r="G482" s="49">
        <f t="shared" si="82"/>
        <v>1</v>
      </c>
      <c r="H482" s="878"/>
      <c r="I482" s="49">
        <f t="shared" si="83"/>
        <v>1</v>
      </c>
      <c r="J482" s="878"/>
      <c r="K482" s="49">
        <f t="shared" si="84"/>
        <v>1</v>
      </c>
      <c r="L482" s="878"/>
      <c r="M482" s="49">
        <f t="shared" si="85"/>
        <v>1</v>
      </c>
      <c r="N482" s="878"/>
      <c r="O482" s="49">
        <f t="shared" si="86"/>
        <v>1</v>
      </c>
      <c r="P482" s="878"/>
      <c r="Q482" s="49">
        <f t="shared" si="87"/>
        <v>1</v>
      </c>
      <c r="R482" s="49">
        <f t="shared" si="88"/>
        <v>0</v>
      </c>
      <c r="S482" s="734">
        <f t="shared" si="79"/>
        <v>0</v>
      </c>
    </row>
    <row r="483" spans="1:19">
      <c r="A483" s="879"/>
      <c r="B483" s="126"/>
      <c r="C483" s="49">
        <f t="shared" si="80"/>
        <v>1</v>
      </c>
      <c r="D483" s="878"/>
      <c r="E483" s="49">
        <f t="shared" si="81"/>
        <v>1</v>
      </c>
      <c r="F483" s="878"/>
      <c r="G483" s="49">
        <f t="shared" si="82"/>
        <v>1</v>
      </c>
      <c r="H483" s="878"/>
      <c r="I483" s="49">
        <f t="shared" si="83"/>
        <v>1</v>
      </c>
      <c r="J483" s="878"/>
      <c r="K483" s="49">
        <f t="shared" si="84"/>
        <v>1</v>
      </c>
      <c r="L483" s="878"/>
      <c r="M483" s="49">
        <f t="shared" si="85"/>
        <v>1</v>
      </c>
      <c r="N483" s="878"/>
      <c r="O483" s="49">
        <f t="shared" si="86"/>
        <v>1</v>
      </c>
      <c r="P483" s="878"/>
      <c r="Q483" s="49">
        <f t="shared" si="87"/>
        <v>1</v>
      </c>
      <c r="R483" s="49">
        <f t="shared" si="88"/>
        <v>0</v>
      </c>
      <c r="S483" s="734">
        <f t="shared" si="79"/>
        <v>0</v>
      </c>
    </row>
    <row r="484" spans="1:19">
      <c r="A484" s="879"/>
      <c r="B484" s="126"/>
      <c r="C484" s="49">
        <f t="shared" si="80"/>
        <v>1</v>
      </c>
      <c r="D484" s="878"/>
      <c r="E484" s="49">
        <f t="shared" si="81"/>
        <v>1</v>
      </c>
      <c r="F484" s="878"/>
      <c r="G484" s="49">
        <f t="shared" si="82"/>
        <v>1</v>
      </c>
      <c r="H484" s="878"/>
      <c r="I484" s="49">
        <f t="shared" si="83"/>
        <v>1</v>
      </c>
      <c r="J484" s="878"/>
      <c r="K484" s="49">
        <f t="shared" si="84"/>
        <v>1</v>
      </c>
      <c r="L484" s="878"/>
      <c r="M484" s="49">
        <f t="shared" si="85"/>
        <v>1</v>
      </c>
      <c r="N484" s="878"/>
      <c r="O484" s="49">
        <f t="shared" si="86"/>
        <v>1</v>
      </c>
      <c r="P484" s="878"/>
      <c r="Q484" s="49">
        <f t="shared" si="87"/>
        <v>1</v>
      </c>
      <c r="R484" s="49">
        <f t="shared" si="88"/>
        <v>0</v>
      </c>
      <c r="S484" s="734">
        <f t="shared" si="79"/>
        <v>0</v>
      </c>
    </row>
    <row r="485" spans="1:19">
      <c r="A485" s="879"/>
      <c r="B485" s="126"/>
      <c r="C485" s="49">
        <f t="shared" si="80"/>
        <v>1</v>
      </c>
      <c r="D485" s="878"/>
      <c r="E485" s="49">
        <f t="shared" si="81"/>
        <v>1</v>
      </c>
      <c r="F485" s="878"/>
      <c r="G485" s="49">
        <f t="shared" si="82"/>
        <v>1</v>
      </c>
      <c r="H485" s="878"/>
      <c r="I485" s="49">
        <f t="shared" si="83"/>
        <v>1</v>
      </c>
      <c r="J485" s="878"/>
      <c r="K485" s="49">
        <f t="shared" si="84"/>
        <v>1</v>
      </c>
      <c r="L485" s="878"/>
      <c r="M485" s="49">
        <f t="shared" si="85"/>
        <v>1</v>
      </c>
      <c r="N485" s="878"/>
      <c r="O485" s="49">
        <f t="shared" si="86"/>
        <v>1</v>
      </c>
      <c r="P485" s="878"/>
      <c r="Q485" s="49">
        <f t="shared" si="87"/>
        <v>1</v>
      </c>
      <c r="R485" s="49">
        <f t="shared" si="88"/>
        <v>0</v>
      </c>
      <c r="S485" s="734">
        <f t="shared" si="79"/>
        <v>0</v>
      </c>
    </row>
    <row r="486" spans="1:19">
      <c r="A486" s="879"/>
      <c r="B486" s="126"/>
      <c r="C486" s="49">
        <f t="shared" si="80"/>
        <v>1</v>
      </c>
      <c r="D486" s="878"/>
      <c r="E486" s="49">
        <f t="shared" si="81"/>
        <v>1</v>
      </c>
      <c r="F486" s="878"/>
      <c r="G486" s="49">
        <f t="shared" si="82"/>
        <v>1</v>
      </c>
      <c r="H486" s="878"/>
      <c r="I486" s="49">
        <f t="shared" si="83"/>
        <v>1</v>
      </c>
      <c r="J486" s="878"/>
      <c r="K486" s="49">
        <f t="shared" si="84"/>
        <v>1</v>
      </c>
      <c r="L486" s="878"/>
      <c r="M486" s="49">
        <f t="shared" si="85"/>
        <v>1</v>
      </c>
      <c r="N486" s="878"/>
      <c r="O486" s="49">
        <f t="shared" si="86"/>
        <v>1</v>
      </c>
      <c r="P486" s="878"/>
      <c r="Q486" s="49">
        <f t="shared" si="87"/>
        <v>1</v>
      </c>
      <c r="R486" s="49">
        <f t="shared" si="88"/>
        <v>0</v>
      </c>
      <c r="S486" s="734">
        <f t="shared" si="79"/>
        <v>0</v>
      </c>
    </row>
    <row r="487" spans="1:19">
      <c r="A487" s="879"/>
      <c r="B487" s="126"/>
      <c r="C487" s="49">
        <f t="shared" si="80"/>
        <v>1</v>
      </c>
      <c r="D487" s="878"/>
      <c r="E487" s="49">
        <f t="shared" si="81"/>
        <v>1</v>
      </c>
      <c r="F487" s="878"/>
      <c r="G487" s="49">
        <f t="shared" si="82"/>
        <v>1</v>
      </c>
      <c r="H487" s="878"/>
      <c r="I487" s="49">
        <f t="shared" si="83"/>
        <v>1</v>
      </c>
      <c r="J487" s="878"/>
      <c r="K487" s="49">
        <f t="shared" si="84"/>
        <v>1</v>
      </c>
      <c r="L487" s="878"/>
      <c r="M487" s="49">
        <f t="shared" si="85"/>
        <v>1</v>
      </c>
      <c r="N487" s="878"/>
      <c r="O487" s="49">
        <f t="shared" si="86"/>
        <v>1</v>
      </c>
      <c r="P487" s="878"/>
      <c r="Q487" s="49">
        <f t="shared" si="87"/>
        <v>1</v>
      </c>
      <c r="R487" s="49">
        <f t="shared" si="88"/>
        <v>0</v>
      </c>
      <c r="S487" s="734">
        <f t="shared" si="79"/>
        <v>0</v>
      </c>
    </row>
    <row r="488" spans="1:19">
      <c r="A488" s="879"/>
      <c r="B488" s="126"/>
      <c r="C488" s="49">
        <f t="shared" si="80"/>
        <v>1</v>
      </c>
      <c r="D488" s="878"/>
      <c r="E488" s="49">
        <f t="shared" si="81"/>
        <v>1</v>
      </c>
      <c r="F488" s="878"/>
      <c r="G488" s="49">
        <f t="shared" si="82"/>
        <v>1</v>
      </c>
      <c r="H488" s="878"/>
      <c r="I488" s="49">
        <f t="shared" si="83"/>
        <v>1</v>
      </c>
      <c r="J488" s="878"/>
      <c r="K488" s="49">
        <f t="shared" si="84"/>
        <v>1</v>
      </c>
      <c r="L488" s="878"/>
      <c r="M488" s="49">
        <f t="shared" si="85"/>
        <v>1</v>
      </c>
      <c r="N488" s="878"/>
      <c r="O488" s="49">
        <f t="shared" si="86"/>
        <v>1</v>
      </c>
      <c r="P488" s="878"/>
      <c r="Q488" s="49">
        <f t="shared" si="87"/>
        <v>1</v>
      </c>
      <c r="R488" s="49">
        <f t="shared" si="88"/>
        <v>0</v>
      </c>
      <c r="S488" s="734">
        <f t="shared" si="79"/>
        <v>0</v>
      </c>
    </row>
    <row r="489" spans="1:19">
      <c r="A489" s="879"/>
      <c r="B489" s="126"/>
      <c r="C489" s="49">
        <f t="shared" si="80"/>
        <v>1</v>
      </c>
      <c r="D489" s="878"/>
      <c r="E489" s="49">
        <f t="shared" si="81"/>
        <v>1</v>
      </c>
      <c r="F489" s="878"/>
      <c r="G489" s="49">
        <f t="shared" si="82"/>
        <v>1</v>
      </c>
      <c r="H489" s="878"/>
      <c r="I489" s="49">
        <f t="shared" si="83"/>
        <v>1</v>
      </c>
      <c r="J489" s="878"/>
      <c r="K489" s="49">
        <f t="shared" si="84"/>
        <v>1</v>
      </c>
      <c r="L489" s="878"/>
      <c r="M489" s="49">
        <f t="shared" si="85"/>
        <v>1</v>
      </c>
      <c r="N489" s="878"/>
      <c r="O489" s="49">
        <f t="shared" si="86"/>
        <v>1</v>
      </c>
      <c r="P489" s="878"/>
      <c r="Q489" s="49">
        <f t="shared" si="87"/>
        <v>1</v>
      </c>
      <c r="R489" s="49">
        <f t="shared" si="88"/>
        <v>0</v>
      </c>
      <c r="S489" s="734">
        <f t="shared" si="79"/>
        <v>0</v>
      </c>
    </row>
    <row r="490" spans="1:19">
      <c r="A490" s="879"/>
      <c r="B490" s="126"/>
      <c r="C490" s="49">
        <f t="shared" si="80"/>
        <v>1</v>
      </c>
      <c r="D490" s="878"/>
      <c r="E490" s="49">
        <f t="shared" si="81"/>
        <v>1</v>
      </c>
      <c r="F490" s="878"/>
      <c r="G490" s="49">
        <f t="shared" si="82"/>
        <v>1</v>
      </c>
      <c r="H490" s="878"/>
      <c r="I490" s="49">
        <f t="shared" si="83"/>
        <v>1</v>
      </c>
      <c r="J490" s="878"/>
      <c r="K490" s="49">
        <f t="shared" si="84"/>
        <v>1</v>
      </c>
      <c r="L490" s="878"/>
      <c r="M490" s="49">
        <f t="shared" si="85"/>
        <v>1</v>
      </c>
      <c r="N490" s="878"/>
      <c r="O490" s="49">
        <f t="shared" si="86"/>
        <v>1</v>
      </c>
      <c r="P490" s="878"/>
      <c r="Q490" s="49">
        <f t="shared" si="87"/>
        <v>1</v>
      </c>
      <c r="R490" s="49">
        <f t="shared" si="88"/>
        <v>0</v>
      </c>
      <c r="S490" s="734">
        <f t="shared" si="79"/>
        <v>0</v>
      </c>
    </row>
    <row r="491" spans="1:19">
      <c r="A491" s="879"/>
      <c r="B491" s="126"/>
      <c r="C491" s="49">
        <f t="shared" si="80"/>
        <v>1</v>
      </c>
      <c r="D491" s="878"/>
      <c r="E491" s="49">
        <f t="shared" si="81"/>
        <v>1</v>
      </c>
      <c r="F491" s="878"/>
      <c r="G491" s="49">
        <f t="shared" si="82"/>
        <v>1</v>
      </c>
      <c r="H491" s="878"/>
      <c r="I491" s="49">
        <f t="shared" si="83"/>
        <v>1</v>
      </c>
      <c r="J491" s="878"/>
      <c r="K491" s="49">
        <f t="shared" si="84"/>
        <v>1</v>
      </c>
      <c r="L491" s="878"/>
      <c r="M491" s="49">
        <f t="shared" si="85"/>
        <v>1</v>
      </c>
      <c r="N491" s="878"/>
      <c r="O491" s="49">
        <f t="shared" si="86"/>
        <v>1</v>
      </c>
      <c r="P491" s="878"/>
      <c r="Q491" s="49">
        <f t="shared" si="87"/>
        <v>1</v>
      </c>
      <c r="R491" s="49">
        <f t="shared" si="88"/>
        <v>0</v>
      </c>
      <c r="S491" s="734">
        <f t="shared" si="79"/>
        <v>0</v>
      </c>
    </row>
    <row r="492" spans="1:19">
      <c r="A492" s="879"/>
      <c r="B492" s="126"/>
      <c r="C492" s="49">
        <f t="shared" si="80"/>
        <v>1</v>
      </c>
      <c r="D492" s="878"/>
      <c r="E492" s="49">
        <f t="shared" si="81"/>
        <v>1</v>
      </c>
      <c r="F492" s="878"/>
      <c r="G492" s="49">
        <f t="shared" si="82"/>
        <v>1</v>
      </c>
      <c r="H492" s="878"/>
      <c r="I492" s="49">
        <f t="shared" si="83"/>
        <v>1</v>
      </c>
      <c r="J492" s="878"/>
      <c r="K492" s="49">
        <f t="shared" si="84"/>
        <v>1</v>
      </c>
      <c r="L492" s="878"/>
      <c r="M492" s="49">
        <f t="shared" si="85"/>
        <v>1</v>
      </c>
      <c r="N492" s="878"/>
      <c r="O492" s="49">
        <f t="shared" si="86"/>
        <v>1</v>
      </c>
      <c r="P492" s="878"/>
      <c r="Q492" s="49">
        <f t="shared" si="87"/>
        <v>1</v>
      </c>
      <c r="R492" s="49">
        <f t="shared" si="88"/>
        <v>0</v>
      </c>
      <c r="S492" s="734">
        <f t="shared" si="79"/>
        <v>0</v>
      </c>
    </row>
    <row r="493" spans="1:19">
      <c r="A493" s="879"/>
      <c r="B493" s="126"/>
      <c r="C493" s="49">
        <f t="shared" si="80"/>
        <v>1</v>
      </c>
      <c r="D493" s="878"/>
      <c r="E493" s="49">
        <f t="shared" si="81"/>
        <v>1</v>
      </c>
      <c r="F493" s="878"/>
      <c r="G493" s="49">
        <f t="shared" si="82"/>
        <v>1</v>
      </c>
      <c r="H493" s="878"/>
      <c r="I493" s="49">
        <f t="shared" si="83"/>
        <v>1</v>
      </c>
      <c r="J493" s="878"/>
      <c r="K493" s="49">
        <f t="shared" si="84"/>
        <v>1</v>
      </c>
      <c r="L493" s="878"/>
      <c r="M493" s="49">
        <f t="shared" si="85"/>
        <v>1</v>
      </c>
      <c r="N493" s="878"/>
      <c r="O493" s="49">
        <f t="shared" si="86"/>
        <v>1</v>
      </c>
      <c r="P493" s="878"/>
      <c r="Q493" s="49">
        <f t="shared" si="87"/>
        <v>1</v>
      </c>
      <c r="R493" s="49">
        <f t="shared" si="88"/>
        <v>0</v>
      </c>
      <c r="S493" s="734">
        <f t="shared" si="79"/>
        <v>0</v>
      </c>
    </row>
    <row r="494" spans="1:19">
      <c r="A494" s="879"/>
      <c r="B494" s="126"/>
      <c r="C494" s="49">
        <f t="shared" si="80"/>
        <v>1</v>
      </c>
      <c r="D494" s="878"/>
      <c r="E494" s="49">
        <f t="shared" si="81"/>
        <v>1</v>
      </c>
      <c r="F494" s="878"/>
      <c r="G494" s="49">
        <f t="shared" si="82"/>
        <v>1</v>
      </c>
      <c r="H494" s="878"/>
      <c r="I494" s="49">
        <f t="shared" si="83"/>
        <v>1</v>
      </c>
      <c r="J494" s="878"/>
      <c r="K494" s="49">
        <f t="shared" si="84"/>
        <v>1</v>
      </c>
      <c r="L494" s="878"/>
      <c r="M494" s="49">
        <f t="shared" si="85"/>
        <v>1</v>
      </c>
      <c r="N494" s="878"/>
      <c r="O494" s="49">
        <f t="shared" si="86"/>
        <v>1</v>
      </c>
      <c r="P494" s="878"/>
      <c r="Q494" s="49">
        <f t="shared" si="87"/>
        <v>1</v>
      </c>
      <c r="R494" s="49">
        <f t="shared" si="88"/>
        <v>0</v>
      </c>
      <c r="S494" s="734">
        <f t="shared" si="79"/>
        <v>0</v>
      </c>
    </row>
    <row r="495" spans="1:19">
      <c r="A495" s="879"/>
      <c r="B495" s="126"/>
      <c r="C495" s="49">
        <f t="shared" si="80"/>
        <v>1</v>
      </c>
      <c r="D495" s="878"/>
      <c r="E495" s="49">
        <f t="shared" si="81"/>
        <v>1</v>
      </c>
      <c r="F495" s="878"/>
      <c r="G495" s="49">
        <f t="shared" si="82"/>
        <v>1</v>
      </c>
      <c r="H495" s="878"/>
      <c r="I495" s="49">
        <f t="shared" si="83"/>
        <v>1</v>
      </c>
      <c r="J495" s="878"/>
      <c r="K495" s="49">
        <f t="shared" si="84"/>
        <v>1</v>
      </c>
      <c r="L495" s="878"/>
      <c r="M495" s="49">
        <f t="shared" si="85"/>
        <v>1</v>
      </c>
      <c r="N495" s="878"/>
      <c r="O495" s="49">
        <f t="shared" si="86"/>
        <v>1</v>
      </c>
      <c r="P495" s="878"/>
      <c r="Q495" s="49">
        <f t="shared" si="87"/>
        <v>1</v>
      </c>
      <c r="R495" s="49">
        <f t="shared" si="88"/>
        <v>0</v>
      </c>
      <c r="S495" s="734">
        <f t="shared" si="79"/>
        <v>0</v>
      </c>
    </row>
    <row r="496" spans="1:19">
      <c r="A496" s="879"/>
      <c r="B496" s="126"/>
      <c r="C496" s="49">
        <f t="shared" si="80"/>
        <v>1</v>
      </c>
      <c r="D496" s="878"/>
      <c r="E496" s="49">
        <f t="shared" si="81"/>
        <v>1</v>
      </c>
      <c r="F496" s="878"/>
      <c r="G496" s="49">
        <f t="shared" si="82"/>
        <v>1</v>
      </c>
      <c r="H496" s="878"/>
      <c r="I496" s="49">
        <f t="shared" si="83"/>
        <v>1</v>
      </c>
      <c r="J496" s="878"/>
      <c r="K496" s="49">
        <f t="shared" si="84"/>
        <v>1</v>
      </c>
      <c r="L496" s="878"/>
      <c r="M496" s="49">
        <f t="shared" si="85"/>
        <v>1</v>
      </c>
      <c r="N496" s="878"/>
      <c r="O496" s="49">
        <f t="shared" si="86"/>
        <v>1</v>
      </c>
      <c r="P496" s="878"/>
      <c r="Q496" s="49">
        <f t="shared" si="87"/>
        <v>1</v>
      </c>
      <c r="R496" s="49">
        <f t="shared" si="88"/>
        <v>0</v>
      </c>
      <c r="S496" s="734">
        <f t="shared" si="79"/>
        <v>0</v>
      </c>
    </row>
    <row r="497" spans="1:19">
      <c r="A497" s="879"/>
      <c r="B497" s="126"/>
      <c r="C497" s="49">
        <f t="shared" si="80"/>
        <v>1</v>
      </c>
      <c r="D497" s="878"/>
      <c r="E497" s="49">
        <f t="shared" si="81"/>
        <v>1</v>
      </c>
      <c r="F497" s="878"/>
      <c r="G497" s="49">
        <f t="shared" si="82"/>
        <v>1</v>
      </c>
      <c r="H497" s="878"/>
      <c r="I497" s="49">
        <f t="shared" si="83"/>
        <v>1</v>
      </c>
      <c r="J497" s="878"/>
      <c r="K497" s="49">
        <f t="shared" si="84"/>
        <v>1</v>
      </c>
      <c r="L497" s="878"/>
      <c r="M497" s="49">
        <f t="shared" si="85"/>
        <v>1</v>
      </c>
      <c r="N497" s="878"/>
      <c r="O497" s="49">
        <f t="shared" si="86"/>
        <v>1</v>
      </c>
      <c r="P497" s="878"/>
      <c r="Q497" s="49">
        <f t="shared" si="87"/>
        <v>1</v>
      </c>
      <c r="R497" s="49">
        <f t="shared" si="88"/>
        <v>0</v>
      </c>
      <c r="S497" s="734">
        <f t="shared" si="79"/>
        <v>0</v>
      </c>
    </row>
    <row r="498" spans="1:19">
      <c r="A498" s="879"/>
      <c r="B498" s="126"/>
      <c r="C498" s="49">
        <f t="shared" si="80"/>
        <v>1</v>
      </c>
      <c r="D498" s="878"/>
      <c r="E498" s="49">
        <f t="shared" si="81"/>
        <v>1</v>
      </c>
      <c r="F498" s="878"/>
      <c r="G498" s="49">
        <f t="shared" si="82"/>
        <v>1</v>
      </c>
      <c r="H498" s="878"/>
      <c r="I498" s="49">
        <f t="shared" si="83"/>
        <v>1</v>
      </c>
      <c r="J498" s="878"/>
      <c r="K498" s="49">
        <f t="shared" si="84"/>
        <v>1</v>
      </c>
      <c r="L498" s="878"/>
      <c r="M498" s="49">
        <f t="shared" si="85"/>
        <v>1</v>
      </c>
      <c r="N498" s="878"/>
      <c r="O498" s="49">
        <f t="shared" si="86"/>
        <v>1</v>
      </c>
      <c r="P498" s="878"/>
      <c r="Q498" s="49">
        <f t="shared" si="87"/>
        <v>1</v>
      </c>
      <c r="R498" s="49">
        <f t="shared" si="88"/>
        <v>0</v>
      </c>
      <c r="S498" s="734">
        <f t="shared" ref="S498:S524" si="89">ROUND(R498*B498/10000,0)</f>
        <v>0</v>
      </c>
    </row>
    <row r="499" spans="1:19">
      <c r="A499" s="879"/>
      <c r="B499" s="126"/>
      <c r="C499" s="49">
        <f t="shared" si="80"/>
        <v>1</v>
      </c>
      <c r="D499" s="878"/>
      <c r="E499" s="49">
        <f t="shared" si="81"/>
        <v>1</v>
      </c>
      <c r="F499" s="878"/>
      <c r="G499" s="49">
        <f t="shared" si="82"/>
        <v>1</v>
      </c>
      <c r="H499" s="878"/>
      <c r="I499" s="49">
        <f t="shared" si="83"/>
        <v>1</v>
      </c>
      <c r="J499" s="878"/>
      <c r="K499" s="49">
        <f t="shared" si="84"/>
        <v>1</v>
      </c>
      <c r="L499" s="878"/>
      <c r="M499" s="49">
        <f t="shared" si="85"/>
        <v>1</v>
      </c>
      <c r="N499" s="878"/>
      <c r="O499" s="49">
        <f t="shared" si="86"/>
        <v>1</v>
      </c>
      <c r="P499" s="878"/>
      <c r="Q499" s="49">
        <f t="shared" si="87"/>
        <v>1</v>
      </c>
      <c r="R499" s="49">
        <f t="shared" si="88"/>
        <v>0</v>
      </c>
      <c r="S499" s="734">
        <f t="shared" si="89"/>
        <v>0</v>
      </c>
    </row>
    <row r="500" spans="1:19">
      <c r="A500" s="879"/>
      <c r="B500" s="126"/>
      <c r="C500" s="49">
        <f t="shared" si="80"/>
        <v>1</v>
      </c>
      <c r="D500" s="878"/>
      <c r="E500" s="49">
        <f t="shared" si="81"/>
        <v>1</v>
      </c>
      <c r="F500" s="878"/>
      <c r="G500" s="49">
        <f t="shared" si="82"/>
        <v>1</v>
      </c>
      <c r="H500" s="878"/>
      <c r="I500" s="49">
        <f t="shared" si="83"/>
        <v>1</v>
      </c>
      <c r="J500" s="878"/>
      <c r="K500" s="49">
        <f t="shared" si="84"/>
        <v>1</v>
      </c>
      <c r="L500" s="878"/>
      <c r="M500" s="49">
        <f t="shared" si="85"/>
        <v>1</v>
      </c>
      <c r="N500" s="878"/>
      <c r="O500" s="49">
        <f t="shared" si="86"/>
        <v>1</v>
      </c>
      <c r="P500" s="878"/>
      <c r="Q500" s="49">
        <f t="shared" si="87"/>
        <v>1</v>
      </c>
      <c r="R500" s="49">
        <f t="shared" si="88"/>
        <v>0</v>
      </c>
      <c r="S500" s="734">
        <f t="shared" si="89"/>
        <v>0</v>
      </c>
    </row>
    <row r="501" spans="1:19">
      <c r="A501" s="879"/>
      <c r="B501" s="126"/>
      <c r="C501" s="49">
        <f t="shared" si="80"/>
        <v>1</v>
      </c>
      <c r="D501" s="878"/>
      <c r="E501" s="49">
        <f t="shared" si="81"/>
        <v>1</v>
      </c>
      <c r="F501" s="878"/>
      <c r="G501" s="49">
        <f t="shared" si="82"/>
        <v>1</v>
      </c>
      <c r="H501" s="878"/>
      <c r="I501" s="49">
        <f t="shared" si="83"/>
        <v>1</v>
      </c>
      <c r="J501" s="878"/>
      <c r="K501" s="49">
        <f t="shared" si="84"/>
        <v>1</v>
      </c>
      <c r="L501" s="878"/>
      <c r="M501" s="49">
        <f t="shared" si="85"/>
        <v>1</v>
      </c>
      <c r="N501" s="878"/>
      <c r="O501" s="49">
        <f t="shared" si="86"/>
        <v>1</v>
      </c>
      <c r="P501" s="878"/>
      <c r="Q501" s="49">
        <f t="shared" si="87"/>
        <v>1</v>
      </c>
      <c r="R501" s="49">
        <f t="shared" si="88"/>
        <v>0</v>
      </c>
      <c r="S501" s="734">
        <f t="shared" si="89"/>
        <v>0</v>
      </c>
    </row>
    <row r="502" spans="1:19">
      <c r="A502" s="879"/>
      <c r="B502" s="126"/>
      <c r="C502" s="49">
        <f t="shared" si="80"/>
        <v>1</v>
      </c>
      <c r="D502" s="878"/>
      <c r="E502" s="49">
        <f t="shared" si="81"/>
        <v>1</v>
      </c>
      <c r="F502" s="878"/>
      <c r="G502" s="49">
        <f t="shared" si="82"/>
        <v>1</v>
      </c>
      <c r="H502" s="878"/>
      <c r="I502" s="49">
        <f t="shared" si="83"/>
        <v>1</v>
      </c>
      <c r="J502" s="878"/>
      <c r="K502" s="49">
        <f t="shared" si="84"/>
        <v>1</v>
      </c>
      <c r="L502" s="878"/>
      <c r="M502" s="49">
        <f t="shared" si="85"/>
        <v>1</v>
      </c>
      <c r="N502" s="878"/>
      <c r="O502" s="49">
        <f t="shared" si="86"/>
        <v>1</v>
      </c>
      <c r="P502" s="878"/>
      <c r="Q502" s="49">
        <f t="shared" si="87"/>
        <v>1</v>
      </c>
      <c r="R502" s="49">
        <f t="shared" si="88"/>
        <v>0</v>
      </c>
      <c r="S502" s="734">
        <f t="shared" si="89"/>
        <v>0</v>
      </c>
    </row>
    <row r="503" spans="1:19">
      <c r="A503" s="879"/>
      <c r="B503" s="126"/>
      <c r="C503" s="49">
        <f t="shared" si="80"/>
        <v>1</v>
      </c>
      <c r="D503" s="878"/>
      <c r="E503" s="49">
        <f t="shared" si="81"/>
        <v>1</v>
      </c>
      <c r="F503" s="878"/>
      <c r="G503" s="49">
        <f t="shared" si="82"/>
        <v>1</v>
      </c>
      <c r="H503" s="878"/>
      <c r="I503" s="49">
        <f t="shared" si="83"/>
        <v>1</v>
      </c>
      <c r="J503" s="878"/>
      <c r="K503" s="49">
        <f t="shared" si="84"/>
        <v>1</v>
      </c>
      <c r="L503" s="878"/>
      <c r="M503" s="49">
        <f t="shared" si="85"/>
        <v>1</v>
      </c>
      <c r="N503" s="878"/>
      <c r="O503" s="49">
        <f t="shared" si="86"/>
        <v>1</v>
      </c>
      <c r="P503" s="878"/>
      <c r="Q503" s="49">
        <f t="shared" si="87"/>
        <v>1</v>
      </c>
      <c r="R503" s="49">
        <f t="shared" si="88"/>
        <v>0</v>
      </c>
      <c r="S503" s="734">
        <f t="shared" si="89"/>
        <v>0</v>
      </c>
    </row>
    <row r="504" spans="1:19">
      <c r="A504" s="879"/>
      <c r="B504" s="126"/>
      <c r="C504" s="49">
        <f t="shared" si="80"/>
        <v>1</v>
      </c>
      <c r="D504" s="878"/>
      <c r="E504" s="49">
        <f t="shared" si="81"/>
        <v>1</v>
      </c>
      <c r="F504" s="878"/>
      <c r="G504" s="49">
        <f t="shared" si="82"/>
        <v>1</v>
      </c>
      <c r="H504" s="878"/>
      <c r="I504" s="49">
        <f t="shared" si="83"/>
        <v>1</v>
      </c>
      <c r="J504" s="878"/>
      <c r="K504" s="49">
        <f t="shared" si="84"/>
        <v>1</v>
      </c>
      <c r="L504" s="878"/>
      <c r="M504" s="49">
        <f t="shared" si="85"/>
        <v>1</v>
      </c>
      <c r="N504" s="878"/>
      <c r="O504" s="49">
        <f t="shared" si="86"/>
        <v>1</v>
      </c>
      <c r="P504" s="878"/>
      <c r="Q504" s="49">
        <f t="shared" si="87"/>
        <v>1</v>
      </c>
      <c r="R504" s="49">
        <f t="shared" si="88"/>
        <v>0</v>
      </c>
      <c r="S504" s="734">
        <f t="shared" si="89"/>
        <v>0</v>
      </c>
    </row>
    <row r="505" spans="1:19">
      <c r="A505" s="879"/>
      <c r="B505" s="126"/>
      <c r="C505" s="49">
        <f t="shared" si="80"/>
        <v>1</v>
      </c>
      <c r="D505" s="878"/>
      <c r="E505" s="49">
        <f t="shared" si="81"/>
        <v>1</v>
      </c>
      <c r="F505" s="878"/>
      <c r="G505" s="49">
        <f t="shared" si="82"/>
        <v>1</v>
      </c>
      <c r="H505" s="878"/>
      <c r="I505" s="49">
        <f t="shared" si="83"/>
        <v>1</v>
      </c>
      <c r="J505" s="878"/>
      <c r="K505" s="49">
        <f t="shared" si="84"/>
        <v>1</v>
      </c>
      <c r="L505" s="878"/>
      <c r="M505" s="49">
        <f t="shared" si="85"/>
        <v>1</v>
      </c>
      <c r="N505" s="878"/>
      <c r="O505" s="49">
        <f t="shared" si="86"/>
        <v>1</v>
      </c>
      <c r="P505" s="878"/>
      <c r="Q505" s="49">
        <f t="shared" si="87"/>
        <v>1</v>
      </c>
      <c r="R505" s="49">
        <f t="shared" si="88"/>
        <v>0</v>
      </c>
      <c r="S505" s="734">
        <f t="shared" si="89"/>
        <v>0</v>
      </c>
    </row>
    <row r="506" spans="1:19">
      <c r="A506" s="879"/>
      <c r="B506" s="126"/>
      <c r="C506" s="49">
        <f t="shared" si="80"/>
        <v>1</v>
      </c>
      <c r="D506" s="878"/>
      <c r="E506" s="49">
        <f t="shared" si="81"/>
        <v>1</v>
      </c>
      <c r="F506" s="878"/>
      <c r="G506" s="49">
        <f t="shared" si="82"/>
        <v>1</v>
      </c>
      <c r="H506" s="878"/>
      <c r="I506" s="49">
        <f t="shared" si="83"/>
        <v>1</v>
      </c>
      <c r="J506" s="878"/>
      <c r="K506" s="49">
        <f t="shared" si="84"/>
        <v>1</v>
      </c>
      <c r="L506" s="878"/>
      <c r="M506" s="49">
        <f t="shared" si="85"/>
        <v>1</v>
      </c>
      <c r="N506" s="878"/>
      <c r="O506" s="49">
        <f t="shared" si="86"/>
        <v>1</v>
      </c>
      <c r="P506" s="878"/>
      <c r="Q506" s="49">
        <f t="shared" si="87"/>
        <v>1</v>
      </c>
      <c r="R506" s="49">
        <f t="shared" si="88"/>
        <v>0</v>
      </c>
      <c r="S506" s="734">
        <f t="shared" si="89"/>
        <v>0</v>
      </c>
    </row>
    <row r="507" spans="1:19">
      <c r="A507" s="879"/>
      <c r="B507" s="126"/>
      <c r="C507" s="49">
        <f t="shared" si="80"/>
        <v>1</v>
      </c>
      <c r="D507" s="878"/>
      <c r="E507" s="49">
        <f t="shared" si="81"/>
        <v>1</v>
      </c>
      <c r="F507" s="878"/>
      <c r="G507" s="49">
        <f t="shared" si="82"/>
        <v>1</v>
      </c>
      <c r="H507" s="878"/>
      <c r="I507" s="49">
        <f t="shared" si="83"/>
        <v>1</v>
      </c>
      <c r="J507" s="878"/>
      <c r="K507" s="49">
        <f t="shared" si="84"/>
        <v>1</v>
      </c>
      <c r="L507" s="878"/>
      <c r="M507" s="49">
        <f t="shared" si="85"/>
        <v>1</v>
      </c>
      <c r="N507" s="878"/>
      <c r="O507" s="49">
        <f t="shared" si="86"/>
        <v>1</v>
      </c>
      <c r="P507" s="878"/>
      <c r="Q507" s="49">
        <f t="shared" si="87"/>
        <v>1</v>
      </c>
      <c r="R507" s="49">
        <f t="shared" si="88"/>
        <v>0</v>
      </c>
      <c r="S507" s="734">
        <f t="shared" si="89"/>
        <v>0</v>
      </c>
    </row>
    <row r="508" spans="1:19">
      <c r="A508" s="879"/>
      <c r="B508" s="126"/>
      <c r="C508" s="49">
        <f t="shared" si="80"/>
        <v>1</v>
      </c>
      <c r="D508" s="878"/>
      <c r="E508" s="49">
        <f t="shared" si="81"/>
        <v>1</v>
      </c>
      <c r="F508" s="878"/>
      <c r="G508" s="49">
        <f t="shared" si="82"/>
        <v>1</v>
      </c>
      <c r="H508" s="878"/>
      <c r="I508" s="49">
        <f t="shared" si="83"/>
        <v>1</v>
      </c>
      <c r="J508" s="878"/>
      <c r="K508" s="49">
        <f t="shared" si="84"/>
        <v>1</v>
      </c>
      <c r="L508" s="878"/>
      <c r="M508" s="49">
        <f t="shared" si="85"/>
        <v>1</v>
      </c>
      <c r="N508" s="878"/>
      <c r="O508" s="49">
        <f t="shared" si="86"/>
        <v>1</v>
      </c>
      <c r="P508" s="878"/>
      <c r="Q508" s="49">
        <f t="shared" si="87"/>
        <v>1</v>
      </c>
      <c r="R508" s="49">
        <f t="shared" si="88"/>
        <v>0</v>
      </c>
      <c r="S508" s="734">
        <f t="shared" si="89"/>
        <v>0</v>
      </c>
    </row>
    <row r="509" spans="1:19">
      <c r="A509" s="879"/>
      <c r="B509" s="126"/>
      <c r="C509" s="49">
        <f t="shared" si="80"/>
        <v>1</v>
      </c>
      <c r="D509" s="878"/>
      <c r="E509" s="49">
        <f t="shared" si="81"/>
        <v>1</v>
      </c>
      <c r="F509" s="878"/>
      <c r="G509" s="49">
        <f t="shared" si="82"/>
        <v>1</v>
      </c>
      <c r="H509" s="878"/>
      <c r="I509" s="49">
        <f t="shared" si="83"/>
        <v>1</v>
      </c>
      <c r="J509" s="878"/>
      <c r="K509" s="49">
        <f t="shared" si="84"/>
        <v>1</v>
      </c>
      <c r="L509" s="878"/>
      <c r="M509" s="49">
        <f t="shared" si="85"/>
        <v>1</v>
      </c>
      <c r="N509" s="878"/>
      <c r="O509" s="49">
        <f t="shared" si="86"/>
        <v>1</v>
      </c>
      <c r="P509" s="878"/>
      <c r="Q509" s="49">
        <f t="shared" si="87"/>
        <v>1</v>
      </c>
      <c r="R509" s="49">
        <f t="shared" si="88"/>
        <v>0</v>
      </c>
      <c r="S509" s="734">
        <f t="shared" si="89"/>
        <v>0</v>
      </c>
    </row>
    <row r="510" spans="1:19">
      <c r="A510" s="879"/>
      <c r="B510" s="126"/>
      <c r="C510" s="49">
        <f t="shared" si="80"/>
        <v>1</v>
      </c>
      <c r="D510" s="878"/>
      <c r="E510" s="49">
        <f t="shared" si="81"/>
        <v>1</v>
      </c>
      <c r="F510" s="878"/>
      <c r="G510" s="49">
        <f t="shared" si="82"/>
        <v>1</v>
      </c>
      <c r="H510" s="878"/>
      <c r="I510" s="49">
        <f t="shared" si="83"/>
        <v>1</v>
      </c>
      <c r="J510" s="878"/>
      <c r="K510" s="49">
        <f t="shared" si="84"/>
        <v>1</v>
      </c>
      <c r="L510" s="878"/>
      <c r="M510" s="49">
        <f t="shared" si="85"/>
        <v>1</v>
      </c>
      <c r="N510" s="878"/>
      <c r="O510" s="49">
        <f t="shared" si="86"/>
        <v>1</v>
      </c>
      <c r="P510" s="878"/>
      <c r="Q510" s="49">
        <f t="shared" si="87"/>
        <v>1</v>
      </c>
      <c r="R510" s="49">
        <f t="shared" si="88"/>
        <v>0</v>
      </c>
      <c r="S510" s="734">
        <f t="shared" si="89"/>
        <v>0</v>
      </c>
    </row>
    <row r="511" spans="1:19">
      <c r="A511" s="879"/>
      <c r="B511" s="126"/>
      <c r="C511" s="49">
        <f t="shared" si="80"/>
        <v>1</v>
      </c>
      <c r="D511" s="878"/>
      <c r="E511" s="49">
        <f t="shared" si="81"/>
        <v>1</v>
      </c>
      <c r="F511" s="878"/>
      <c r="G511" s="49">
        <f t="shared" si="82"/>
        <v>1</v>
      </c>
      <c r="H511" s="878"/>
      <c r="I511" s="49">
        <f t="shared" si="83"/>
        <v>1</v>
      </c>
      <c r="J511" s="878"/>
      <c r="K511" s="49">
        <f t="shared" si="84"/>
        <v>1</v>
      </c>
      <c r="L511" s="878"/>
      <c r="M511" s="49">
        <f t="shared" si="85"/>
        <v>1</v>
      </c>
      <c r="N511" s="878"/>
      <c r="O511" s="49">
        <f t="shared" si="86"/>
        <v>1</v>
      </c>
      <c r="P511" s="878"/>
      <c r="Q511" s="49">
        <f t="shared" si="87"/>
        <v>1</v>
      </c>
      <c r="R511" s="49">
        <f t="shared" si="88"/>
        <v>0</v>
      </c>
      <c r="S511" s="734">
        <f t="shared" si="89"/>
        <v>0</v>
      </c>
    </row>
    <row r="512" spans="1:19">
      <c r="A512" s="879"/>
      <c r="B512" s="126"/>
      <c r="C512" s="49">
        <f t="shared" si="80"/>
        <v>1</v>
      </c>
      <c r="D512" s="878"/>
      <c r="E512" s="49">
        <f t="shared" si="81"/>
        <v>1</v>
      </c>
      <c r="F512" s="878"/>
      <c r="G512" s="49">
        <f t="shared" si="82"/>
        <v>1</v>
      </c>
      <c r="H512" s="878"/>
      <c r="I512" s="49">
        <f t="shared" si="83"/>
        <v>1</v>
      </c>
      <c r="J512" s="878"/>
      <c r="K512" s="49">
        <f t="shared" si="84"/>
        <v>1</v>
      </c>
      <c r="L512" s="878"/>
      <c r="M512" s="49">
        <f t="shared" si="85"/>
        <v>1</v>
      </c>
      <c r="N512" s="878"/>
      <c r="O512" s="49">
        <f t="shared" si="86"/>
        <v>1</v>
      </c>
      <c r="P512" s="878"/>
      <c r="Q512" s="49">
        <f t="shared" si="87"/>
        <v>1</v>
      </c>
      <c r="R512" s="49">
        <f t="shared" si="88"/>
        <v>0</v>
      </c>
      <c r="S512" s="734">
        <f t="shared" si="89"/>
        <v>0</v>
      </c>
    </row>
    <row r="513" spans="1:19">
      <c r="A513" s="879"/>
      <c r="B513" s="126"/>
      <c r="C513" s="49">
        <f t="shared" si="80"/>
        <v>1</v>
      </c>
      <c r="D513" s="878"/>
      <c r="E513" s="49">
        <f t="shared" si="81"/>
        <v>1</v>
      </c>
      <c r="F513" s="878"/>
      <c r="G513" s="49">
        <f t="shared" si="82"/>
        <v>1</v>
      </c>
      <c r="H513" s="878"/>
      <c r="I513" s="49">
        <f t="shared" si="83"/>
        <v>1</v>
      </c>
      <c r="J513" s="878"/>
      <c r="K513" s="49">
        <f t="shared" si="84"/>
        <v>1</v>
      </c>
      <c r="L513" s="878"/>
      <c r="M513" s="49">
        <f t="shared" si="85"/>
        <v>1</v>
      </c>
      <c r="N513" s="878"/>
      <c r="O513" s="49">
        <f t="shared" si="86"/>
        <v>1</v>
      </c>
      <c r="P513" s="878"/>
      <c r="Q513" s="49">
        <f t="shared" si="87"/>
        <v>1</v>
      </c>
      <c r="R513" s="49">
        <f t="shared" si="88"/>
        <v>0</v>
      </c>
      <c r="S513" s="734">
        <f t="shared" si="89"/>
        <v>0</v>
      </c>
    </row>
    <row r="514" spans="1:19">
      <c r="A514" s="879"/>
      <c r="B514" s="126"/>
      <c r="C514" s="49">
        <f t="shared" si="80"/>
        <v>1</v>
      </c>
      <c r="D514" s="878"/>
      <c r="E514" s="49">
        <f t="shared" si="81"/>
        <v>1</v>
      </c>
      <c r="F514" s="878"/>
      <c r="G514" s="49">
        <f t="shared" si="82"/>
        <v>1</v>
      </c>
      <c r="H514" s="878"/>
      <c r="I514" s="49">
        <f t="shared" si="83"/>
        <v>1</v>
      </c>
      <c r="J514" s="878"/>
      <c r="K514" s="49">
        <f t="shared" si="84"/>
        <v>1</v>
      </c>
      <c r="L514" s="878"/>
      <c r="M514" s="49">
        <f t="shared" si="85"/>
        <v>1</v>
      </c>
      <c r="N514" s="878"/>
      <c r="O514" s="49">
        <f t="shared" si="86"/>
        <v>1</v>
      </c>
      <c r="P514" s="878"/>
      <c r="Q514" s="49">
        <f t="shared" si="87"/>
        <v>1</v>
      </c>
      <c r="R514" s="49">
        <f t="shared" si="88"/>
        <v>0</v>
      </c>
      <c r="S514" s="734">
        <f t="shared" si="89"/>
        <v>0</v>
      </c>
    </row>
    <row r="515" spans="1:19">
      <c r="A515" s="879"/>
      <c r="B515" s="126"/>
      <c r="C515" s="49">
        <f t="shared" si="80"/>
        <v>1</v>
      </c>
      <c r="D515" s="878"/>
      <c r="E515" s="49">
        <f t="shared" si="81"/>
        <v>1</v>
      </c>
      <c r="F515" s="878"/>
      <c r="G515" s="49">
        <f t="shared" si="82"/>
        <v>1</v>
      </c>
      <c r="H515" s="878"/>
      <c r="I515" s="49">
        <f t="shared" si="83"/>
        <v>1</v>
      </c>
      <c r="J515" s="878"/>
      <c r="K515" s="49">
        <f t="shared" si="84"/>
        <v>1</v>
      </c>
      <c r="L515" s="878"/>
      <c r="M515" s="49">
        <f t="shared" si="85"/>
        <v>1</v>
      </c>
      <c r="N515" s="878"/>
      <c r="O515" s="49">
        <f t="shared" si="86"/>
        <v>1</v>
      </c>
      <c r="P515" s="878"/>
      <c r="Q515" s="49">
        <f t="shared" si="87"/>
        <v>1</v>
      </c>
      <c r="R515" s="49">
        <f t="shared" si="88"/>
        <v>0</v>
      </c>
      <c r="S515" s="734">
        <f t="shared" si="89"/>
        <v>0</v>
      </c>
    </row>
    <row r="516" spans="1:19">
      <c r="A516" s="879"/>
      <c r="B516" s="126"/>
      <c r="C516" s="49">
        <f t="shared" si="80"/>
        <v>1</v>
      </c>
      <c r="D516" s="878"/>
      <c r="E516" s="49">
        <f t="shared" si="81"/>
        <v>1</v>
      </c>
      <c r="F516" s="878"/>
      <c r="G516" s="49">
        <f t="shared" si="82"/>
        <v>1</v>
      </c>
      <c r="H516" s="878"/>
      <c r="I516" s="49">
        <f t="shared" si="83"/>
        <v>1</v>
      </c>
      <c r="J516" s="878"/>
      <c r="K516" s="49">
        <f t="shared" si="84"/>
        <v>1</v>
      </c>
      <c r="L516" s="878"/>
      <c r="M516" s="49">
        <f t="shared" si="85"/>
        <v>1</v>
      </c>
      <c r="N516" s="878"/>
      <c r="O516" s="49">
        <f t="shared" si="86"/>
        <v>1</v>
      </c>
      <c r="P516" s="878"/>
      <c r="Q516" s="49">
        <f t="shared" si="87"/>
        <v>1</v>
      </c>
      <c r="R516" s="49">
        <f t="shared" si="88"/>
        <v>0</v>
      </c>
      <c r="S516" s="734">
        <f t="shared" si="89"/>
        <v>0</v>
      </c>
    </row>
    <row r="517" spans="1:19">
      <c r="A517" s="879"/>
      <c r="B517" s="126"/>
      <c r="C517" s="49">
        <f t="shared" si="80"/>
        <v>1</v>
      </c>
      <c r="D517" s="878"/>
      <c r="E517" s="49">
        <f t="shared" si="81"/>
        <v>1</v>
      </c>
      <c r="F517" s="878"/>
      <c r="G517" s="49">
        <f t="shared" si="82"/>
        <v>1</v>
      </c>
      <c r="H517" s="878"/>
      <c r="I517" s="49">
        <f t="shared" si="83"/>
        <v>1</v>
      </c>
      <c r="J517" s="878"/>
      <c r="K517" s="49">
        <f t="shared" si="84"/>
        <v>1</v>
      </c>
      <c r="L517" s="878"/>
      <c r="M517" s="49">
        <f t="shared" si="85"/>
        <v>1</v>
      </c>
      <c r="N517" s="878"/>
      <c r="O517" s="49">
        <f t="shared" si="86"/>
        <v>1</v>
      </c>
      <c r="P517" s="878"/>
      <c r="Q517" s="49">
        <f t="shared" si="87"/>
        <v>1</v>
      </c>
      <c r="R517" s="49">
        <f t="shared" si="88"/>
        <v>0</v>
      </c>
      <c r="S517" s="734">
        <f t="shared" si="89"/>
        <v>0</v>
      </c>
    </row>
    <row r="518" spans="1:19">
      <c r="A518" s="879"/>
      <c r="B518" s="126"/>
      <c r="C518" s="49">
        <f t="shared" si="80"/>
        <v>1</v>
      </c>
      <c r="D518" s="878"/>
      <c r="E518" s="49">
        <f t="shared" si="81"/>
        <v>1</v>
      </c>
      <c r="F518" s="878"/>
      <c r="G518" s="49">
        <f t="shared" si="82"/>
        <v>1</v>
      </c>
      <c r="H518" s="878"/>
      <c r="I518" s="49">
        <f t="shared" si="83"/>
        <v>1</v>
      </c>
      <c r="J518" s="878"/>
      <c r="K518" s="49">
        <f t="shared" si="84"/>
        <v>1</v>
      </c>
      <c r="L518" s="878"/>
      <c r="M518" s="49">
        <f t="shared" si="85"/>
        <v>1</v>
      </c>
      <c r="N518" s="878"/>
      <c r="O518" s="49">
        <f t="shared" si="86"/>
        <v>1</v>
      </c>
      <c r="P518" s="878"/>
      <c r="Q518" s="49">
        <f t="shared" si="87"/>
        <v>1</v>
      </c>
      <c r="R518" s="49">
        <f t="shared" si="88"/>
        <v>0</v>
      </c>
      <c r="S518" s="734">
        <f t="shared" si="89"/>
        <v>0</v>
      </c>
    </row>
    <row r="519" spans="1:19">
      <c r="A519" s="879"/>
      <c r="B519" s="126"/>
      <c r="C519" s="49">
        <f t="shared" si="80"/>
        <v>1</v>
      </c>
      <c r="D519" s="878"/>
      <c r="E519" s="49">
        <f t="shared" si="81"/>
        <v>1</v>
      </c>
      <c r="F519" s="878"/>
      <c r="G519" s="49">
        <f t="shared" si="82"/>
        <v>1</v>
      </c>
      <c r="H519" s="878"/>
      <c r="I519" s="49">
        <f t="shared" si="83"/>
        <v>1</v>
      </c>
      <c r="J519" s="878"/>
      <c r="K519" s="49">
        <f t="shared" si="84"/>
        <v>1</v>
      </c>
      <c r="L519" s="878"/>
      <c r="M519" s="49">
        <f t="shared" si="85"/>
        <v>1</v>
      </c>
      <c r="N519" s="878"/>
      <c r="O519" s="49">
        <f t="shared" si="86"/>
        <v>1</v>
      </c>
      <c r="P519" s="878"/>
      <c r="Q519" s="49">
        <f t="shared" si="87"/>
        <v>1</v>
      </c>
      <c r="R519" s="49">
        <f t="shared" si="88"/>
        <v>0</v>
      </c>
      <c r="S519" s="734">
        <f t="shared" si="89"/>
        <v>0</v>
      </c>
    </row>
    <row r="520" spans="1:19">
      <c r="A520" s="879"/>
      <c r="B520" s="126"/>
      <c r="C520" s="49">
        <f t="shared" si="80"/>
        <v>1</v>
      </c>
      <c r="D520" s="878"/>
      <c r="E520" s="49">
        <f t="shared" si="81"/>
        <v>1</v>
      </c>
      <c r="F520" s="878"/>
      <c r="G520" s="49">
        <f t="shared" si="82"/>
        <v>1</v>
      </c>
      <c r="H520" s="878"/>
      <c r="I520" s="49">
        <f t="shared" si="83"/>
        <v>1</v>
      </c>
      <c r="J520" s="878"/>
      <c r="K520" s="49">
        <f t="shared" si="84"/>
        <v>1</v>
      </c>
      <c r="L520" s="878"/>
      <c r="M520" s="49">
        <f t="shared" si="85"/>
        <v>1</v>
      </c>
      <c r="N520" s="878"/>
      <c r="O520" s="49">
        <f t="shared" si="86"/>
        <v>1</v>
      </c>
      <c r="P520" s="878"/>
      <c r="Q520" s="49">
        <f t="shared" si="87"/>
        <v>1</v>
      </c>
      <c r="R520" s="49">
        <f t="shared" si="88"/>
        <v>0</v>
      </c>
      <c r="S520" s="734">
        <f t="shared" si="89"/>
        <v>0</v>
      </c>
    </row>
    <row r="521" spans="1:19">
      <c r="A521" s="879"/>
      <c r="B521" s="126"/>
      <c r="C521" s="49">
        <f t="shared" si="80"/>
        <v>1</v>
      </c>
      <c r="D521" s="878"/>
      <c r="E521" s="49">
        <f t="shared" si="81"/>
        <v>1</v>
      </c>
      <c r="F521" s="878"/>
      <c r="G521" s="49">
        <f t="shared" si="82"/>
        <v>1</v>
      </c>
      <c r="H521" s="878"/>
      <c r="I521" s="49">
        <f t="shared" si="83"/>
        <v>1</v>
      </c>
      <c r="J521" s="878"/>
      <c r="K521" s="49">
        <f t="shared" si="84"/>
        <v>1</v>
      </c>
      <c r="L521" s="878"/>
      <c r="M521" s="49">
        <f t="shared" si="85"/>
        <v>1</v>
      </c>
      <c r="N521" s="878"/>
      <c r="O521" s="49">
        <f t="shared" si="86"/>
        <v>1</v>
      </c>
      <c r="P521" s="878"/>
      <c r="Q521" s="49">
        <f t="shared" si="87"/>
        <v>1</v>
      </c>
      <c r="R521" s="49">
        <f t="shared" si="88"/>
        <v>0</v>
      </c>
      <c r="S521" s="734">
        <f t="shared" si="89"/>
        <v>0</v>
      </c>
    </row>
    <row r="522" spans="1:19">
      <c r="A522" s="879"/>
      <c r="B522" s="126"/>
      <c r="C522" s="49">
        <f t="shared" si="80"/>
        <v>1</v>
      </c>
      <c r="D522" s="878"/>
      <c r="E522" s="49">
        <f t="shared" si="81"/>
        <v>1</v>
      </c>
      <c r="F522" s="878"/>
      <c r="G522" s="49">
        <f t="shared" si="82"/>
        <v>1</v>
      </c>
      <c r="H522" s="878"/>
      <c r="I522" s="49">
        <f t="shared" si="83"/>
        <v>1</v>
      </c>
      <c r="J522" s="878"/>
      <c r="K522" s="49">
        <f t="shared" si="84"/>
        <v>1</v>
      </c>
      <c r="L522" s="878"/>
      <c r="M522" s="49">
        <f t="shared" si="85"/>
        <v>1</v>
      </c>
      <c r="N522" s="878"/>
      <c r="O522" s="49">
        <f t="shared" si="86"/>
        <v>1</v>
      </c>
      <c r="P522" s="878"/>
      <c r="Q522" s="49">
        <f t="shared" si="87"/>
        <v>1</v>
      </c>
      <c r="R522" s="49">
        <f t="shared" si="88"/>
        <v>0</v>
      </c>
      <c r="S522" s="734">
        <f t="shared" si="89"/>
        <v>0</v>
      </c>
    </row>
    <row r="523" spans="1:19">
      <c r="A523" s="879"/>
      <c r="B523" s="126"/>
      <c r="C523" s="49">
        <f t="shared" si="80"/>
        <v>1</v>
      </c>
      <c r="D523" s="878"/>
      <c r="E523" s="49">
        <f t="shared" si="81"/>
        <v>1</v>
      </c>
      <c r="F523" s="878"/>
      <c r="G523" s="49">
        <f t="shared" si="82"/>
        <v>1</v>
      </c>
      <c r="H523" s="878"/>
      <c r="I523" s="49">
        <f t="shared" si="83"/>
        <v>1</v>
      </c>
      <c r="J523" s="878"/>
      <c r="K523" s="49">
        <f t="shared" si="84"/>
        <v>1</v>
      </c>
      <c r="L523" s="878"/>
      <c r="M523" s="49">
        <f t="shared" si="85"/>
        <v>1</v>
      </c>
      <c r="N523" s="878"/>
      <c r="O523" s="49">
        <f t="shared" si="86"/>
        <v>1</v>
      </c>
      <c r="P523" s="878"/>
      <c r="Q523" s="49">
        <f t="shared" si="87"/>
        <v>1</v>
      </c>
      <c r="R523" s="49">
        <f t="shared" si="88"/>
        <v>0</v>
      </c>
      <c r="S523" s="734">
        <f t="shared" si="89"/>
        <v>0</v>
      </c>
    </row>
    <row r="524" spans="1:19">
      <c r="A524" s="879"/>
      <c r="B524" s="126"/>
      <c r="C524" s="49">
        <f t="shared" si="80"/>
        <v>1</v>
      </c>
      <c r="D524" s="878"/>
      <c r="E524" s="49">
        <f t="shared" si="81"/>
        <v>1</v>
      </c>
      <c r="F524" s="878"/>
      <c r="G524" s="49">
        <f t="shared" si="82"/>
        <v>1</v>
      </c>
      <c r="H524" s="878"/>
      <c r="I524" s="49">
        <f t="shared" si="83"/>
        <v>1</v>
      </c>
      <c r="J524" s="878"/>
      <c r="K524" s="49">
        <f t="shared" si="84"/>
        <v>1</v>
      </c>
      <c r="L524" s="878"/>
      <c r="M524" s="49">
        <f t="shared" si="85"/>
        <v>1</v>
      </c>
      <c r="N524" s="878"/>
      <c r="O524" s="49">
        <f t="shared" si="86"/>
        <v>1</v>
      </c>
      <c r="P524" s="878"/>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 type="list" allowBlank="1" showInputMessage="1" showErrorMessage="1" sqref="B23 B2" xr:uid="{00000000-0002-0000-2900-000007000000}">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2"/>
  <sheetViews>
    <sheetView workbookViewId="0">
      <selection activeCell="F20" sqref="F20"/>
    </sheetView>
  </sheetViews>
  <sheetFormatPr defaultRowHeight="13.5"/>
  <cols>
    <col min="1" max="1" width="4.875" style="2237" customWidth="1"/>
    <col min="2" max="2" width="13.25" style="2243" customWidth="1"/>
    <col min="3" max="3" width="15.625" style="2243" customWidth="1"/>
    <col min="4" max="4" width="9.375" style="2243" bestFit="1" customWidth="1"/>
    <col min="5" max="5" width="13.5" style="2243" customWidth="1"/>
    <col min="6" max="6" width="9" style="2243"/>
    <col min="7" max="7" width="9.375" style="2243" bestFit="1" customWidth="1"/>
    <col min="8" max="9" width="9" style="2243"/>
    <col min="10" max="10" width="9.375" style="2243" bestFit="1" customWidth="1"/>
    <col min="11" max="11" width="4" style="2237" customWidth="1"/>
    <col min="12" max="12" width="5.125" style="2243" customWidth="1"/>
    <col min="13" max="13" width="13.75" style="2243" customWidth="1"/>
    <col min="14" max="256" width="9" style="2243"/>
    <col min="257" max="257" width="4.875" style="2235" customWidth="1"/>
    <col min="258" max="258" width="13.25" style="2235" customWidth="1"/>
    <col min="259" max="259" width="15.625" style="2235" customWidth="1"/>
    <col min="260" max="260" width="9.375" style="2235" bestFit="1" customWidth="1"/>
    <col min="261" max="261" width="13.5" style="2235" customWidth="1"/>
    <col min="262" max="262" width="9" style="2235"/>
    <col min="263" max="263" width="9.375" style="2235" bestFit="1" customWidth="1"/>
    <col min="264" max="265" width="9" style="2235"/>
    <col min="266" max="266" width="9.375" style="2235" bestFit="1" customWidth="1"/>
    <col min="267" max="267" width="4" style="2235" customWidth="1"/>
    <col min="268" max="268" width="5.125" style="2235" customWidth="1"/>
    <col min="269" max="269" width="13.75" style="2235" customWidth="1"/>
    <col min="270" max="512" width="9" style="2235"/>
    <col min="513" max="513" width="4.875" style="2235" customWidth="1"/>
    <col min="514" max="514" width="13.25" style="2235" customWidth="1"/>
    <col min="515" max="515" width="15.625" style="2235" customWidth="1"/>
    <col min="516" max="516" width="9.375" style="2235" bestFit="1" customWidth="1"/>
    <col min="517" max="517" width="13.5" style="2235" customWidth="1"/>
    <col min="518" max="518" width="9" style="2235"/>
    <col min="519" max="519" width="9.375" style="2235" bestFit="1" customWidth="1"/>
    <col min="520" max="521" width="9" style="2235"/>
    <col min="522" max="522" width="9.375" style="2235" bestFit="1" customWidth="1"/>
    <col min="523" max="523" width="4" style="2235" customWidth="1"/>
    <col min="524" max="524" width="5.125" style="2235" customWidth="1"/>
    <col min="525" max="525" width="13.75" style="2235" customWidth="1"/>
    <col min="526" max="768" width="9" style="2235"/>
    <col min="769" max="769" width="4.875" style="2235" customWidth="1"/>
    <col min="770" max="770" width="13.25" style="2235" customWidth="1"/>
    <col min="771" max="771" width="15.625" style="2235" customWidth="1"/>
    <col min="772" max="772" width="9.375" style="2235" bestFit="1" customWidth="1"/>
    <col min="773" max="773" width="13.5" style="2235" customWidth="1"/>
    <col min="774" max="774" width="9" style="2235"/>
    <col min="775" max="775" width="9.375" style="2235" bestFit="1" customWidth="1"/>
    <col min="776" max="777" width="9" style="2235"/>
    <col min="778" max="778" width="9.375" style="2235" bestFit="1" customWidth="1"/>
    <col min="779" max="779" width="4" style="2235" customWidth="1"/>
    <col min="780" max="780" width="5.125" style="2235" customWidth="1"/>
    <col min="781" max="781" width="13.75" style="2235" customWidth="1"/>
    <col min="782" max="1024" width="9" style="2235"/>
    <col min="1025" max="1025" width="4.875" style="2235" customWidth="1"/>
    <col min="1026" max="1026" width="13.25" style="2235" customWidth="1"/>
    <col min="1027" max="1027" width="15.625" style="2235" customWidth="1"/>
    <col min="1028" max="1028" width="9.375" style="2235" bestFit="1" customWidth="1"/>
    <col min="1029" max="1029" width="13.5" style="2235" customWidth="1"/>
    <col min="1030" max="1030" width="9" style="2235"/>
    <col min="1031" max="1031" width="9.375" style="2235" bestFit="1" customWidth="1"/>
    <col min="1032" max="1033" width="9" style="2235"/>
    <col min="1034" max="1034" width="9.375" style="2235" bestFit="1" customWidth="1"/>
    <col min="1035" max="1035" width="4" style="2235" customWidth="1"/>
    <col min="1036" max="1036" width="5.125" style="2235" customWidth="1"/>
    <col min="1037" max="1037" width="13.75" style="2235" customWidth="1"/>
    <col min="1038" max="1280" width="9" style="2235"/>
    <col min="1281" max="1281" width="4.875" style="2235" customWidth="1"/>
    <col min="1282" max="1282" width="13.25" style="2235" customWidth="1"/>
    <col min="1283" max="1283" width="15.625" style="2235" customWidth="1"/>
    <col min="1284" max="1284" width="9.375" style="2235" bestFit="1" customWidth="1"/>
    <col min="1285" max="1285" width="13.5" style="2235" customWidth="1"/>
    <col min="1286" max="1286" width="9" style="2235"/>
    <col min="1287" max="1287" width="9.375" style="2235" bestFit="1" customWidth="1"/>
    <col min="1288" max="1289" width="9" style="2235"/>
    <col min="1290" max="1290" width="9.375" style="2235" bestFit="1" customWidth="1"/>
    <col min="1291" max="1291" width="4" style="2235" customWidth="1"/>
    <col min="1292" max="1292" width="5.125" style="2235" customWidth="1"/>
    <col min="1293" max="1293" width="13.75" style="2235" customWidth="1"/>
    <col min="1294" max="1536" width="9" style="2235"/>
    <col min="1537" max="1537" width="4.875" style="2235" customWidth="1"/>
    <col min="1538" max="1538" width="13.25" style="2235" customWidth="1"/>
    <col min="1539" max="1539" width="15.625" style="2235" customWidth="1"/>
    <col min="1540" max="1540" width="9.375" style="2235" bestFit="1" customWidth="1"/>
    <col min="1541" max="1541" width="13.5" style="2235" customWidth="1"/>
    <col min="1542" max="1542" width="9" style="2235"/>
    <col min="1543" max="1543" width="9.375" style="2235" bestFit="1" customWidth="1"/>
    <col min="1544" max="1545" width="9" style="2235"/>
    <col min="1546" max="1546" width="9.375" style="2235" bestFit="1" customWidth="1"/>
    <col min="1547" max="1547" width="4" style="2235" customWidth="1"/>
    <col min="1548" max="1548" width="5.125" style="2235" customWidth="1"/>
    <col min="1549" max="1549" width="13.75" style="2235" customWidth="1"/>
    <col min="1550" max="1792" width="9" style="2235"/>
    <col min="1793" max="1793" width="4.875" style="2235" customWidth="1"/>
    <col min="1794" max="1794" width="13.25" style="2235" customWidth="1"/>
    <col min="1795" max="1795" width="15.625" style="2235" customWidth="1"/>
    <col min="1796" max="1796" width="9.375" style="2235" bestFit="1" customWidth="1"/>
    <col min="1797" max="1797" width="13.5" style="2235" customWidth="1"/>
    <col min="1798" max="1798" width="9" style="2235"/>
    <col min="1799" max="1799" width="9.375" style="2235" bestFit="1" customWidth="1"/>
    <col min="1800" max="1801" width="9" style="2235"/>
    <col min="1802" max="1802" width="9.375" style="2235" bestFit="1" customWidth="1"/>
    <col min="1803" max="1803" width="4" style="2235" customWidth="1"/>
    <col min="1804" max="1804" width="5.125" style="2235" customWidth="1"/>
    <col min="1805" max="1805" width="13.75" style="2235" customWidth="1"/>
    <col min="1806" max="2048" width="9" style="2235"/>
    <col min="2049" max="2049" width="4.875" style="2235" customWidth="1"/>
    <col min="2050" max="2050" width="13.25" style="2235" customWidth="1"/>
    <col min="2051" max="2051" width="15.625" style="2235" customWidth="1"/>
    <col min="2052" max="2052" width="9.375" style="2235" bestFit="1" customWidth="1"/>
    <col min="2053" max="2053" width="13.5" style="2235" customWidth="1"/>
    <col min="2054" max="2054" width="9" style="2235"/>
    <col min="2055" max="2055" width="9.375" style="2235" bestFit="1" customWidth="1"/>
    <col min="2056" max="2057" width="9" style="2235"/>
    <col min="2058" max="2058" width="9.375" style="2235" bestFit="1" customWidth="1"/>
    <col min="2059" max="2059" width="4" style="2235" customWidth="1"/>
    <col min="2060" max="2060" width="5.125" style="2235" customWidth="1"/>
    <col min="2061" max="2061" width="13.75" style="2235" customWidth="1"/>
    <col min="2062" max="2304" width="9" style="2235"/>
    <col min="2305" max="2305" width="4.875" style="2235" customWidth="1"/>
    <col min="2306" max="2306" width="13.25" style="2235" customWidth="1"/>
    <col min="2307" max="2307" width="15.625" style="2235" customWidth="1"/>
    <col min="2308" max="2308" width="9.375" style="2235" bestFit="1" customWidth="1"/>
    <col min="2309" max="2309" width="13.5" style="2235" customWidth="1"/>
    <col min="2310" max="2310" width="9" style="2235"/>
    <col min="2311" max="2311" width="9.375" style="2235" bestFit="1" customWidth="1"/>
    <col min="2312" max="2313" width="9" style="2235"/>
    <col min="2314" max="2314" width="9.375" style="2235" bestFit="1" customWidth="1"/>
    <col min="2315" max="2315" width="4" style="2235" customWidth="1"/>
    <col min="2316" max="2316" width="5.125" style="2235" customWidth="1"/>
    <col min="2317" max="2317" width="13.75" style="2235" customWidth="1"/>
    <col min="2318" max="2560" width="9" style="2235"/>
    <col min="2561" max="2561" width="4.875" style="2235" customWidth="1"/>
    <col min="2562" max="2562" width="13.25" style="2235" customWidth="1"/>
    <col min="2563" max="2563" width="15.625" style="2235" customWidth="1"/>
    <col min="2564" max="2564" width="9.375" style="2235" bestFit="1" customWidth="1"/>
    <col min="2565" max="2565" width="13.5" style="2235" customWidth="1"/>
    <col min="2566" max="2566" width="9" style="2235"/>
    <col min="2567" max="2567" width="9.375" style="2235" bestFit="1" customWidth="1"/>
    <col min="2568" max="2569" width="9" style="2235"/>
    <col min="2570" max="2570" width="9.375" style="2235" bestFit="1" customWidth="1"/>
    <col min="2571" max="2571" width="4" style="2235" customWidth="1"/>
    <col min="2572" max="2572" width="5.125" style="2235" customWidth="1"/>
    <col min="2573" max="2573" width="13.75" style="2235" customWidth="1"/>
    <col min="2574" max="2816" width="9" style="2235"/>
    <col min="2817" max="2817" width="4.875" style="2235" customWidth="1"/>
    <col min="2818" max="2818" width="13.25" style="2235" customWidth="1"/>
    <col min="2819" max="2819" width="15.625" style="2235" customWidth="1"/>
    <col min="2820" max="2820" width="9.375" style="2235" bestFit="1" customWidth="1"/>
    <col min="2821" max="2821" width="13.5" style="2235" customWidth="1"/>
    <col min="2822" max="2822" width="9" style="2235"/>
    <col min="2823" max="2823" width="9.375" style="2235" bestFit="1" customWidth="1"/>
    <col min="2824" max="2825" width="9" style="2235"/>
    <col min="2826" max="2826" width="9.375" style="2235" bestFit="1" customWidth="1"/>
    <col min="2827" max="2827" width="4" style="2235" customWidth="1"/>
    <col min="2828" max="2828" width="5.125" style="2235" customWidth="1"/>
    <col min="2829" max="2829" width="13.75" style="2235" customWidth="1"/>
    <col min="2830" max="3072" width="9" style="2235"/>
    <col min="3073" max="3073" width="4.875" style="2235" customWidth="1"/>
    <col min="3074" max="3074" width="13.25" style="2235" customWidth="1"/>
    <col min="3075" max="3075" width="15.625" style="2235" customWidth="1"/>
    <col min="3076" max="3076" width="9.375" style="2235" bestFit="1" customWidth="1"/>
    <col min="3077" max="3077" width="13.5" style="2235" customWidth="1"/>
    <col min="3078" max="3078" width="9" style="2235"/>
    <col min="3079" max="3079" width="9.375" style="2235" bestFit="1" customWidth="1"/>
    <col min="3080" max="3081" width="9" style="2235"/>
    <col min="3082" max="3082" width="9.375" style="2235" bestFit="1" customWidth="1"/>
    <col min="3083" max="3083" width="4" style="2235" customWidth="1"/>
    <col min="3084" max="3084" width="5.125" style="2235" customWidth="1"/>
    <col min="3085" max="3085" width="13.75" style="2235" customWidth="1"/>
    <col min="3086" max="3328" width="9" style="2235"/>
    <col min="3329" max="3329" width="4.875" style="2235" customWidth="1"/>
    <col min="3330" max="3330" width="13.25" style="2235" customWidth="1"/>
    <col min="3331" max="3331" width="15.625" style="2235" customWidth="1"/>
    <col min="3332" max="3332" width="9.375" style="2235" bestFit="1" customWidth="1"/>
    <col min="3333" max="3333" width="13.5" style="2235" customWidth="1"/>
    <col min="3334" max="3334" width="9" style="2235"/>
    <col min="3335" max="3335" width="9.375" style="2235" bestFit="1" customWidth="1"/>
    <col min="3336" max="3337" width="9" style="2235"/>
    <col min="3338" max="3338" width="9.375" style="2235" bestFit="1" customWidth="1"/>
    <col min="3339" max="3339" width="4" style="2235" customWidth="1"/>
    <col min="3340" max="3340" width="5.125" style="2235" customWidth="1"/>
    <col min="3341" max="3341" width="13.75" style="2235" customWidth="1"/>
    <col min="3342" max="3584" width="9" style="2235"/>
    <col min="3585" max="3585" width="4.875" style="2235" customWidth="1"/>
    <col min="3586" max="3586" width="13.25" style="2235" customWidth="1"/>
    <col min="3587" max="3587" width="15.625" style="2235" customWidth="1"/>
    <col min="3588" max="3588" width="9.375" style="2235" bestFit="1" customWidth="1"/>
    <col min="3589" max="3589" width="13.5" style="2235" customWidth="1"/>
    <col min="3590" max="3590" width="9" style="2235"/>
    <col min="3591" max="3591" width="9.375" style="2235" bestFit="1" customWidth="1"/>
    <col min="3592" max="3593" width="9" style="2235"/>
    <col min="3594" max="3594" width="9.375" style="2235" bestFit="1" customWidth="1"/>
    <col min="3595" max="3595" width="4" style="2235" customWidth="1"/>
    <col min="3596" max="3596" width="5.125" style="2235" customWidth="1"/>
    <col min="3597" max="3597" width="13.75" style="2235" customWidth="1"/>
    <col min="3598" max="3840" width="9" style="2235"/>
    <col min="3841" max="3841" width="4.875" style="2235" customWidth="1"/>
    <col min="3842" max="3842" width="13.25" style="2235" customWidth="1"/>
    <col min="3843" max="3843" width="15.625" style="2235" customWidth="1"/>
    <col min="3844" max="3844" width="9.375" style="2235" bestFit="1" customWidth="1"/>
    <col min="3845" max="3845" width="13.5" style="2235" customWidth="1"/>
    <col min="3846" max="3846" width="9" style="2235"/>
    <col min="3847" max="3847" width="9.375" style="2235" bestFit="1" customWidth="1"/>
    <col min="3848" max="3849" width="9" style="2235"/>
    <col min="3850" max="3850" width="9.375" style="2235" bestFit="1" customWidth="1"/>
    <col min="3851" max="3851" width="4" style="2235" customWidth="1"/>
    <col min="3852" max="3852" width="5.125" style="2235" customWidth="1"/>
    <col min="3853" max="3853" width="13.75" style="2235" customWidth="1"/>
    <col min="3854" max="4096" width="9" style="2235"/>
    <col min="4097" max="4097" width="4.875" style="2235" customWidth="1"/>
    <col min="4098" max="4098" width="13.25" style="2235" customWidth="1"/>
    <col min="4099" max="4099" width="15.625" style="2235" customWidth="1"/>
    <col min="4100" max="4100" width="9.375" style="2235" bestFit="1" customWidth="1"/>
    <col min="4101" max="4101" width="13.5" style="2235" customWidth="1"/>
    <col min="4102" max="4102" width="9" style="2235"/>
    <col min="4103" max="4103" width="9.375" style="2235" bestFit="1" customWidth="1"/>
    <col min="4104" max="4105" width="9" style="2235"/>
    <col min="4106" max="4106" width="9.375" style="2235" bestFit="1" customWidth="1"/>
    <col min="4107" max="4107" width="4" style="2235" customWidth="1"/>
    <col min="4108" max="4108" width="5.125" style="2235" customWidth="1"/>
    <col min="4109" max="4109" width="13.75" style="2235" customWidth="1"/>
    <col min="4110" max="4352" width="9" style="2235"/>
    <col min="4353" max="4353" width="4.875" style="2235" customWidth="1"/>
    <col min="4354" max="4354" width="13.25" style="2235" customWidth="1"/>
    <col min="4355" max="4355" width="15.625" style="2235" customWidth="1"/>
    <col min="4356" max="4356" width="9.375" style="2235" bestFit="1" customWidth="1"/>
    <col min="4357" max="4357" width="13.5" style="2235" customWidth="1"/>
    <col min="4358" max="4358" width="9" style="2235"/>
    <col min="4359" max="4359" width="9.375" style="2235" bestFit="1" customWidth="1"/>
    <col min="4360" max="4361" width="9" style="2235"/>
    <col min="4362" max="4362" width="9.375" style="2235" bestFit="1" customWidth="1"/>
    <col min="4363" max="4363" width="4" style="2235" customWidth="1"/>
    <col min="4364" max="4364" width="5.125" style="2235" customWidth="1"/>
    <col min="4365" max="4365" width="13.75" style="2235" customWidth="1"/>
    <col min="4366" max="4608" width="9" style="2235"/>
    <col min="4609" max="4609" width="4.875" style="2235" customWidth="1"/>
    <col min="4610" max="4610" width="13.25" style="2235" customWidth="1"/>
    <col min="4611" max="4611" width="15.625" style="2235" customWidth="1"/>
    <col min="4612" max="4612" width="9.375" style="2235" bestFit="1" customWidth="1"/>
    <col min="4613" max="4613" width="13.5" style="2235" customWidth="1"/>
    <col min="4614" max="4614" width="9" style="2235"/>
    <col min="4615" max="4615" width="9.375" style="2235" bestFit="1" customWidth="1"/>
    <col min="4616" max="4617" width="9" style="2235"/>
    <col min="4618" max="4618" width="9.375" style="2235" bestFit="1" customWidth="1"/>
    <col min="4619" max="4619" width="4" style="2235" customWidth="1"/>
    <col min="4620" max="4620" width="5.125" style="2235" customWidth="1"/>
    <col min="4621" max="4621" width="13.75" style="2235" customWidth="1"/>
    <col min="4622" max="4864" width="9" style="2235"/>
    <col min="4865" max="4865" width="4.875" style="2235" customWidth="1"/>
    <col min="4866" max="4866" width="13.25" style="2235" customWidth="1"/>
    <col min="4867" max="4867" width="15.625" style="2235" customWidth="1"/>
    <col min="4868" max="4868" width="9.375" style="2235" bestFit="1" customWidth="1"/>
    <col min="4869" max="4869" width="13.5" style="2235" customWidth="1"/>
    <col min="4870" max="4870" width="9" style="2235"/>
    <col min="4871" max="4871" width="9.375" style="2235" bestFit="1" customWidth="1"/>
    <col min="4872" max="4873" width="9" style="2235"/>
    <col min="4874" max="4874" width="9.375" style="2235" bestFit="1" customWidth="1"/>
    <col min="4875" max="4875" width="4" style="2235" customWidth="1"/>
    <col min="4876" max="4876" width="5.125" style="2235" customWidth="1"/>
    <col min="4877" max="4877" width="13.75" style="2235" customWidth="1"/>
    <col min="4878" max="5120" width="9" style="2235"/>
    <col min="5121" max="5121" width="4.875" style="2235" customWidth="1"/>
    <col min="5122" max="5122" width="13.25" style="2235" customWidth="1"/>
    <col min="5123" max="5123" width="15.625" style="2235" customWidth="1"/>
    <col min="5124" max="5124" width="9.375" style="2235" bestFit="1" customWidth="1"/>
    <col min="5125" max="5125" width="13.5" style="2235" customWidth="1"/>
    <col min="5126" max="5126" width="9" style="2235"/>
    <col min="5127" max="5127" width="9.375" style="2235" bestFit="1" customWidth="1"/>
    <col min="5128" max="5129" width="9" style="2235"/>
    <col min="5130" max="5130" width="9.375" style="2235" bestFit="1" customWidth="1"/>
    <col min="5131" max="5131" width="4" style="2235" customWidth="1"/>
    <col min="5132" max="5132" width="5.125" style="2235" customWidth="1"/>
    <col min="5133" max="5133" width="13.75" style="2235" customWidth="1"/>
    <col min="5134" max="5376" width="9" style="2235"/>
    <col min="5377" max="5377" width="4.875" style="2235" customWidth="1"/>
    <col min="5378" max="5378" width="13.25" style="2235" customWidth="1"/>
    <col min="5379" max="5379" width="15.625" style="2235" customWidth="1"/>
    <col min="5380" max="5380" width="9.375" style="2235" bestFit="1" customWidth="1"/>
    <col min="5381" max="5381" width="13.5" style="2235" customWidth="1"/>
    <col min="5382" max="5382" width="9" style="2235"/>
    <col min="5383" max="5383" width="9.375" style="2235" bestFit="1" customWidth="1"/>
    <col min="5384" max="5385" width="9" style="2235"/>
    <col min="5386" max="5386" width="9.375" style="2235" bestFit="1" customWidth="1"/>
    <col min="5387" max="5387" width="4" style="2235" customWidth="1"/>
    <col min="5388" max="5388" width="5.125" style="2235" customWidth="1"/>
    <col min="5389" max="5389" width="13.75" style="2235" customWidth="1"/>
    <col min="5390" max="5632" width="9" style="2235"/>
    <col min="5633" max="5633" width="4.875" style="2235" customWidth="1"/>
    <col min="5634" max="5634" width="13.25" style="2235" customWidth="1"/>
    <col min="5635" max="5635" width="15.625" style="2235" customWidth="1"/>
    <col min="5636" max="5636" width="9.375" style="2235" bestFit="1" customWidth="1"/>
    <col min="5637" max="5637" width="13.5" style="2235" customWidth="1"/>
    <col min="5638" max="5638" width="9" style="2235"/>
    <col min="5639" max="5639" width="9.375" style="2235" bestFit="1" customWidth="1"/>
    <col min="5640" max="5641" width="9" style="2235"/>
    <col min="5642" max="5642" width="9.375" style="2235" bestFit="1" customWidth="1"/>
    <col min="5643" max="5643" width="4" style="2235" customWidth="1"/>
    <col min="5644" max="5644" width="5.125" style="2235" customWidth="1"/>
    <col min="5645" max="5645" width="13.75" style="2235" customWidth="1"/>
    <col min="5646" max="5888" width="9" style="2235"/>
    <col min="5889" max="5889" width="4.875" style="2235" customWidth="1"/>
    <col min="5890" max="5890" width="13.25" style="2235" customWidth="1"/>
    <col min="5891" max="5891" width="15.625" style="2235" customWidth="1"/>
    <col min="5892" max="5892" width="9.375" style="2235" bestFit="1" customWidth="1"/>
    <col min="5893" max="5893" width="13.5" style="2235" customWidth="1"/>
    <col min="5894" max="5894" width="9" style="2235"/>
    <col min="5895" max="5895" width="9.375" style="2235" bestFit="1" customWidth="1"/>
    <col min="5896" max="5897" width="9" style="2235"/>
    <col min="5898" max="5898" width="9.375" style="2235" bestFit="1" customWidth="1"/>
    <col min="5899" max="5899" width="4" style="2235" customWidth="1"/>
    <col min="5900" max="5900" width="5.125" style="2235" customWidth="1"/>
    <col min="5901" max="5901" width="13.75" style="2235" customWidth="1"/>
    <col min="5902" max="6144" width="9" style="2235"/>
    <col min="6145" max="6145" width="4.875" style="2235" customWidth="1"/>
    <col min="6146" max="6146" width="13.25" style="2235" customWidth="1"/>
    <col min="6147" max="6147" width="15.625" style="2235" customWidth="1"/>
    <col min="6148" max="6148" width="9.375" style="2235" bestFit="1" customWidth="1"/>
    <col min="6149" max="6149" width="13.5" style="2235" customWidth="1"/>
    <col min="6150" max="6150" width="9" style="2235"/>
    <col min="6151" max="6151" width="9.375" style="2235" bestFit="1" customWidth="1"/>
    <col min="6152" max="6153" width="9" style="2235"/>
    <col min="6154" max="6154" width="9.375" style="2235" bestFit="1" customWidth="1"/>
    <col min="6155" max="6155" width="4" style="2235" customWidth="1"/>
    <col min="6156" max="6156" width="5.125" style="2235" customWidth="1"/>
    <col min="6157" max="6157" width="13.75" style="2235" customWidth="1"/>
    <col min="6158" max="6400" width="9" style="2235"/>
    <col min="6401" max="6401" width="4.875" style="2235" customWidth="1"/>
    <col min="6402" max="6402" width="13.25" style="2235" customWidth="1"/>
    <col min="6403" max="6403" width="15.625" style="2235" customWidth="1"/>
    <col min="6404" max="6404" width="9.375" style="2235" bestFit="1" customWidth="1"/>
    <col min="6405" max="6405" width="13.5" style="2235" customWidth="1"/>
    <col min="6406" max="6406" width="9" style="2235"/>
    <col min="6407" max="6407" width="9.375" style="2235" bestFit="1" customWidth="1"/>
    <col min="6408" max="6409" width="9" style="2235"/>
    <col min="6410" max="6410" width="9.375" style="2235" bestFit="1" customWidth="1"/>
    <col min="6411" max="6411" width="4" style="2235" customWidth="1"/>
    <col min="6412" max="6412" width="5.125" style="2235" customWidth="1"/>
    <col min="6413" max="6413" width="13.75" style="2235" customWidth="1"/>
    <col min="6414" max="6656" width="9" style="2235"/>
    <col min="6657" max="6657" width="4.875" style="2235" customWidth="1"/>
    <col min="6658" max="6658" width="13.25" style="2235" customWidth="1"/>
    <col min="6659" max="6659" width="15.625" style="2235" customWidth="1"/>
    <col min="6660" max="6660" width="9.375" style="2235" bestFit="1" customWidth="1"/>
    <col min="6661" max="6661" width="13.5" style="2235" customWidth="1"/>
    <col min="6662" max="6662" width="9" style="2235"/>
    <col min="6663" max="6663" width="9.375" style="2235" bestFit="1" customWidth="1"/>
    <col min="6664" max="6665" width="9" style="2235"/>
    <col min="6666" max="6666" width="9.375" style="2235" bestFit="1" customWidth="1"/>
    <col min="6667" max="6667" width="4" style="2235" customWidth="1"/>
    <col min="6668" max="6668" width="5.125" style="2235" customWidth="1"/>
    <col min="6669" max="6669" width="13.75" style="2235" customWidth="1"/>
    <col min="6670" max="6912" width="9" style="2235"/>
    <col min="6913" max="6913" width="4.875" style="2235" customWidth="1"/>
    <col min="6914" max="6914" width="13.25" style="2235" customWidth="1"/>
    <col min="6915" max="6915" width="15.625" style="2235" customWidth="1"/>
    <col min="6916" max="6916" width="9.375" style="2235" bestFit="1" customWidth="1"/>
    <col min="6917" max="6917" width="13.5" style="2235" customWidth="1"/>
    <col min="6918" max="6918" width="9" style="2235"/>
    <col min="6919" max="6919" width="9.375" style="2235" bestFit="1" customWidth="1"/>
    <col min="6920" max="6921" width="9" style="2235"/>
    <col min="6922" max="6922" width="9.375" style="2235" bestFit="1" customWidth="1"/>
    <col min="6923" max="6923" width="4" style="2235" customWidth="1"/>
    <col min="6924" max="6924" width="5.125" style="2235" customWidth="1"/>
    <col min="6925" max="6925" width="13.75" style="2235" customWidth="1"/>
    <col min="6926" max="7168" width="9" style="2235"/>
    <col min="7169" max="7169" width="4.875" style="2235" customWidth="1"/>
    <col min="7170" max="7170" width="13.25" style="2235" customWidth="1"/>
    <col min="7171" max="7171" width="15.625" style="2235" customWidth="1"/>
    <col min="7172" max="7172" width="9.375" style="2235" bestFit="1" customWidth="1"/>
    <col min="7173" max="7173" width="13.5" style="2235" customWidth="1"/>
    <col min="7174" max="7174" width="9" style="2235"/>
    <col min="7175" max="7175" width="9.375" style="2235" bestFit="1" customWidth="1"/>
    <col min="7176" max="7177" width="9" style="2235"/>
    <col min="7178" max="7178" width="9.375" style="2235" bestFit="1" customWidth="1"/>
    <col min="7179" max="7179" width="4" style="2235" customWidth="1"/>
    <col min="7180" max="7180" width="5.125" style="2235" customWidth="1"/>
    <col min="7181" max="7181" width="13.75" style="2235" customWidth="1"/>
    <col min="7182" max="7424" width="9" style="2235"/>
    <col min="7425" max="7425" width="4.875" style="2235" customWidth="1"/>
    <col min="7426" max="7426" width="13.25" style="2235" customWidth="1"/>
    <col min="7427" max="7427" width="15.625" style="2235" customWidth="1"/>
    <col min="7428" max="7428" width="9.375" style="2235" bestFit="1" customWidth="1"/>
    <col min="7429" max="7429" width="13.5" style="2235" customWidth="1"/>
    <col min="7430" max="7430" width="9" style="2235"/>
    <col min="7431" max="7431" width="9.375" style="2235" bestFit="1" customWidth="1"/>
    <col min="7432" max="7433" width="9" style="2235"/>
    <col min="7434" max="7434" width="9.375" style="2235" bestFit="1" customWidth="1"/>
    <col min="7435" max="7435" width="4" style="2235" customWidth="1"/>
    <col min="7436" max="7436" width="5.125" style="2235" customWidth="1"/>
    <col min="7437" max="7437" width="13.75" style="2235" customWidth="1"/>
    <col min="7438" max="7680" width="9" style="2235"/>
    <col min="7681" max="7681" width="4.875" style="2235" customWidth="1"/>
    <col min="7682" max="7682" width="13.25" style="2235" customWidth="1"/>
    <col min="7683" max="7683" width="15.625" style="2235" customWidth="1"/>
    <col min="7684" max="7684" width="9.375" style="2235" bestFit="1" customWidth="1"/>
    <col min="7685" max="7685" width="13.5" style="2235" customWidth="1"/>
    <col min="7686" max="7686" width="9" style="2235"/>
    <col min="7687" max="7687" width="9.375" style="2235" bestFit="1" customWidth="1"/>
    <col min="7688" max="7689" width="9" style="2235"/>
    <col min="7690" max="7690" width="9.375" style="2235" bestFit="1" customWidth="1"/>
    <col min="7691" max="7691" width="4" style="2235" customWidth="1"/>
    <col min="7692" max="7692" width="5.125" style="2235" customWidth="1"/>
    <col min="7693" max="7693" width="13.75" style="2235" customWidth="1"/>
    <col min="7694" max="7936" width="9" style="2235"/>
    <col min="7937" max="7937" width="4.875" style="2235" customWidth="1"/>
    <col min="7938" max="7938" width="13.25" style="2235" customWidth="1"/>
    <col min="7939" max="7939" width="15.625" style="2235" customWidth="1"/>
    <col min="7940" max="7940" width="9.375" style="2235" bestFit="1" customWidth="1"/>
    <col min="7941" max="7941" width="13.5" style="2235" customWidth="1"/>
    <col min="7942" max="7942" width="9" style="2235"/>
    <col min="7943" max="7943" width="9.375" style="2235" bestFit="1" customWidth="1"/>
    <col min="7944" max="7945" width="9" style="2235"/>
    <col min="7946" max="7946" width="9.375" style="2235" bestFit="1" customWidth="1"/>
    <col min="7947" max="7947" width="4" style="2235" customWidth="1"/>
    <col min="7948" max="7948" width="5.125" style="2235" customWidth="1"/>
    <col min="7949" max="7949" width="13.75" style="2235" customWidth="1"/>
    <col min="7950" max="8192" width="9" style="2235"/>
    <col min="8193" max="8193" width="4.875" style="2235" customWidth="1"/>
    <col min="8194" max="8194" width="13.25" style="2235" customWidth="1"/>
    <col min="8195" max="8195" width="15.625" style="2235" customWidth="1"/>
    <col min="8196" max="8196" width="9.375" style="2235" bestFit="1" customWidth="1"/>
    <col min="8197" max="8197" width="13.5" style="2235" customWidth="1"/>
    <col min="8198" max="8198" width="9" style="2235"/>
    <col min="8199" max="8199" width="9.375" style="2235" bestFit="1" customWidth="1"/>
    <col min="8200" max="8201" width="9" style="2235"/>
    <col min="8202" max="8202" width="9.375" style="2235" bestFit="1" customWidth="1"/>
    <col min="8203" max="8203" width="4" style="2235" customWidth="1"/>
    <col min="8204" max="8204" width="5.125" style="2235" customWidth="1"/>
    <col min="8205" max="8205" width="13.75" style="2235" customWidth="1"/>
    <col min="8206" max="8448" width="9" style="2235"/>
    <col min="8449" max="8449" width="4.875" style="2235" customWidth="1"/>
    <col min="8450" max="8450" width="13.25" style="2235" customWidth="1"/>
    <col min="8451" max="8451" width="15.625" style="2235" customWidth="1"/>
    <col min="8452" max="8452" width="9.375" style="2235" bestFit="1" customWidth="1"/>
    <col min="8453" max="8453" width="13.5" style="2235" customWidth="1"/>
    <col min="8454" max="8454" width="9" style="2235"/>
    <col min="8455" max="8455" width="9.375" style="2235" bestFit="1" customWidth="1"/>
    <col min="8456" max="8457" width="9" style="2235"/>
    <col min="8458" max="8458" width="9.375" style="2235" bestFit="1" customWidth="1"/>
    <col min="8459" max="8459" width="4" style="2235" customWidth="1"/>
    <col min="8460" max="8460" width="5.125" style="2235" customWidth="1"/>
    <col min="8461" max="8461" width="13.75" style="2235" customWidth="1"/>
    <col min="8462" max="8704" width="9" style="2235"/>
    <col min="8705" max="8705" width="4.875" style="2235" customWidth="1"/>
    <col min="8706" max="8706" width="13.25" style="2235" customWidth="1"/>
    <col min="8707" max="8707" width="15.625" style="2235" customWidth="1"/>
    <col min="8708" max="8708" width="9.375" style="2235" bestFit="1" customWidth="1"/>
    <col min="8709" max="8709" width="13.5" style="2235" customWidth="1"/>
    <col min="8710" max="8710" width="9" style="2235"/>
    <col min="8711" max="8711" width="9.375" style="2235" bestFit="1" customWidth="1"/>
    <col min="8712" max="8713" width="9" style="2235"/>
    <col min="8714" max="8714" width="9.375" style="2235" bestFit="1" customWidth="1"/>
    <col min="8715" max="8715" width="4" style="2235" customWidth="1"/>
    <col min="8716" max="8716" width="5.125" style="2235" customWidth="1"/>
    <col min="8717" max="8717" width="13.75" style="2235" customWidth="1"/>
    <col min="8718" max="8960" width="9" style="2235"/>
    <col min="8961" max="8961" width="4.875" style="2235" customWidth="1"/>
    <col min="8962" max="8962" width="13.25" style="2235" customWidth="1"/>
    <col min="8963" max="8963" width="15.625" style="2235" customWidth="1"/>
    <col min="8964" max="8964" width="9.375" style="2235" bestFit="1" customWidth="1"/>
    <col min="8965" max="8965" width="13.5" style="2235" customWidth="1"/>
    <col min="8966" max="8966" width="9" style="2235"/>
    <col min="8967" max="8967" width="9.375" style="2235" bestFit="1" customWidth="1"/>
    <col min="8968" max="8969" width="9" style="2235"/>
    <col min="8970" max="8970" width="9.375" style="2235" bestFit="1" customWidth="1"/>
    <col min="8971" max="8971" width="4" style="2235" customWidth="1"/>
    <col min="8972" max="8972" width="5.125" style="2235" customWidth="1"/>
    <col min="8973" max="8973" width="13.75" style="2235" customWidth="1"/>
    <col min="8974" max="9216" width="9" style="2235"/>
    <col min="9217" max="9217" width="4.875" style="2235" customWidth="1"/>
    <col min="9218" max="9218" width="13.25" style="2235" customWidth="1"/>
    <col min="9219" max="9219" width="15.625" style="2235" customWidth="1"/>
    <col min="9220" max="9220" width="9.375" style="2235" bestFit="1" customWidth="1"/>
    <col min="9221" max="9221" width="13.5" style="2235" customWidth="1"/>
    <col min="9222" max="9222" width="9" style="2235"/>
    <col min="9223" max="9223" width="9.375" style="2235" bestFit="1" customWidth="1"/>
    <col min="9224" max="9225" width="9" style="2235"/>
    <col min="9226" max="9226" width="9.375" style="2235" bestFit="1" customWidth="1"/>
    <col min="9227" max="9227" width="4" style="2235" customWidth="1"/>
    <col min="9228" max="9228" width="5.125" style="2235" customWidth="1"/>
    <col min="9229" max="9229" width="13.75" style="2235" customWidth="1"/>
    <col min="9230" max="9472" width="9" style="2235"/>
    <col min="9473" max="9473" width="4.875" style="2235" customWidth="1"/>
    <col min="9474" max="9474" width="13.25" style="2235" customWidth="1"/>
    <col min="9475" max="9475" width="15.625" style="2235" customWidth="1"/>
    <col min="9476" max="9476" width="9.375" style="2235" bestFit="1" customWidth="1"/>
    <col min="9477" max="9477" width="13.5" style="2235" customWidth="1"/>
    <col min="9478" max="9478" width="9" style="2235"/>
    <col min="9479" max="9479" width="9.375" style="2235" bestFit="1" customWidth="1"/>
    <col min="9480" max="9481" width="9" style="2235"/>
    <col min="9482" max="9482" width="9.375" style="2235" bestFit="1" customWidth="1"/>
    <col min="9483" max="9483" width="4" style="2235" customWidth="1"/>
    <col min="9484" max="9484" width="5.125" style="2235" customWidth="1"/>
    <col min="9485" max="9485" width="13.75" style="2235" customWidth="1"/>
    <col min="9486" max="9728" width="9" style="2235"/>
    <col min="9729" max="9729" width="4.875" style="2235" customWidth="1"/>
    <col min="9730" max="9730" width="13.25" style="2235" customWidth="1"/>
    <col min="9731" max="9731" width="15.625" style="2235" customWidth="1"/>
    <col min="9732" max="9732" width="9.375" style="2235" bestFit="1" customWidth="1"/>
    <col min="9733" max="9733" width="13.5" style="2235" customWidth="1"/>
    <col min="9734" max="9734" width="9" style="2235"/>
    <col min="9735" max="9735" width="9.375" style="2235" bestFit="1" customWidth="1"/>
    <col min="9736" max="9737" width="9" style="2235"/>
    <col min="9738" max="9738" width="9.375" style="2235" bestFit="1" customWidth="1"/>
    <col min="9739" max="9739" width="4" style="2235" customWidth="1"/>
    <col min="9740" max="9740" width="5.125" style="2235" customWidth="1"/>
    <col min="9741" max="9741" width="13.75" style="2235" customWidth="1"/>
    <col min="9742" max="9984" width="9" style="2235"/>
    <col min="9985" max="9985" width="4.875" style="2235" customWidth="1"/>
    <col min="9986" max="9986" width="13.25" style="2235" customWidth="1"/>
    <col min="9987" max="9987" width="15.625" style="2235" customWidth="1"/>
    <col min="9988" max="9988" width="9.375" style="2235" bestFit="1" customWidth="1"/>
    <col min="9989" max="9989" width="13.5" style="2235" customWidth="1"/>
    <col min="9990" max="9990" width="9" style="2235"/>
    <col min="9991" max="9991" width="9.375" style="2235" bestFit="1" customWidth="1"/>
    <col min="9992" max="9993" width="9" style="2235"/>
    <col min="9994" max="9994" width="9.375" style="2235" bestFit="1" customWidth="1"/>
    <col min="9995" max="9995" width="4" style="2235" customWidth="1"/>
    <col min="9996" max="9996" width="5.125" style="2235" customWidth="1"/>
    <col min="9997" max="9997" width="13.75" style="2235" customWidth="1"/>
    <col min="9998" max="10240" width="9" style="2235"/>
    <col min="10241" max="10241" width="4.875" style="2235" customWidth="1"/>
    <col min="10242" max="10242" width="13.25" style="2235" customWidth="1"/>
    <col min="10243" max="10243" width="15.625" style="2235" customWidth="1"/>
    <col min="10244" max="10244" width="9.375" style="2235" bestFit="1" customWidth="1"/>
    <col min="10245" max="10245" width="13.5" style="2235" customWidth="1"/>
    <col min="10246" max="10246" width="9" style="2235"/>
    <col min="10247" max="10247" width="9.375" style="2235" bestFit="1" customWidth="1"/>
    <col min="10248" max="10249" width="9" style="2235"/>
    <col min="10250" max="10250" width="9.375" style="2235" bestFit="1" customWidth="1"/>
    <col min="10251" max="10251" width="4" style="2235" customWidth="1"/>
    <col min="10252" max="10252" width="5.125" style="2235" customWidth="1"/>
    <col min="10253" max="10253" width="13.75" style="2235" customWidth="1"/>
    <col min="10254" max="10496" width="9" style="2235"/>
    <col min="10497" max="10497" width="4.875" style="2235" customWidth="1"/>
    <col min="10498" max="10498" width="13.25" style="2235" customWidth="1"/>
    <col min="10499" max="10499" width="15.625" style="2235" customWidth="1"/>
    <col min="10500" max="10500" width="9.375" style="2235" bestFit="1" customWidth="1"/>
    <col min="10501" max="10501" width="13.5" style="2235" customWidth="1"/>
    <col min="10502" max="10502" width="9" style="2235"/>
    <col min="10503" max="10503" width="9.375" style="2235" bestFit="1" customWidth="1"/>
    <col min="10504" max="10505" width="9" style="2235"/>
    <col min="10506" max="10506" width="9.375" style="2235" bestFit="1" customWidth="1"/>
    <col min="10507" max="10507" width="4" style="2235" customWidth="1"/>
    <col min="10508" max="10508" width="5.125" style="2235" customWidth="1"/>
    <col min="10509" max="10509" width="13.75" style="2235" customWidth="1"/>
    <col min="10510" max="10752" width="9" style="2235"/>
    <col min="10753" max="10753" width="4.875" style="2235" customWidth="1"/>
    <col min="10754" max="10754" width="13.25" style="2235" customWidth="1"/>
    <col min="10755" max="10755" width="15.625" style="2235" customWidth="1"/>
    <col min="10756" max="10756" width="9.375" style="2235" bestFit="1" customWidth="1"/>
    <col min="10757" max="10757" width="13.5" style="2235" customWidth="1"/>
    <col min="10758" max="10758" width="9" style="2235"/>
    <col min="10759" max="10759" width="9.375" style="2235" bestFit="1" customWidth="1"/>
    <col min="10760" max="10761" width="9" style="2235"/>
    <col min="10762" max="10762" width="9.375" style="2235" bestFit="1" customWidth="1"/>
    <col min="10763" max="10763" width="4" style="2235" customWidth="1"/>
    <col min="10764" max="10764" width="5.125" style="2235" customWidth="1"/>
    <col min="10765" max="10765" width="13.75" style="2235" customWidth="1"/>
    <col min="10766" max="11008" width="9" style="2235"/>
    <col min="11009" max="11009" width="4.875" style="2235" customWidth="1"/>
    <col min="11010" max="11010" width="13.25" style="2235" customWidth="1"/>
    <col min="11011" max="11011" width="15.625" style="2235" customWidth="1"/>
    <col min="11012" max="11012" width="9.375" style="2235" bestFit="1" customWidth="1"/>
    <col min="11013" max="11013" width="13.5" style="2235" customWidth="1"/>
    <col min="11014" max="11014" width="9" style="2235"/>
    <col min="11015" max="11015" width="9.375" style="2235" bestFit="1" customWidth="1"/>
    <col min="11016" max="11017" width="9" style="2235"/>
    <col min="11018" max="11018" width="9.375" style="2235" bestFit="1" customWidth="1"/>
    <col min="11019" max="11019" width="4" style="2235" customWidth="1"/>
    <col min="11020" max="11020" width="5.125" style="2235" customWidth="1"/>
    <col min="11021" max="11021" width="13.75" style="2235" customWidth="1"/>
    <col min="11022" max="11264" width="9" style="2235"/>
    <col min="11265" max="11265" width="4.875" style="2235" customWidth="1"/>
    <col min="11266" max="11266" width="13.25" style="2235" customWidth="1"/>
    <col min="11267" max="11267" width="15.625" style="2235" customWidth="1"/>
    <col min="11268" max="11268" width="9.375" style="2235" bestFit="1" customWidth="1"/>
    <col min="11269" max="11269" width="13.5" style="2235" customWidth="1"/>
    <col min="11270" max="11270" width="9" style="2235"/>
    <col min="11271" max="11271" width="9.375" style="2235" bestFit="1" customWidth="1"/>
    <col min="11272" max="11273" width="9" style="2235"/>
    <col min="11274" max="11274" width="9.375" style="2235" bestFit="1" customWidth="1"/>
    <col min="11275" max="11275" width="4" style="2235" customWidth="1"/>
    <col min="11276" max="11276" width="5.125" style="2235" customWidth="1"/>
    <col min="11277" max="11277" width="13.75" style="2235" customWidth="1"/>
    <col min="11278" max="11520" width="9" style="2235"/>
    <col min="11521" max="11521" width="4.875" style="2235" customWidth="1"/>
    <col min="11522" max="11522" width="13.25" style="2235" customWidth="1"/>
    <col min="11523" max="11523" width="15.625" style="2235" customWidth="1"/>
    <col min="11524" max="11524" width="9.375" style="2235" bestFit="1" customWidth="1"/>
    <col min="11525" max="11525" width="13.5" style="2235" customWidth="1"/>
    <col min="11526" max="11526" width="9" style="2235"/>
    <col min="11527" max="11527" width="9.375" style="2235" bestFit="1" customWidth="1"/>
    <col min="11528" max="11529" width="9" style="2235"/>
    <col min="11530" max="11530" width="9.375" style="2235" bestFit="1" customWidth="1"/>
    <col min="11531" max="11531" width="4" style="2235" customWidth="1"/>
    <col min="11532" max="11532" width="5.125" style="2235" customWidth="1"/>
    <col min="11533" max="11533" width="13.75" style="2235" customWidth="1"/>
    <col min="11534" max="11776" width="9" style="2235"/>
    <col min="11777" max="11777" width="4.875" style="2235" customWidth="1"/>
    <col min="11778" max="11778" width="13.25" style="2235" customWidth="1"/>
    <col min="11779" max="11779" width="15.625" style="2235" customWidth="1"/>
    <col min="11780" max="11780" width="9.375" style="2235" bestFit="1" customWidth="1"/>
    <col min="11781" max="11781" width="13.5" style="2235" customWidth="1"/>
    <col min="11782" max="11782" width="9" style="2235"/>
    <col min="11783" max="11783" width="9.375" style="2235" bestFit="1" customWidth="1"/>
    <col min="11784" max="11785" width="9" style="2235"/>
    <col min="11786" max="11786" width="9.375" style="2235" bestFit="1" customWidth="1"/>
    <col min="11787" max="11787" width="4" style="2235" customWidth="1"/>
    <col min="11788" max="11788" width="5.125" style="2235" customWidth="1"/>
    <col min="11789" max="11789" width="13.75" style="2235" customWidth="1"/>
    <col min="11790" max="12032" width="9" style="2235"/>
    <col min="12033" max="12033" width="4.875" style="2235" customWidth="1"/>
    <col min="12034" max="12034" width="13.25" style="2235" customWidth="1"/>
    <col min="12035" max="12035" width="15.625" style="2235" customWidth="1"/>
    <col min="12036" max="12036" width="9.375" style="2235" bestFit="1" customWidth="1"/>
    <col min="12037" max="12037" width="13.5" style="2235" customWidth="1"/>
    <col min="12038" max="12038" width="9" style="2235"/>
    <col min="12039" max="12039" width="9.375" style="2235" bestFit="1" customWidth="1"/>
    <col min="12040" max="12041" width="9" style="2235"/>
    <col min="12042" max="12042" width="9.375" style="2235" bestFit="1" customWidth="1"/>
    <col min="12043" max="12043" width="4" style="2235" customWidth="1"/>
    <col min="12044" max="12044" width="5.125" style="2235" customWidth="1"/>
    <col min="12045" max="12045" width="13.75" style="2235" customWidth="1"/>
    <col min="12046" max="12288" width="9" style="2235"/>
    <col min="12289" max="12289" width="4.875" style="2235" customWidth="1"/>
    <col min="12290" max="12290" width="13.25" style="2235" customWidth="1"/>
    <col min="12291" max="12291" width="15.625" style="2235" customWidth="1"/>
    <col min="12292" max="12292" width="9.375" style="2235" bestFit="1" customWidth="1"/>
    <col min="12293" max="12293" width="13.5" style="2235" customWidth="1"/>
    <col min="12294" max="12294" width="9" style="2235"/>
    <col min="12295" max="12295" width="9.375" style="2235" bestFit="1" customWidth="1"/>
    <col min="12296" max="12297" width="9" style="2235"/>
    <col min="12298" max="12298" width="9.375" style="2235" bestFit="1" customWidth="1"/>
    <col min="12299" max="12299" width="4" style="2235" customWidth="1"/>
    <col min="12300" max="12300" width="5.125" style="2235" customWidth="1"/>
    <col min="12301" max="12301" width="13.75" style="2235" customWidth="1"/>
    <col min="12302" max="12544" width="9" style="2235"/>
    <col min="12545" max="12545" width="4.875" style="2235" customWidth="1"/>
    <col min="12546" max="12546" width="13.25" style="2235" customWidth="1"/>
    <col min="12547" max="12547" width="15.625" style="2235" customWidth="1"/>
    <col min="12548" max="12548" width="9.375" style="2235" bestFit="1" customWidth="1"/>
    <col min="12549" max="12549" width="13.5" style="2235" customWidth="1"/>
    <col min="12550" max="12550" width="9" style="2235"/>
    <col min="12551" max="12551" width="9.375" style="2235" bestFit="1" customWidth="1"/>
    <col min="12552" max="12553" width="9" style="2235"/>
    <col min="12554" max="12554" width="9.375" style="2235" bestFit="1" customWidth="1"/>
    <col min="12555" max="12555" width="4" style="2235" customWidth="1"/>
    <col min="12556" max="12556" width="5.125" style="2235" customWidth="1"/>
    <col min="12557" max="12557" width="13.75" style="2235" customWidth="1"/>
    <col min="12558" max="12800" width="9" style="2235"/>
    <col min="12801" max="12801" width="4.875" style="2235" customWidth="1"/>
    <col min="12802" max="12802" width="13.25" style="2235" customWidth="1"/>
    <col min="12803" max="12803" width="15.625" style="2235" customWidth="1"/>
    <col min="12804" max="12804" width="9.375" style="2235" bestFit="1" customWidth="1"/>
    <col min="12805" max="12805" width="13.5" style="2235" customWidth="1"/>
    <col min="12806" max="12806" width="9" style="2235"/>
    <col min="12807" max="12807" width="9.375" style="2235" bestFit="1" customWidth="1"/>
    <col min="12808" max="12809" width="9" style="2235"/>
    <col min="12810" max="12810" width="9.375" style="2235" bestFit="1" customWidth="1"/>
    <col min="12811" max="12811" width="4" style="2235" customWidth="1"/>
    <col min="12812" max="12812" width="5.125" style="2235" customWidth="1"/>
    <col min="12813" max="12813" width="13.75" style="2235" customWidth="1"/>
    <col min="12814" max="13056" width="9" style="2235"/>
    <col min="13057" max="13057" width="4.875" style="2235" customWidth="1"/>
    <col min="13058" max="13058" width="13.25" style="2235" customWidth="1"/>
    <col min="13059" max="13059" width="15.625" style="2235" customWidth="1"/>
    <col min="13060" max="13060" width="9.375" style="2235" bestFit="1" customWidth="1"/>
    <col min="13061" max="13061" width="13.5" style="2235" customWidth="1"/>
    <col min="13062" max="13062" width="9" style="2235"/>
    <col min="13063" max="13063" width="9.375" style="2235" bestFit="1" customWidth="1"/>
    <col min="13064" max="13065" width="9" style="2235"/>
    <col min="13066" max="13066" width="9.375" style="2235" bestFit="1" customWidth="1"/>
    <col min="13067" max="13067" width="4" style="2235" customWidth="1"/>
    <col min="13068" max="13068" width="5.125" style="2235" customWidth="1"/>
    <col min="13069" max="13069" width="13.75" style="2235" customWidth="1"/>
    <col min="13070" max="13312" width="9" style="2235"/>
    <col min="13313" max="13313" width="4.875" style="2235" customWidth="1"/>
    <col min="13314" max="13314" width="13.25" style="2235" customWidth="1"/>
    <col min="13315" max="13315" width="15.625" style="2235" customWidth="1"/>
    <col min="13316" max="13316" width="9.375" style="2235" bestFit="1" customWidth="1"/>
    <col min="13317" max="13317" width="13.5" style="2235" customWidth="1"/>
    <col min="13318" max="13318" width="9" style="2235"/>
    <col min="13319" max="13319" width="9.375" style="2235" bestFit="1" customWidth="1"/>
    <col min="13320" max="13321" width="9" style="2235"/>
    <col min="13322" max="13322" width="9.375" style="2235" bestFit="1" customWidth="1"/>
    <col min="13323" max="13323" width="4" style="2235" customWidth="1"/>
    <col min="13324" max="13324" width="5.125" style="2235" customWidth="1"/>
    <col min="13325" max="13325" width="13.75" style="2235" customWidth="1"/>
    <col min="13326" max="13568" width="9" style="2235"/>
    <col min="13569" max="13569" width="4.875" style="2235" customWidth="1"/>
    <col min="13570" max="13570" width="13.25" style="2235" customWidth="1"/>
    <col min="13571" max="13571" width="15.625" style="2235" customWidth="1"/>
    <col min="13572" max="13572" width="9.375" style="2235" bestFit="1" customWidth="1"/>
    <col min="13573" max="13573" width="13.5" style="2235" customWidth="1"/>
    <col min="13574" max="13574" width="9" style="2235"/>
    <col min="13575" max="13575" width="9.375" style="2235" bestFit="1" customWidth="1"/>
    <col min="13576" max="13577" width="9" style="2235"/>
    <col min="13578" max="13578" width="9.375" style="2235" bestFit="1" customWidth="1"/>
    <col min="13579" max="13579" width="4" style="2235" customWidth="1"/>
    <col min="13580" max="13580" width="5.125" style="2235" customWidth="1"/>
    <col min="13581" max="13581" width="13.75" style="2235" customWidth="1"/>
    <col min="13582" max="13824" width="9" style="2235"/>
    <col min="13825" max="13825" width="4.875" style="2235" customWidth="1"/>
    <col min="13826" max="13826" width="13.25" style="2235" customWidth="1"/>
    <col min="13827" max="13827" width="15.625" style="2235" customWidth="1"/>
    <col min="13828" max="13828" width="9.375" style="2235" bestFit="1" customWidth="1"/>
    <col min="13829" max="13829" width="13.5" style="2235" customWidth="1"/>
    <col min="13830" max="13830" width="9" style="2235"/>
    <col min="13831" max="13831" width="9.375" style="2235" bestFit="1" customWidth="1"/>
    <col min="13832" max="13833" width="9" style="2235"/>
    <col min="13834" max="13834" width="9.375" style="2235" bestFit="1" customWidth="1"/>
    <col min="13835" max="13835" width="4" style="2235" customWidth="1"/>
    <col min="13836" max="13836" width="5.125" style="2235" customWidth="1"/>
    <col min="13837" max="13837" width="13.75" style="2235" customWidth="1"/>
    <col min="13838" max="14080" width="9" style="2235"/>
    <col min="14081" max="14081" width="4.875" style="2235" customWidth="1"/>
    <col min="14082" max="14082" width="13.25" style="2235" customWidth="1"/>
    <col min="14083" max="14083" width="15.625" style="2235" customWidth="1"/>
    <col min="14084" max="14084" width="9.375" style="2235" bestFit="1" customWidth="1"/>
    <col min="14085" max="14085" width="13.5" style="2235" customWidth="1"/>
    <col min="14086" max="14086" width="9" style="2235"/>
    <col min="14087" max="14087" width="9.375" style="2235" bestFit="1" customWidth="1"/>
    <col min="14088" max="14089" width="9" style="2235"/>
    <col min="14090" max="14090" width="9.375" style="2235" bestFit="1" customWidth="1"/>
    <col min="14091" max="14091" width="4" style="2235" customWidth="1"/>
    <col min="14092" max="14092" width="5.125" style="2235" customWidth="1"/>
    <col min="14093" max="14093" width="13.75" style="2235" customWidth="1"/>
    <col min="14094" max="14336" width="9" style="2235"/>
    <col min="14337" max="14337" width="4.875" style="2235" customWidth="1"/>
    <col min="14338" max="14338" width="13.25" style="2235" customWidth="1"/>
    <col min="14339" max="14339" width="15.625" style="2235" customWidth="1"/>
    <col min="14340" max="14340" width="9.375" style="2235" bestFit="1" customWidth="1"/>
    <col min="14341" max="14341" width="13.5" style="2235" customWidth="1"/>
    <col min="14342" max="14342" width="9" style="2235"/>
    <col min="14343" max="14343" width="9.375" style="2235" bestFit="1" customWidth="1"/>
    <col min="14344" max="14345" width="9" style="2235"/>
    <col min="14346" max="14346" width="9.375" style="2235" bestFit="1" customWidth="1"/>
    <col min="14347" max="14347" width="4" style="2235" customWidth="1"/>
    <col min="14348" max="14348" width="5.125" style="2235" customWidth="1"/>
    <col min="14349" max="14349" width="13.75" style="2235" customWidth="1"/>
    <col min="14350" max="14592" width="9" style="2235"/>
    <col min="14593" max="14593" width="4.875" style="2235" customWidth="1"/>
    <col min="14594" max="14594" width="13.25" style="2235" customWidth="1"/>
    <col min="14595" max="14595" width="15.625" style="2235" customWidth="1"/>
    <col min="14596" max="14596" width="9.375" style="2235" bestFit="1" customWidth="1"/>
    <col min="14597" max="14597" width="13.5" style="2235" customWidth="1"/>
    <col min="14598" max="14598" width="9" style="2235"/>
    <col min="14599" max="14599" width="9.375" style="2235" bestFit="1" customWidth="1"/>
    <col min="14600" max="14601" width="9" style="2235"/>
    <col min="14602" max="14602" width="9.375" style="2235" bestFit="1" customWidth="1"/>
    <col min="14603" max="14603" width="4" style="2235" customWidth="1"/>
    <col min="14604" max="14604" width="5.125" style="2235" customWidth="1"/>
    <col min="14605" max="14605" width="13.75" style="2235" customWidth="1"/>
    <col min="14606" max="14848" width="9" style="2235"/>
    <col min="14849" max="14849" width="4.875" style="2235" customWidth="1"/>
    <col min="14850" max="14850" width="13.25" style="2235" customWidth="1"/>
    <col min="14851" max="14851" width="15.625" style="2235" customWidth="1"/>
    <col min="14852" max="14852" width="9.375" style="2235" bestFit="1" customWidth="1"/>
    <col min="14853" max="14853" width="13.5" style="2235" customWidth="1"/>
    <col min="14854" max="14854" width="9" style="2235"/>
    <col min="14855" max="14855" width="9.375" style="2235" bestFit="1" customWidth="1"/>
    <col min="14856" max="14857" width="9" style="2235"/>
    <col min="14858" max="14858" width="9.375" style="2235" bestFit="1" customWidth="1"/>
    <col min="14859" max="14859" width="4" style="2235" customWidth="1"/>
    <col min="14860" max="14860" width="5.125" style="2235" customWidth="1"/>
    <col min="14861" max="14861" width="13.75" style="2235" customWidth="1"/>
    <col min="14862" max="15104" width="9" style="2235"/>
    <col min="15105" max="15105" width="4.875" style="2235" customWidth="1"/>
    <col min="15106" max="15106" width="13.25" style="2235" customWidth="1"/>
    <col min="15107" max="15107" width="15.625" style="2235" customWidth="1"/>
    <col min="15108" max="15108" width="9.375" style="2235" bestFit="1" customWidth="1"/>
    <col min="15109" max="15109" width="13.5" style="2235" customWidth="1"/>
    <col min="15110" max="15110" width="9" style="2235"/>
    <col min="15111" max="15111" width="9.375" style="2235" bestFit="1" customWidth="1"/>
    <col min="15112" max="15113" width="9" style="2235"/>
    <col min="15114" max="15114" width="9.375" style="2235" bestFit="1" customWidth="1"/>
    <col min="15115" max="15115" width="4" style="2235" customWidth="1"/>
    <col min="15116" max="15116" width="5.125" style="2235" customWidth="1"/>
    <col min="15117" max="15117" width="13.75" style="2235" customWidth="1"/>
    <col min="15118" max="15360" width="9" style="2235"/>
    <col min="15361" max="15361" width="4.875" style="2235" customWidth="1"/>
    <col min="15362" max="15362" width="13.25" style="2235" customWidth="1"/>
    <col min="15363" max="15363" width="15.625" style="2235" customWidth="1"/>
    <col min="15364" max="15364" width="9.375" style="2235" bestFit="1" customWidth="1"/>
    <col min="15365" max="15365" width="13.5" style="2235" customWidth="1"/>
    <col min="15366" max="15366" width="9" style="2235"/>
    <col min="15367" max="15367" width="9.375" style="2235" bestFit="1" customWidth="1"/>
    <col min="15368" max="15369" width="9" style="2235"/>
    <col min="15370" max="15370" width="9.375" style="2235" bestFit="1" customWidth="1"/>
    <col min="15371" max="15371" width="4" style="2235" customWidth="1"/>
    <col min="15372" max="15372" width="5.125" style="2235" customWidth="1"/>
    <col min="15373" max="15373" width="13.75" style="2235" customWidth="1"/>
    <col min="15374" max="15616" width="9" style="2235"/>
    <col min="15617" max="15617" width="4.875" style="2235" customWidth="1"/>
    <col min="15618" max="15618" width="13.25" style="2235" customWidth="1"/>
    <col min="15619" max="15619" width="15.625" style="2235" customWidth="1"/>
    <col min="15620" max="15620" width="9.375" style="2235" bestFit="1" customWidth="1"/>
    <col min="15621" max="15621" width="13.5" style="2235" customWidth="1"/>
    <col min="15622" max="15622" width="9" style="2235"/>
    <col min="15623" max="15623" width="9.375" style="2235" bestFit="1" customWidth="1"/>
    <col min="15624" max="15625" width="9" style="2235"/>
    <col min="15626" max="15626" width="9.375" style="2235" bestFit="1" customWidth="1"/>
    <col min="15627" max="15627" width="4" style="2235" customWidth="1"/>
    <col min="15628" max="15628" width="5.125" style="2235" customWidth="1"/>
    <col min="15629" max="15629" width="13.75" style="2235" customWidth="1"/>
    <col min="15630" max="15872" width="9" style="2235"/>
    <col min="15873" max="15873" width="4.875" style="2235" customWidth="1"/>
    <col min="15874" max="15874" width="13.25" style="2235" customWidth="1"/>
    <col min="15875" max="15875" width="15.625" style="2235" customWidth="1"/>
    <col min="15876" max="15876" width="9.375" style="2235" bestFit="1" customWidth="1"/>
    <col min="15877" max="15877" width="13.5" style="2235" customWidth="1"/>
    <col min="15878" max="15878" width="9" style="2235"/>
    <col min="15879" max="15879" width="9.375" style="2235" bestFit="1" customWidth="1"/>
    <col min="15880" max="15881" width="9" style="2235"/>
    <col min="15882" max="15882" width="9.375" style="2235" bestFit="1" customWidth="1"/>
    <col min="15883" max="15883" width="4" style="2235" customWidth="1"/>
    <col min="15884" max="15884" width="5.125" style="2235" customWidth="1"/>
    <col min="15885" max="15885" width="13.75" style="2235" customWidth="1"/>
    <col min="15886" max="16128" width="9" style="2235"/>
    <col min="16129" max="16129" width="4.875" style="2235" customWidth="1"/>
    <col min="16130" max="16130" width="13.25" style="2235" customWidth="1"/>
    <col min="16131" max="16131" width="15.625" style="2235" customWidth="1"/>
    <col min="16132" max="16132" width="9.375" style="2235" bestFit="1" customWidth="1"/>
    <col min="16133" max="16133" width="13.5" style="2235" customWidth="1"/>
    <col min="16134" max="16134" width="9" style="2235"/>
    <col min="16135" max="16135" width="9.375" style="2235" bestFit="1" customWidth="1"/>
    <col min="16136" max="16137" width="9" style="2235"/>
    <col min="16138" max="16138" width="9.375" style="2235" bestFit="1" customWidth="1"/>
    <col min="16139" max="16139" width="4" style="2235" customWidth="1"/>
    <col min="16140" max="16140" width="5.125" style="2235" customWidth="1"/>
    <col min="16141" max="16141" width="13.75" style="2235" customWidth="1"/>
    <col min="16142" max="16384" width="9" style="2235"/>
  </cols>
  <sheetData>
    <row r="1" spans="1:257" s="2289" customFormat="1" ht="14.25" thickBot="1">
      <c r="A1" s="2237"/>
      <c r="B1" s="2291" t="s">
        <v>2065</v>
      </c>
      <c r="C1" s="2295">
        <f>项目基本情况!D3</f>
        <v>45057</v>
      </c>
      <c r="H1" s="2234">
        <f>IF(C1&gt;C13,0,MATCH(C1,C$13:C$109,-1))+IF(SUMIF(C13:C109,C1,D13:D109)=0,13,12)</f>
        <v>13</v>
      </c>
      <c r="I1" s="2234">
        <f ca="1">MATCH(C2,H3:H7,1)+IF(SUMIF(H3:H7,C2,I3:I7)=0,2,1)</f>
        <v>5</v>
      </c>
      <c r="J1" s="2290">
        <f ca="1">MATCH(C3,H3:H7,1)+IF(SUMIF(H3:H7,C3,J3:J7)=0,2,1)</f>
        <v>2</v>
      </c>
      <c r="N1" s="2234">
        <f>IF(C1&gt;M13,0,MATCH(C1,M$13:M$100,-1))+IF(SUMIF(M13:M100,C1,N13:N100)=0,13,12)</f>
        <v>13</v>
      </c>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c r="AN1" s="2237"/>
      <c r="AO1" s="2237"/>
      <c r="AP1" s="2237"/>
      <c r="AQ1" s="2237"/>
      <c r="AR1" s="2237"/>
      <c r="AS1" s="2237"/>
      <c r="AT1" s="2237"/>
      <c r="AU1" s="2237"/>
      <c r="AV1" s="2237"/>
      <c r="AW1" s="2237"/>
      <c r="AX1" s="2237"/>
      <c r="AY1" s="2237"/>
      <c r="AZ1" s="2237"/>
      <c r="BA1" s="2237"/>
      <c r="BB1" s="2237"/>
      <c r="BC1" s="2237"/>
      <c r="BD1" s="2237"/>
      <c r="BE1" s="2237"/>
      <c r="BF1" s="2237"/>
      <c r="BG1" s="2237"/>
      <c r="BH1" s="2237"/>
      <c r="BI1" s="2237"/>
      <c r="BJ1" s="2237"/>
      <c r="BK1" s="2237"/>
      <c r="BL1" s="2237"/>
      <c r="BM1" s="2237"/>
      <c r="BN1" s="2237"/>
      <c r="BO1" s="2237"/>
      <c r="BP1" s="2237"/>
      <c r="BQ1" s="2237"/>
      <c r="BR1" s="2237"/>
      <c r="BS1" s="2237"/>
      <c r="BT1" s="2237"/>
      <c r="BU1" s="2237"/>
      <c r="BV1" s="2237"/>
      <c r="BW1" s="2237"/>
      <c r="BX1" s="2237"/>
      <c r="BY1" s="2237"/>
      <c r="BZ1" s="2237"/>
      <c r="CA1" s="2237"/>
      <c r="CB1" s="2237"/>
      <c r="CC1" s="2237"/>
      <c r="CD1" s="2237"/>
      <c r="CE1" s="2237"/>
      <c r="CF1" s="2237"/>
      <c r="CG1" s="2237"/>
      <c r="CH1" s="2237"/>
      <c r="CI1" s="2237"/>
      <c r="CJ1" s="2237"/>
      <c r="CK1" s="2237"/>
      <c r="CL1" s="2237"/>
      <c r="CM1" s="2237"/>
      <c r="CN1" s="2237"/>
      <c r="CO1" s="2237"/>
      <c r="CP1" s="2237"/>
      <c r="CQ1" s="2237"/>
      <c r="CR1" s="2237"/>
      <c r="CS1" s="2237"/>
      <c r="CT1" s="2237"/>
      <c r="CU1" s="2237"/>
      <c r="CV1" s="2237"/>
      <c r="CW1" s="2237"/>
      <c r="CX1" s="2237"/>
      <c r="CY1" s="2237"/>
      <c r="CZ1" s="2237"/>
      <c r="DA1" s="2237"/>
      <c r="DB1" s="2237"/>
      <c r="DC1" s="2237"/>
      <c r="DD1" s="2237"/>
      <c r="DE1" s="2237"/>
      <c r="DF1" s="2237"/>
      <c r="DG1" s="2237"/>
      <c r="DH1" s="2237"/>
      <c r="DI1" s="2237"/>
      <c r="DJ1" s="2237"/>
      <c r="DK1" s="2237"/>
      <c r="DL1" s="2237"/>
      <c r="DM1" s="2237"/>
      <c r="DN1" s="2237"/>
      <c r="DO1" s="2237"/>
      <c r="DP1" s="2237"/>
      <c r="DQ1" s="2237"/>
      <c r="DR1" s="2237"/>
      <c r="DS1" s="2237"/>
      <c r="DT1" s="2237"/>
      <c r="DU1" s="2237"/>
      <c r="DV1" s="2237"/>
      <c r="DW1" s="2237"/>
      <c r="DX1" s="2237"/>
      <c r="DY1" s="2237"/>
      <c r="DZ1" s="2237"/>
      <c r="EA1" s="2237"/>
      <c r="EB1" s="2237"/>
      <c r="EC1" s="2237"/>
      <c r="ED1" s="2237"/>
      <c r="EE1" s="2237"/>
      <c r="EF1" s="2237"/>
      <c r="EG1" s="2237"/>
      <c r="EH1" s="2237"/>
      <c r="EI1" s="2237"/>
      <c r="EJ1" s="2237"/>
      <c r="EK1" s="2237"/>
      <c r="EL1" s="2237"/>
      <c r="EM1" s="2237"/>
      <c r="EN1" s="2237"/>
      <c r="EO1" s="2237"/>
      <c r="EP1" s="2237"/>
      <c r="EQ1" s="2237"/>
      <c r="ER1" s="2237"/>
      <c r="ES1" s="2237"/>
      <c r="ET1" s="2237"/>
      <c r="EU1" s="2237"/>
      <c r="EV1" s="2237"/>
      <c r="EW1" s="2237"/>
      <c r="EX1" s="2237"/>
      <c r="EY1" s="2237"/>
      <c r="EZ1" s="2237"/>
      <c r="FA1" s="2237"/>
      <c r="FB1" s="2237"/>
      <c r="FC1" s="2237"/>
      <c r="FD1" s="2237"/>
      <c r="FE1" s="2237"/>
      <c r="FF1" s="2237"/>
      <c r="FG1" s="2237"/>
      <c r="FH1" s="2237"/>
      <c r="FI1" s="2237"/>
      <c r="FJ1" s="2237"/>
      <c r="FK1" s="2237"/>
      <c r="FL1" s="2237"/>
      <c r="FM1" s="2237"/>
      <c r="FN1" s="2237"/>
      <c r="FO1" s="2237"/>
      <c r="FP1" s="2237"/>
      <c r="FQ1" s="2237"/>
      <c r="FR1" s="2237"/>
      <c r="FS1" s="2237"/>
      <c r="FT1" s="2237"/>
      <c r="FU1" s="2237"/>
      <c r="FV1" s="2237"/>
      <c r="FW1" s="2237"/>
      <c r="FX1" s="2237"/>
      <c r="FY1" s="2237"/>
      <c r="FZ1" s="2237"/>
      <c r="GA1" s="2237"/>
      <c r="GB1" s="2237"/>
      <c r="GC1" s="2237"/>
      <c r="GD1" s="2237"/>
      <c r="GE1" s="2237"/>
      <c r="GF1" s="2237"/>
      <c r="GG1" s="2237"/>
      <c r="GH1" s="2237"/>
      <c r="GI1" s="2237"/>
      <c r="GJ1" s="2237"/>
      <c r="GK1" s="2237"/>
      <c r="GL1" s="2237"/>
      <c r="GM1" s="2237"/>
      <c r="GN1" s="2237"/>
      <c r="GO1" s="2237"/>
      <c r="GP1" s="2237"/>
      <c r="GQ1" s="2237"/>
      <c r="GR1" s="2237"/>
      <c r="GS1" s="2237"/>
      <c r="GT1" s="2237"/>
      <c r="GU1" s="2237"/>
      <c r="GV1" s="2237"/>
      <c r="GW1" s="2237"/>
      <c r="GX1" s="2237"/>
      <c r="GY1" s="2237"/>
      <c r="GZ1" s="2237"/>
      <c r="HA1" s="2237"/>
      <c r="HB1" s="2237"/>
      <c r="HC1" s="2237"/>
      <c r="HD1" s="2237"/>
      <c r="HE1" s="2237"/>
      <c r="HF1" s="2237"/>
      <c r="HG1" s="2237"/>
      <c r="HH1" s="2237"/>
      <c r="HI1" s="2237"/>
      <c r="HJ1" s="2237"/>
      <c r="HK1" s="2237"/>
      <c r="HL1" s="2237"/>
      <c r="HM1" s="2237"/>
      <c r="HN1" s="2237"/>
      <c r="HO1" s="2237"/>
      <c r="HP1" s="2237"/>
      <c r="HQ1" s="2237"/>
      <c r="HR1" s="2237"/>
      <c r="HS1" s="2237"/>
      <c r="HT1" s="2237"/>
      <c r="HU1" s="2237"/>
      <c r="HV1" s="2237"/>
      <c r="HW1" s="2237"/>
      <c r="HX1" s="2237"/>
      <c r="HY1" s="2237"/>
      <c r="HZ1" s="2237"/>
      <c r="IA1" s="2237"/>
      <c r="IB1" s="2237"/>
      <c r="IC1" s="2237"/>
      <c r="ID1" s="2237"/>
      <c r="IE1" s="2237"/>
      <c r="IF1" s="2237"/>
      <c r="IG1" s="2237"/>
      <c r="IH1" s="2237"/>
      <c r="II1" s="2237"/>
      <c r="IJ1" s="2237"/>
      <c r="IK1" s="2237"/>
      <c r="IL1" s="2237"/>
      <c r="IM1" s="2237"/>
      <c r="IN1" s="2237"/>
      <c r="IO1" s="2237"/>
      <c r="IP1" s="2237"/>
      <c r="IQ1" s="2237"/>
      <c r="IR1" s="2237"/>
      <c r="IS1" s="2237"/>
      <c r="IT1" s="2237"/>
      <c r="IU1" s="2237"/>
      <c r="IV1" s="2237"/>
    </row>
    <row r="2" spans="1:257" s="2289" customFormat="1" ht="15" thickTop="1" thickBot="1">
      <c r="A2" s="2236"/>
      <c r="B2" s="2292" t="s">
        <v>2096</v>
      </c>
      <c r="C2" s="2296">
        <f>'数据-取费表'!B22</f>
        <v>3</v>
      </c>
      <c r="D2" s="2291" t="s">
        <v>2066</v>
      </c>
      <c r="E2" s="2294">
        <f ca="1">INDIRECT("I"&amp;$I$1)/100</f>
        <v>3.6499999999999998E-2</v>
      </c>
      <c r="G2" s="2236"/>
      <c r="H2" s="2236"/>
      <c r="I2" s="2236" t="s">
        <v>2067</v>
      </c>
      <c r="K2" s="2236"/>
      <c r="L2" s="2236"/>
      <c r="M2" s="2236"/>
      <c r="N2" s="2236" t="s">
        <v>2068</v>
      </c>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c r="BP2" s="2236"/>
      <c r="BQ2" s="2236"/>
      <c r="BR2" s="2236"/>
      <c r="BS2" s="2236"/>
      <c r="BT2" s="2236"/>
      <c r="BU2" s="2236"/>
      <c r="BV2" s="2236"/>
      <c r="BW2" s="2236"/>
      <c r="BX2" s="2236"/>
      <c r="BY2" s="2236"/>
      <c r="BZ2" s="2236"/>
      <c r="CA2" s="2236"/>
      <c r="CB2" s="2236"/>
      <c r="CC2" s="2236"/>
      <c r="CD2" s="2236"/>
      <c r="CE2" s="2236"/>
      <c r="CF2" s="2236"/>
      <c r="CG2" s="2236"/>
      <c r="CH2" s="2236"/>
      <c r="CI2" s="2236"/>
      <c r="CJ2" s="2236"/>
      <c r="CK2" s="2236"/>
      <c r="CL2" s="2236"/>
      <c r="CM2" s="2236"/>
      <c r="CN2" s="2236"/>
      <c r="CO2" s="2236"/>
      <c r="CP2" s="2236"/>
      <c r="CQ2" s="2236"/>
      <c r="CR2" s="2236"/>
      <c r="CS2" s="2236"/>
      <c r="CT2" s="2236"/>
      <c r="CU2" s="2236"/>
      <c r="CV2" s="2236"/>
      <c r="CW2" s="2236"/>
      <c r="CX2" s="2236"/>
      <c r="CY2" s="2236"/>
      <c r="CZ2" s="2236"/>
      <c r="DA2" s="2236"/>
      <c r="DB2" s="2236"/>
      <c r="DC2" s="2236"/>
      <c r="DD2" s="2236"/>
      <c r="DE2" s="2236"/>
      <c r="DF2" s="2236"/>
      <c r="DG2" s="2236"/>
      <c r="DH2" s="2236"/>
      <c r="DI2" s="2236"/>
      <c r="DJ2" s="2236"/>
      <c r="DK2" s="2236"/>
      <c r="DL2" s="2236"/>
      <c r="DM2" s="2236"/>
      <c r="DN2" s="2236"/>
      <c r="DO2" s="2236"/>
      <c r="DP2" s="2236"/>
      <c r="DQ2" s="2236"/>
      <c r="DR2" s="2236"/>
      <c r="DS2" s="2236"/>
      <c r="DT2" s="2236"/>
      <c r="DU2" s="2236"/>
      <c r="DV2" s="2236"/>
      <c r="DW2" s="2236"/>
      <c r="DX2" s="2236"/>
      <c r="DY2" s="2236"/>
      <c r="DZ2" s="2236"/>
      <c r="EA2" s="2236"/>
      <c r="EB2" s="2236"/>
      <c r="EC2" s="2236"/>
      <c r="ED2" s="2236"/>
      <c r="EE2" s="2236"/>
      <c r="EF2" s="2236"/>
      <c r="EG2" s="2236"/>
      <c r="EH2" s="2236"/>
      <c r="EI2" s="2236"/>
      <c r="EJ2" s="2236"/>
      <c r="EK2" s="2236"/>
      <c r="EL2" s="2236"/>
      <c r="EM2" s="2236"/>
      <c r="EN2" s="2236"/>
      <c r="EO2" s="2236"/>
      <c r="EP2" s="2236"/>
      <c r="EQ2" s="2236"/>
      <c r="ER2" s="2236"/>
      <c r="ES2" s="2236"/>
      <c r="ET2" s="2236"/>
      <c r="EU2" s="2236"/>
      <c r="EV2" s="2236"/>
      <c r="EW2" s="2236"/>
      <c r="EX2" s="2236"/>
      <c r="EY2" s="2236"/>
      <c r="EZ2" s="2236"/>
      <c r="FA2" s="2236"/>
      <c r="FB2" s="2236"/>
      <c r="FC2" s="2236"/>
      <c r="FD2" s="2236"/>
      <c r="FE2" s="2236"/>
      <c r="FF2" s="2236"/>
      <c r="FG2" s="2236"/>
      <c r="FH2" s="2236"/>
      <c r="FI2" s="2236"/>
      <c r="FJ2" s="2236"/>
      <c r="FK2" s="2236"/>
      <c r="FL2" s="2236"/>
      <c r="FM2" s="2236"/>
      <c r="FN2" s="2236"/>
      <c r="FO2" s="2236"/>
      <c r="FP2" s="2236"/>
      <c r="FQ2" s="2236"/>
      <c r="FR2" s="2236"/>
      <c r="FS2" s="2236"/>
      <c r="FT2" s="2236"/>
      <c r="FU2" s="2236"/>
      <c r="FV2" s="2236"/>
      <c r="FW2" s="2236"/>
      <c r="FX2" s="2236"/>
      <c r="FY2" s="2236"/>
      <c r="FZ2" s="2236"/>
      <c r="GA2" s="2236"/>
      <c r="GB2" s="2236"/>
      <c r="GC2" s="2236"/>
      <c r="GD2" s="2236"/>
      <c r="GE2" s="2236"/>
      <c r="GF2" s="2236"/>
      <c r="GG2" s="2236"/>
      <c r="GH2" s="2236"/>
      <c r="GI2" s="2236"/>
      <c r="GJ2" s="2236"/>
      <c r="GK2" s="2236"/>
      <c r="GL2" s="2236"/>
      <c r="GM2" s="2236"/>
      <c r="GN2" s="2236"/>
      <c r="GO2" s="2236"/>
      <c r="GP2" s="2236"/>
      <c r="GQ2" s="2236"/>
      <c r="GR2" s="2236"/>
      <c r="GS2" s="2236"/>
      <c r="GT2" s="2236"/>
      <c r="GU2" s="2236"/>
      <c r="GV2" s="2236"/>
      <c r="GW2" s="2236"/>
      <c r="GX2" s="2236"/>
      <c r="GY2" s="2236"/>
      <c r="GZ2" s="2236"/>
      <c r="HA2" s="2236"/>
      <c r="HB2" s="2236"/>
      <c r="HC2" s="2236"/>
      <c r="HD2" s="2236"/>
      <c r="HE2" s="2236"/>
      <c r="HF2" s="2236"/>
      <c r="HG2" s="2236"/>
      <c r="HH2" s="2236"/>
      <c r="HI2" s="2236"/>
      <c r="HJ2" s="2236"/>
      <c r="HK2" s="2236"/>
      <c r="HL2" s="2236"/>
      <c r="HM2" s="2236"/>
      <c r="HN2" s="2236"/>
      <c r="HO2" s="2236"/>
      <c r="HP2" s="2236"/>
      <c r="HQ2" s="2236"/>
      <c r="HR2" s="2236"/>
      <c r="HS2" s="2236"/>
      <c r="HT2" s="2236"/>
      <c r="HU2" s="2236"/>
      <c r="HV2" s="2236"/>
      <c r="HW2" s="2236"/>
      <c r="HX2" s="2236"/>
      <c r="HY2" s="2236"/>
      <c r="HZ2" s="2236"/>
      <c r="IA2" s="2236"/>
      <c r="IB2" s="2236"/>
      <c r="IC2" s="2236"/>
      <c r="ID2" s="2236"/>
      <c r="IE2" s="2236"/>
      <c r="IF2" s="2236"/>
      <c r="IG2" s="2236"/>
      <c r="IH2" s="2236"/>
      <c r="II2" s="2236"/>
      <c r="IJ2" s="2236"/>
      <c r="IK2" s="2236"/>
      <c r="IL2" s="2236"/>
      <c r="IM2" s="2236"/>
      <c r="IN2" s="2236"/>
      <c r="IO2" s="2236"/>
      <c r="IP2" s="2236"/>
      <c r="IQ2" s="2236"/>
      <c r="IR2" s="2236"/>
      <c r="IS2" s="2236"/>
      <c r="IT2" s="2236"/>
      <c r="IU2" s="2236"/>
      <c r="IV2" s="2236"/>
      <c r="IW2" s="2236"/>
    </row>
    <row r="3" spans="1:257" s="2289" customFormat="1">
      <c r="A3" s="2237"/>
      <c r="B3" s="2291" t="s">
        <v>2098</v>
      </c>
      <c r="C3" s="2293">
        <f>'数据-取费表'!B19</f>
        <v>0</v>
      </c>
      <c r="D3" s="2291" t="s">
        <v>2066</v>
      </c>
      <c r="E3" s="2294">
        <f ca="1">INDIRECT("J"&amp;$J$1)/100</f>
        <v>0</v>
      </c>
      <c r="G3" s="2238" t="s">
        <v>2069</v>
      </c>
      <c r="H3" s="2239">
        <v>0</v>
      </c>
      <c r="I3" s="2240">
        <f ca="1">INDIRECT("d"&amp;$H$1)</f>
        <v>3.65</v>
      </c>
      <c r="J3" s="2240">
        <f ca="1">INDIRECT("d"&amp;$H$1)</f>
        <v>3.65</v>
      </c>
      <c r="K3" s="2237"/>
      <c r="L3" s="2237"/>
      <c r="M3" s="2241">
        <v>0.5</v>
      </c>
      <c r="N3" s="2242">
        <f ca="1">INDIRECT("p"&amp;$N$1)</f>
        <v>1.3</v>
      </c>
      <c r="O3" s="2237"/>
      <c r="P3" s="2237"/>
      <c r="Q3" s="2237"/>
      <c r="R3" s="2237"/>
      <c r="S3" s="2237"/>
      <c r="T3" s="2237"/>
      <c r="U3" s="2237"/>
      <c r="V3" s="2237"/>
      <c r="W3" s="2237"/>
      <c r="X3" s="2237"/>
      <c r="Y3" s="2237"/>
      <c r="Z3" s="2237"/>
      <c r="AA3" s="2237"/>
      <c r="AB3" s="2237"/>
      <c r="AC3" s="2237"/>
      <c r="AD3" s="2237"/>
      <c r="AE3" s="2237"/>
      <c r="AF3" s="2237"/>
      <c r="AG3" s="2237"/>
      <c r="AH3" s="2237"/>
      <c r="AI3" s="2237"/>
      <c r="AJ3" s="2237"/>
      <c r="AK3" s="2237"/>
      <c r="AL3" s="2237"/>
      <c r="AM3" s="2237"/>
      <c r="AN3" s="2237"/>
      <c r="AO3" s="2237"/>
      <c r="AP3" s="2237"/>
      <c r="AQ3" s="2237"/>
      <c r="AR3" s="2237"/>
      <c r="AS3" s="2237"/>
      <c r="AT3" s="2237"/>
      <c r="AU3" s="2237"/>
      <c r="AV3" s="2237"/>
      <c r="AW3" s="2237"/>
      <c r="AX3" s="2237"/>
      <c r="AY3" s="2237"/>
      <c r="AZ3" s="2237"/>
      <c r="BA3" s="2237"/>
      <c r="BB3" s="2237"/>
      <c r="BC3" s="2237"/>
      <c r="BD3" s="2237"/>
      <c r="BE3" s="2237"/>
      <c r="BF3" s="2237"/>
      <c r="BG3" s="2237"/>
      <c r="BH3" s="2237"/>
      <c r="BI3" s="2237"/>
      <c r="BJ3" s="2237"/>
      <c r="BK3" s="2237"/>
      <c r="BL3" s="2237"/>
      <c r="BM3" s="2237"/>
      <c r="BN3" s="2237"/>
      <c r="BO3" s="2237"/>
      <c r="BP3" s="2237"/>
      <c r="BQ3" s="2237"/>
      <c r="BR3" s="2237"/>
      <c r="BS3" s="2237"/>
      <c r="BT3" s="2237"/>
      <c r="BU3" s="2237"/>
      <c r="BV3" s="2237"/>
      <c r="BW3" s="2237"/>
      <c r="BX3" s="2237"/>
      <c r="BY3" s="2237"/>
      <c r="BZ3" s="2237"/>
      <c r="CA3" s="2237"/>
      <c r="CB3" s="2237"/>
      <c r="CC3" s="2237"/>
      <c r="CD3" s="2237"/>
      <c r="CE3" s="2237"/>
      <c r="CF3" s="2237"/>
      <c r="CG3" s="2237"/>
      <c r="CH3" s="2237"/>
      <c r="CI3" s="2237"/>
      <c r="CJ3" s="2237"/>
      <c r="CK3" s="2237"/>
      <c r="CL3" s="2237"/>
      <c r="CM3" s="2237"/>
      <c r="CN3" s="2237"/>
      <c r="CO3" s="2237"/>
      <c r="CP3" s="2237"/>
      <c r="CQ3" s="2237"/>
      <c r="CR3" s="2237"/>
      <c r="CS3" s="2237"/>
      <c r="CT3" s="2237"/>
      <c r="CU3" s="2237"/>
      <c r="CV3" s="2237"/>
      <c r="CW3" s="2237"/>
      <c r="CX3" s="2237"/>
      <c r="CY3" s="2237"/>
      <c r="CZ3" s="2237"/>
      <c r="DA3" s="2237"/>
      <c r="DB3" s="2237"/>
      <c r="DC3" s="2237"/>
      <c r="DD3" s="2237"/>
      <c r="DE3" s="2237"/>
      <c r="DF3" s="2237"/>
      <c r="DG3" s="2237"/>
      <c r="DH3" s="2237"/>
      <c r="DI3" s="2237"/>
      <c r="DJ3" s="2237"/>
      <c r="DK3" s="2237"/>
      <c r="DL3" s="2237"/>
      <c r="DM3" s="2237"/>
      <c r="DN3" s="2237"/>
      <c r="DO3" s="2237"/>
      <c r="DP3" s="2237"/>
      <c r="DQ3" s="2237"/>
      <c r="DR3" s="2237"/>
      <c r="DS3" s="2237"/>
      <c r="DT3" s="2237"/>
      <c r="DU3" s="2237"/>
      <c r="DV3" s="2237"/>
      <c r="DW3" s="2237"/>
      <c r="DX3" s="2237"/>
      <c r="DY3" s="2237"/>
      <c r="DZ3" s="2237"/>
      <c r="EA3" s="2237"/>
      <c r="EB3" s="2237"/>
      <c r="EC3" s="2237"/>
      <c r="ED3" s="2237"/>
      <c r="EE3" s="2237"/>
      <c r="EF3" s="2237"/>
      <c r="EG3" s="2237"/>
      <c r="EH3" s="2237"/>
      <c r="EI3" s="2237"/>
      <c r="EJ3" s="2237"/>
      <c r="EK3" s="2237"/>
      <c r="EL3" s="2237"/>
      <c r="EM3" s="2237"/>
      <c r="EN3" s="2237"/>
      <c r="EO3" s="2237"/>
      <c r="EP3" s="2237"/>
      <c r="EQ3" s="2237"/>
      <c r="ER3" s="2237"/>
      <c r="ES3" s="2237"/>
      <c r="ET3" s="2237"/>
      <c r="EU3" s="2237"/>
      <c r="EV3" s="2237"/>
      <c r="EW3" s="2237"/>
      <c r="EX3" s="2237"/>
      <c r="EY3" s="2237"/>
      <c r="EZ3" s="2237"/>
      <c r="FA3" s="2237"/>
      <c r="FB3" s="2237"/>
      <c r="FC3" s="2237"/>
      <c r="FD3" s="2237"/>
      <c r="FE3" s="2237"/>
      <c r="FF3" s="2237"/>
      <c r="FG3" s="2237"/>
      <c r="FH3" s="2237"/>
      <c r="FI3" s="2237"/>
      <c r="FJ3" s="2237"/>
      <c r="FK3" s="2237"/>
      <c r="FL3" s="2237"/>
      <c r="FM3" s="2237"/>
      <c r="FN3" s="2237"/>
      <c r="FO3" s="2237"/>
      <c r="FP3" s="2237"/>
      <c r="FQ3" s="2237"/>
      <c r="FR3" s="2237"/>
      <c r="FS3" s="2237"/>
      <c r="FT3" s="2237"/>
      <c r="FU3" s="2237"/>
      <c r="FV3" s="2237"/>
      <c r="FW3" s="2237"/>
      <c r="FX3" s="2237"/>
      <c r="FY3" s="2237"/>
      <c r="FZ3" s="2237"/>
      <c r="GA3" s="2237"/>
      <c r="GB3" s="2237"/>
      <c r="GC3" s="2237"/>
      <c r="GD3" s="2237"/>
      <c r="GE3" s="2237"/>
      <c r="GF3" s="2237"/>
      <c r="GG3" s="2237"/>
      <c r="GH3" s="2237"/>
      <c r="GI3" s="2237"/>
      <c r="GJ3" s="2237"/>
      <c r="GK3" s="2237"/>
      <c r="GL3" s="2237"/>
      <c r="GM3" s="2237"/>
      <c r="GN3" s="2237"/>
      <c r="GO3" s="2237"/>
      <c r="GP3" s="2237"/>
      <c r="GQ3" s="2237"/>
      <c r="GR3" s="2237"/>
      <c r="GS3" s="2237"/>
      <c r="GT3" s="2237"/>
      <c r="GU3" s="2237"/>
      <c r="GV3" s="2237"/>
      <c r="GW3" s="2237"/>
      <c r="GX3" s="2237"/>
      <c r="GY3" s="2237"/>
      <c r="GZ3" s="2237"/>
      <c r="HA3" s="2237"/>
      <c r="HB3" s="2237"/>
      <c r="HC3" s="2237"/>
      <c r="HD3" s="2237"/>
      <c r="HE3" s="2237"/>
      <c r="HF3" s="2237"/>
      <c r="HG3" s="2237"/>
      <c r="HH3" s="2237"/>
      <c r="HI3" s="2237"/>
      <c r="HJ3" s="2237"/>
      <c r="HK3" s="2237"/>
      <c r="HL3" s="2237"/>
      <c r="HM3" s="2237"/>
      <c r="HN3" s="2237"/>
      <c r="HO3" s="2237"/>
      <c r="HP3" s="2237"/>
      <c r="HQ3" s="2237"/>
      <c r="HR3" s="2237"/>
      <c r="HS3" s="2237"/>
      <c r="HT3" s="2237"/>
      <c r="HU3" s="2237"/>
      <c r="HV3" s="2237"/>
      <c r="HW3" s="2237"/>
      <c r="HX3" s="2237"/>
      <c r="HY3" s="2237"/>
      <c r="HZ3" s="2237"/>
      <c r="IA3" s="2237"/>
      <c r="IB3" s="2237"/>
      <c r="IC3" s="2237"/>
      <c r="ID3" s="2237"/>
      <c r="IE3" s="2237"/>
      <c r="IF3" s="2237"/>
      <c r="IG3" s="2237"/>
      <c r="IH3" s="2237"/>
      <c r="II3" s="2237"/>
      <c r="IJ3" s="2237"/>
      <c r="IK3" s="2237"/>
      <c r="IL3" s="2237"/>
      <c r="IM3" s="2237"/>
      <c r="IN3" s="2237"/>
      <c r="IO3" s="2237"/>
      <c r="IP3" s="2237"/>
      <c r="IQ3" s="2237"/>
      <c r="IR3" s="2237"/>
      <c r="IS3" s="2237"/>
      <c r="IT3" s="2237"/>
      <c r="IU3" s="2237"/>
      <c r="IV3" s="2237"/>
    </row>
    <row r="4" spans="1:257" s="2289" customFormat="1">
      <c r="A4" s="2237"/>
      <c r="B4" s="2291" t="s">
        <v>2097</v>
      </c>
      <c r="C4" s="2294">
        <f ca="1">N4/100</f>
        <v>1.4999999999999999E-2</v>
      </c>
      <c r="G4" s="2244" t="s">
        <v>2070</v>
      </c>
      <c r="H4" s="2245">
        <v>0.5</v>
      </c>
      <c r="I4" s="2246">
        <f ca="1">INDIRECT("e"&amp;$H$1)</f>
        <v>3.65</v>
      </c>
      <c r="J4" s="2246">
        <f ca="1">INDIRECT("e"&amp;$H$1)</f>
        <v>3.65</v>
      </c>
      <c r="K4" s="2237"/>
      <c r="L4" s="2237"/>
      <c r="M4" s="2247">
        <v>1</v>
      </c>
      <c r="N4" s="2248">
        <f ca="1">INDIRECT("q"&amp;$N$1)</f>
        <v>1.5</v>
      </c>
      <c r="O4" s="2237"/>
      <c r="P4" s="2237"/>
      <c r="Q4" s="2237"/>
      <c r="R4" s="2237"/>
      <c r="S4" s="2237"/>
      <c r="T4" s="2237"/>
      <c r="U4" s="2237"/>
      <c r="V4" s="2237"/>
      <c r="W4" s="2237"/>
      <c r="X4" s="2237"/>
      <c r="Y4" s="2237"/>
      <c r="Z4" s="2237"/>
      <c r="AA4" s="2237"/>
      <c r="AB4" s="2237"/>
      <c r="AC4" s="2237"/>
      <c r="AD4" s="2237"/>
      <c r="AE4" s="2237"/>
      <c r="AF4" s="2237"/>
      <c r="AG4" s="2237"/>
      <c r="AH4" s="2237"/>
      <c r="AI4" s="2237"/>
      <c r="AJ4" s="2237"/>
      <c r="AK4" s="2237"/>
      <c r="AL4" s="2237"/>
      <c r="AM4" s="2237"/>
      <c r="AN4" s="2237"/>
      <c r="AO4" s="2237"/>
      <c r="AP4" s="2237"/>
      <c r="AQ4" s="2237"/>
      <c r="AR4" s="2237"/>
      <c r="AS4" s="2237"/>
      <c r="AT4" s="2237"/>
      <c r="AU4" s="2237"/>
      <c r="AV4" s="2237"/>
      <c r="AW4" s="2237"/>
      <c r="AX4" s="2237"/>
      <c r="AY4" s="2237"/>
      <c r="AZ4" s="2237"/>
      <c r="BA4" s="2237"/>
      <c r="BB4" s="2237"/>
      <c r="BC4" s="2237"/>
      <c r="BD4" s="2237"/>
      <c r="BE4" s="2237"/>
      <c r="BF4" s="2237"/>
      <c r="BG4" s="2237"/>
      <c r="BH4" s="2237"/>
      <c r="BI4" s="2237"/>
      <c r="BJ4" s="2237"/>
      <c r="BK4" s="2237"/>
      <c r="BL4" s="2237"/>
      <c r="BM4" s="2237"/>
      <c r="BN4" s="2237"/>
      <c r="BO4" s="2237"/>
      <c r="BP4" s="2237"/>
      <c r="BQ4" s="2237"/>
      <c r="BR4" s="2237"/>
      <c r="BS4" s="2237"/>
      <c r="BT4" s="2237"/>
      <c r="BU4" s="2237"/>
      <c r="BV4" s="2237"/>
      <c r="BW4" s="2237"/>
      <c r="BX4" s="2237"/>
      <c r="BY4" s="2237"/>
      <c r="BZ4" s="2237"/>
      <c r="CA4" s="2237"/>
      <c r="CB4" s="2237"/>
      <c r="CC4" s="2237"/>
      <c r="CD4" s="2237"/>
      <c r="CE4" s="2237"/>
      <c r="CF4" s="2237"/>
      <c r="CG4" s="2237"/>
      <c r="CH4" s="2237"/>
      <c r="CI4" s="2237"/>
      <c r="CJ4" s="2237"/>
      <c r="CK4" s="2237"/>
      <c r="CL4" s="2237"/>
      <c r="CM4" s="2237"/>
      <c r="CN4" s="2237"/>
      <c r="CO4" s="2237"/>
      <c r="CP4" s="2237"/>
      <c r="CQ4" s="2237"/>
      <c r="CR4" s="2237"/>
      <c r="CS4" s="2237"/>
      <c r="CT4" s="2237"/>
      <c r="CU4" s="2237"/>
      <c r="CV4" s="2237"/>
      <c r="CW4" s="2237"/>
      <c r="CX4" s="2237"/>
      <c r="CY4" s="2237"/>
      <c r="CZ4" s="2237"/>
      <c r="DA4" s="2237"/>
      <c r="DB4" s="2237"/>
      <c r="DC4" s="2237"/>
      <c r="DD4" s="2237"/>
      <c r="DE4" s="2237"/>
      <c r="DF4" s="2237"/>
      <c r="DG4" s="2237"/>
      <c r="DH4" s="2237"/>
      <c r="DI4" s="2237"/>
      <c r="DJ4" s="2237"/>
      <c r="DK4" s="2237"/>
      <c r="DL4" s="2237"/>
      <c r="DM4" s="2237"/>
      <c r="DN4" s="2237"/>
      <c r="DO4" s="2237"/>
      <c r="DP4" s="2237"/>
      <c r="DQ4" s="2237"/>
      <c r="DR4" s="2237"/>
      <c r="DS4" s="2237"/>
      <c r="DT4" s="2237"/>
      <c r="DU4" s="2237"/>
      <c r="DV4" s="2237"/>
      <c r="DW4" s="2237"/>
      <c r="DX4" s="2237"/>
      <c r="DY4" s="2237"/>
      <c r="DZ4" s="2237"/>
      <c r="EA4" s="2237"/>
      <c r="EB4" s="2237"/>
      <c r="EC4" s="2237"/>
      <c r="ED4" s="2237"/>
      <c r="EE4" s="2237"/>
      <c r="EF4" s="2237"/>
      <c r="EG4" s="2237"/>
      <c r="EH4" s="2237"/>
      <c r="EI4" s="2237"/>
      <c r="EJ4" s="2237"/>
      <c r="EK4" s="2237"/>
      <c r="EL4" s="2237"/>
      <c r="EM4" s="2237"/>
      <c r="EN4" s="2237"/>
      <c r="EO4" s="2237"/>
      <c r="EP4" s="2237"/>
      <c r="EQ4" s="2237"/>
      <c r="ER4" s="2237"/>
      <c r="ES4" s="2237"/>
      <c r="ET4" s="2237"/>
      <c r="EU4" s="2237"/>
      <c r="EV4" s="2237"/>
      <c r="EW4" s="2237"/>
      <c r="EX4" s="2237"/>
      <c r="EY4" s="2237"/>
      <c r="EZ4" s="2237"/>
      <c r="FA4" s="2237"/>
      <c r="FB4" s="2237"/>
      <c r="FC4" s="2237"/>
      <c r="FD4" s="2237"/>
      <c r="FE4" s="2237"/>
      <c r="FF4" s="2237"/>
      <c r="FG4" s="2237"/>
      <c r="FH4" s="2237"/>
      <c r="FI4" s="2237"/>
      <c r="FJ4" s="2237"/>
      <c r="FK4" s="2237"/>
      <c r="FL4" s="2237"/>
      <c r="FM4" s="2237"/>
      <c r="FN4" s="2237"/>
      <c r="FO4" s="2237"/>
      <c r="FP4" s="2237"/>
      <c r="FQ4" s="2237"/>
      <c r="FR4" s="2237"/>
      <c r="FS4" s="2237"/>
      <c r="FT4" s="2237"/>
      <c r="FU4" s="2237"/>
      <c r="FV4" s="2237"/>
      <c r="FW4" s="2237"/>
      <c r="FX4" s="2237"/>
      <c r="FY4" s="2237"/>
      <c r="FZ4" s="2237"/>
      <c r="GA4" s="2237"/>
      <c r="GB4" s="2237"/>
      <c r="GC4" s="2237"/>
      <c r="GD4" s="2237"/>
      <c r="GE4" s="2237"/>
      <c r="GF4" s="2237"/>
      <c r="GG4" s="2237"/>
      <c r="GH4" s="2237"/>
      <c r="GI4" s="2237"/>
      <c r="GJ4" s="2237"/>
      <c r="GK4" s="2237"/>
      <c r="GL4" s="2237"/>
      <c r="GM4" s="2237"/>
      <c r="GN4" s="2237"/>
      <c r="GO4" s="2237"/>
      <c r="GP4" s="2237"/>
      <c r="GQ4" s="2237"/>
      <c r="GR4" s="2237"/>
      <c r="GS4" s="2237"/>
      <c r="GT4" s="2237"/>
      <c r="GU4" s="2237"/>
      <c r="GV4" s="2237"/>
      <c r="GW4" s="2237"/>
      <c r="GX4" s="2237"/>
      <c r="GY4" s="2237"/>
      <c r="GZ4" s="2237"/>
      <c r="HA4" s="2237"/>
      <c r="HB4" s="2237"/>
      <c r="HC4" s="2237"/>
      <c r="HD4" s="2237"/>
      <c r="HE4" s="2237"/>
      <c r="HF4" s="2237"/>
      <c r="HG4" s="2237"/>
      <c r="HH4" s="2237"/>
      <c r="HI4" s="2237"/>
      <c r="HJ4" s="2237"/>
      <c r="HK4" s="2237"/>
      <c r="HL4" s="2237"/>
      <c r="HM4" s="2237"/>
      <c r="HN4" s="2237"/>
      <c r="HO4" s="2237"/>
      <c r="HP4" s="2237"/>
      <c r="HQ4" s="2237"/>
      <c r="HR4" s="2237"/>
      <c r="HS4" s="2237"/>
      <c r="HT4" s="2237"/>
      <c r="HU4" s="2237"/>
      <c r="HV4" s="2237"/>
      <c r="HW4" s="2237"/>
      <c r="HX4" s="2237"/>
      <c r="HY4" s="2237"/>
      <c r="HZ4" s="2237"/>
      <c r="IA4" s="2237"/>
      <c r="IB4" s="2237"/>
      <c r="IC4" s="2237"/>
      <c r="ID4" s="2237"/>
      <c r="IE4" s="2237"/>
      <c r="IF4" s="2237"/>
      <c r="IG4" s="2237"/>
      <c r="IH4" s="2237"/>
      <c r="II4" s="2237"/>
      <c r="IJ4" s="2237"/>
      <c r="IK4" s="2237"/>
      <c r="IL4" s="2237"/>
      <c r="IM4" s="2237"/>
      <c r="IN4" s="2237"/>
      <c r="IO4" s="2237"/>
      <c r="IP4" s="2237"/>
      <c r="IQ4" s="2237"/>
      <c r="IR4" s="2237"/>
      <c r="IS4" s="2237"/>
      <c r="IT4" s="2237"/>
      <c r="IU4" s="2237"/>
      <c r="IV4" s="2237"/>
    </row>
    <row r="5" spans="1:257" s="2289" customFormat="1">
      <c r="A5" s="2237"/>
      <c r="G5" s="2244" t="s">
        <v>2071</v>
      </c>
      <c r="H5" s="2245">
        <v>1</v>
      </c>
      <c r="I5" s="2246">
        <f ca="1">INDIRECT("f"&amp;$H$1)</f>
        <v>3.65</v>
      </c>
      <c r="J5" s="2246">
        <f ca="1">INDIRECT("f"&amp;$H$1)</f>
        <v>3.65</v>
      </c>
      <c r="K5" s="2237"/>
      <c r="L5" s="2237"/>
      <c r="M5" s="2247">
        <v>2</v>
      </c>
      <c r="N5" s="2248">
        <f ca="1">INDIRECT("r"&amp;$N$1)</f>
        <v>2.1</v>
      </c>
      <c r="O5" s="2237"/>
      <c r="P5" s="2237"/>
      <c r="Q5" s="2237"/>
      <c r="R5" s="2237"/>
      <c r="S5" s="2237"/>
      <c r="T5" s="2237"/>
      <c r="U5" s="2237"/>
      <c r="V5" s="2237"/>
      <c r="W5" s="2237"/>
      <c r="X5" s="2237"/>
      <c r="Y5" s="2237"/>
      <c r="Z5" s="2237"/>
      <c r="AA5" s="2237"/>
      <c r="AB5" s="2237"/>
      <c r="AC5" s="2237"/>
      <c r="AD5" s="2237"/>
      <c r="AE5" s="2237"/>
      <c r="AF5" s="2237"/>
      <c r="AG5" s="2237"/>
      <c r="AH5" s="2237"/>
      <c r="AI5" s="2237"/>
      <c r="AJ5" s="2237"/>
      <c r="AK5" s="2237"/>
      <c r="AL5" s="2237"/>
      <c r="AM5" s="2237"/>
      <c r="AN5" s="2237"/>
      <c r="AO5" s="2237"/>
      <c r="AP5" s="2237"/>
      <c r="AQ5" s="2237"/>
      <c r="AR5" s="2237"/>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c r="BP5" s="2237"/>
      <c r="BQ5" s="2237"/>
      <c r="BR5" s="2237"/>
      <c r="BS5" s="2237"/>
      <c r="BT5" s="2237"/>
      <c r="BU5" s="2237"/>
      <c r="BV5" s="2237"/>
      <c r="BW5" s="2237"/>
      <c r="BX5" s="2237"/>
      <c r="BY5" s="2237"/>
      <c r="BZ5" s="2237"/>
      <c r="CA5" s="2237"/>
      <c r="CB5" s="2237"/>
      <c r="CC5" s="2237"/>
      <c r="CD5" s="2237"/>
      <c r="CE5" s="2237"/>
      <c r="CF5" s="2237"/>
      <c r="CG5" s="2237"/>
      <c r="CH5" s="2237"/>
      <c r="CI5" s="2237"/>
      <c r="CJ5" s="2237"/>
      <c r="CK5" s="2237"/>
      <c r="CL5" s="2237"/>
      <c r="CM5" s="2237"/>
      <c r="CN5" s="2237"/>
      <c r="CO5" s="2237"/>
      <c r="CP5" s="2237"/>
      <c r="CQ5" s="2237"/>
      <c r="CR5" s="2237"/>
      <c r="CS5" s="2237"/>
      <c r="CT5" s="2237"/>
      <c r="CU5" s="2237"/>
      <c r="CV5" s="2237"/>
      <c r="CW5" s="2237"/>
      <c r="CX5" s="2237"/>
      <c r="CY5" s="2237"/>
      <c r="CZ5" s="2237"/>
      <c r="DA5" s="2237"/>
      <c r="DB5" s="2237"/>
      <c r="DC5" s="2237"/>
      <c r="DD5" s="2237"/>
      <c r="DE5" s="2237"/>
      <c r="DF5" s="2237"/>
      <c r="DG5" s="2237"/>
      <c r="DH5" s="2237"/>
      <c r="DI5" s="2237"/>
      <c r="DJ5" s="2237"/>
      <c r="DK5" s="2237"/>
      <c r="DL5" s="2237"/>
      <c r="DM5" s="2237"/>
      <c r="DN5" s="2237"/>
      <c r="DO5" s="2237"/>
      <c r="DP5" s="2237"/>
      <c r="DQ5" s="2237"/>
      <c r="DR5" s="2237"/>
      <c r="DS5" s="2237"/>
      <c r="DT5" s="2237"/>
      <c r="DU5" s="2237"/>
      <c r="DV5" s="2237"/>
      <c r="DW5" s="2237"/>
      <c r="DX5" s="2237"/>
      <c r="DY5" s="2237"/>
      <c r="DZ5" s="2237"/>
      <c r="EA5" s="2237"/>
      <c r="EB5" s="2237"/>
      <c r="EC5" s="2237"/>
      <c r="ED5" s="2237"/>
      <c r="EE5" s="2237"/>
      <c r="EF5" s="2237"/>
      <c r="EG5" s="2237"/>
      <c r="EH5" s="2237"/>
      <c r="EI5" s="2237"/>
      <c r="EJ5" s="2237"/>
      <c r="EK5" s="2237"/>
      <c r="EL5" s="2237"/>
      <c r="EM5" s="2237"/>
      <c r="EN5" s="2237"/>
      <c r="EO5" s="2237"/>
      <c r="EP5" s="2237"/>
      <c r="EQ5" s="2237"/>
      <c r="ER5" s="2237"/>
      <c r="ES5" s="2237"/>
      <c r="ET5" s="2237"/>
      <c r="EU5" s="2237"/>
      <c r="EV5" s="2237"/>
      <c r="EW5" s="2237"/>
      <c r="EX5" s="2237"/>
      <c r="EY5" s="2237"/>
      <c r="EZ5" s="2237"/>
      <c r="FA5" s="2237"/>
      <c r="FB5" s="2237"/>
      <c r="FC5" s="2237"/>
      <c r="FD5" s="2237"/>
      <c r="FE5" s="2237"/>
      <c r="FF5" s="2237"/>
      <c r="FG5" s="2237"/>
      <c r="FH5" s="2237"/>
      <c r="FI5" s="2237"/>
      <c r="FJ5" s="2237"/>
      <c r="FK5" s="2237"/>
      <c r="FL5" s="2237"/>
      <c r="FM5" s="2237"/>
      <c r="FN5" s="2237"/>
      <c r="FO5" s="2237"/>
      <c r="FP5" s="2237"/>
      <c r="FQ5" s="2237"/>
      <c r="FR5" s="2237"/>
      <c r="FS5" s="2237"/>
      <c r="FT5" s="2237"/>
      <c r="FU5" s="2237"/>
      <c r="FV5" s="2237"/>
      <c r="FW5" s="2237"/>
      <c r="FX5" s="2237"/>
      <c r="FY5" s="2237"/>
      <c r="FZ5" s="2237"/>
      <c r="GA5" s="2237"/>
      <c r="GB5" s="2237"/>
      <c r="GC5" s="2237"/>
      <c r="GD5" s="2237"/>
      <c r="GE5" s="2237"/>
      <c r="GF5" s="2237"/>
      <c r="GG5" s="2237"/>
      <c r="GH5" s="2237"/>
      <c r="GI5" s="2237"/>
      <c r="GJ5" s="2237"/>
      <c r="GK5" s="2237"/>
      <c r="GL5" s="2237"/>
      <c r="GM5" s="2237"/>
      <c r="GN5" s="2237"/>
      <c r="GO5" s="2237"/>
      <c r="GP5" s="2237"/>
      <c r="GQ5" s="2237"/>
      <c r="GR5" s="2237"/>
      <c r="GS5" s="2237"/>
      <c r="GT5" s="2237"/>
      <c r="GU5" s="2237"/>
      <c r="GV5" s="2237"/>
      <c r="GW5" s="2237"/>
      <c r="GX5" s="2237"/>
      <c r="GY5" s="2237"/>
      <c r="GZ5" s="2237"/>
      <c r="HA5" s="2237"/>
      <c r="HB5" s="2237"/>
      <c r="HC5" s="2237"/>
      <c r="HD5" s="2237"/>
      <c r="HE5" s="2237"/>
      <c r="HF5" s="2237"/>
      <c r="HG5" s="2237"/>
      <c r="HH5" s="2237"/>
      <c r="HI5" s="2237"/>
      <c r="HJ5" s="2237"/>
      <c r="HK5" s="2237"/>
      <c r="HL5" s="2237"/>
      <c r="HM5" s="2237"/>
      <c r="HN5" s="2237"/>
      <c r="HO5" s="2237"/>
      <c r="HP5" s="2237"/>
      <c r="HQ5" s="2237"/>
      <c r="HR5" s="2237"/>
      <c r="HS5" s="2237"/>
      <c r="HT5" s="2237"/>
      <c r="HU5" s="2237"/>
      <c r="HV5" s="2237"/>
      <c r="HW5" s="2237"/>
      <c r="HX5" s="2237"/>
      <c r="HY5" s="2237"/>
      <c r="HZ5" s="2237"/>
      <c r="IA5" s="2237"/>
      <c r="IB5" s="2237"/>
      <c r="IC5" s="2237"/>
      <c r="ID5" s="2237"/>
      <c r="IE5" s="2237"/>
      <c r="IF5" s="2237"/>
      <c r="IG5" s="2237"/>
      <c r="IH5" s="2237"/>
      <c r="II5" s="2237"/>
      <c r="IJ5" s="2237"/>
      <c r="IK5" s="2237"/>
      <c r="IL5" s="2237"/>
      <c r="IM5" s="2237"/>
      <c r="IN5" s="2237"/>
      <c r="IO5" s="2237"/>
      <c r="IP5" s="2237"/>
      <c r="IQ5" s="2237"/>
      <c r="IR5" s="2237"/>
      <c r="IS5" s="2237"/>
      <c r="IT5" s="2237"/>
      <c r="IU5" s="2237"/>
      <c r="IV5" s="2237"/>
    </row>
    <row r="6" spans="1:257" s="2289" customFormat="1">
      <c r="A6" s="2237"/>
      <c r="G6" s="2244" t="s">
        <v>2072</v>
      </c>
      <c r="H6" s="2245">
        <v>3</v>
      </c>
      <c r="I6" s="2246">
        <f ca="1">INDIRECT("g"&amp;$H$1)</f>
        <v>3.65</v>
      </c>
      <c r="J6" s="2246">
        <f ca="1">INDIRECT("g"&amp;$H$1)</f>
        <v>3.65</v>
      </c>
      <c r="K6" s="2237"/>
      <c r="L6" s="2237"/>
      <c r="M6" s="2247">
        <v>3</v>
      </c>
      <c r="N6" s="2248">
        <f ca="1">INDIRECT("s"&amp;$N$1)</f>
        <v>2.75</v>
      </c>
      <c r="O6" s="2237"/>
      <c r="P6" s="2237"/>
      <c r="Q6" s="2237"/>
      <c r="R6" s="2237"/>
      <c r="S6" s="2237"/>
      <c r="T6" s="2237"/>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c r="BP6" s="2237"/>
      <c r="BQ6" s="2237"/>
      <c r="BR6" s="2237"/>
      <c r="BS6" s="2237"/>
      <c r="BT6" s="2237"/>
      <c r="BU6" s="2237"/>
      <c r="BV6" s="2237"/>
      <c r="BW6" s="2237"/>
      <c r="BX6" s="2237"/>
      <c r="BY6" s="2237"/>
      <c r="BZ6" s="2237"/>
      <c r="CA6" s="2237"/>
      <c r="CB6" s="2237"/>
      <c r="CC6" s="2237"/>
      <c r="CD6" s="2237"/>
      <c r="CE6" s="2237"/>
      <c r="CF6" s="2237"/>
      <c r="CG6" s="2237"/>
      <c r="CH6" s="2237"/>
      <c r="CI6" s="2237"/>
      <c r="CJ6" s="2237"/>
      <c r="CK6" s="2237"/>
      <c r="CL6" s="2237"/>
      <c r="CM6" s="2237"/>
      <c r="CN6" s="2237"/>
      <c r="CO6" s="2237"/>
      <c r="CP6" s="2237"/>
      <c r="CQ6" s="2237"/>
      <c r="CR6" s="2237"/>
      <c r="CS6" s="2237"/>
      <c r="CT6" s="2237"/>
      <c r="CU6" s="2237"/>
      <c r="CV6" s="2237"/>
      <c r="CW6" s="2237"/>
      <c r="CX6" s="2237"/>
      <c r="CY6" s="2237"/>
      <c r="CZ6" s="2237"/>
      <c r="DA6" s="2237"/>
      <c r="DB6" s="2237"/>
      <c r="DC6" s="2237"/>
      <c r="DD6" s="2237"/>
      <c r="DE6" s="2237"/>
      <c r="DF6" s="2237"/>
      <c r="DG6" s="2237"/>
      <c r="DH6" s="2237"/>
      <c r="DI6" s="2237"/>
      <c r="DJ6" s="2237"/>
      <c r="DK6" s="2237"/>
      <c r="DL6" s="2237"/>
      <c r="DM6" s="2237"/>
      <c r="DN6" s="2237"/>
      <c r="DO6" s="2237"/>
      <c r="DP6" s="2237"/>
      <c r="DQ6" s="2237"/>
      <c r="DR6" s="2237"/>
      <c r="DS6" s="2237"/>
      <c r="DT6" s="2237"/>
      <c r="DU6" s="2237"/>
      <c r="DV6" s="2237"/>
      <c r="DW6" s="2237"/>
      <c r="DX6" s="2237"/>
      <c r="DY6" s="2237"/>
      <c r="DZ6" s="2237"/>
      <c r="EA6" s="2237"/>
      <c r="EB6" s="2237"/>
      <c r="EC6" s="2237"/>
      <c r="ED6" s="2237"/>
      <c r="EE6" s="2237"/>
      <c r="EF6" s="2237"/>
      <c r="EG6" s="2237"/>
      <c r="EH6" s="2237"/>
      <c r="EI6" s="2237"/>
      <c r="EJ6" s="2237"/>
      <c r="EK6" s="2237"/>
      <c r="EL6" s="2237"/>
      <c r="EM6" s="2237"/>
      <c r="EN6" s="2237"/>
      <c r="EO6" s="2237"/>
      <c r="EP6" s="2237"/>
      <c r="EQ6" s="2237"/>
      <c r="ER6" s="2237"/>
      <c r="ES6" s="2237"/>
      <c r="ET6" s="2237"/>
      <c r="EU6" s="2237"/>
      <c r="EV6" s="2237"/>
      <c r="EW6" s="2237"/>
      <c r="EX6" s="2237"/>
      <c r="EY6" s="2237"/>
      <c r="EZ6" s="2237"/>
      <c r="FA6" s="2237"/>
      <c r="FB6" s="2237"/>
      <c r="FC6" s="2237"/>
      <c r="FD6" s="2237"/>
      <c r="FE6" s="2237"/>
      <c r="FF6" s="2237"/>
      <c r="FG6" s="2237"/>
      <c r="FH6" s="2237"/>
      <c r="FI6" s="2237"/>
      <c r="FJ6" s="2237"/>
      <c r="FK6" s="2237"/>
      <c r="FL6" s="2237"/>
      <c r="FM6" s="2237"/>
      <c r="FN6" s="2237"/>
      <c r="FO6" s="2237"/>
      <c r="FP6" s="2237"/>
      <c r="FQ6" s="2237"/>
      <c r="FR6" s="2237"/>
      <c r="FS6" s="2237"/>
      <c r="FT6" s="2237"/>
      <c r="FU6" s="2237"/>
      <c r="FV6" s="2237"/>
      <c r="FW6" s="2237"/>
      <c r="FX6" s="2237"/>
      <c r="FY6" s="2237"/>
      <c r="FZ6" s="2237"/>
      <c r="GA6" s="2237"/>
      <c r="GB6" s="2237"/>
      <c r="GC6" s="2237"/>
      <c r="GD6" s="2237"/>
      <c r="GE6" s="2237"/>
      <c r="GF6" s="2237"/>
      <c r="GG6" s="2237"/>
      <c r="GH6" s="2237"/>
      <c r="GI6" s="2237"/>
      <c r="GJ6" s="2237"/>
      <c r="GK6" s="2237"/>
      <c r="GL6" s="2237"/>
      <c r="GM6" s="2237"/>
      <c r="GN6" s="2237"/>
      <c r="GO6" s="2237"/>
      <c r="GP6" s="2237"/>
      <c r="GQ6" s="2237"/>
      <c r="GR6" s="2237"/>
      <c r="GS6" s="2237"/>
      <c r="GT6" s="2237"/>
      <c r="GU6" s="2237"/>
      <c r="GV6" s="2237"/>
      <c r="GW6" s="2237"/>
      <c r="GX6" s="2237"/>
      <c r="GY6" s="2237"/>
      <c r="GZ6" s="2237"/>
      <c r="HA6" s="2237"/>
      <c r="HB6" s="2237"/>
      <c r="HC6" s="2237"/>
      <c r="HD6" s="2237"/>
      <c r="HE6" s="2237"/>
      <c r="HF6" s="2237"/>
      <c r="HG6" s="2237"/>
      <c r="HH6" s="2237"/>
      <c r="HI6" s="2237"/>
      <c r="HJ6" s="2237"/>
      <c r="HK6" s="2237"/>
      <c r="HL6" s="2237"/>
      <c r="HM6" s="2237"/>
      <c r="HN6" s="2237"/>
      <c r="HO6" s="2237"/>
      <c r="HP6" s="2237"/>
      <c r="HQ6" s="2237"/>
      <c r="HR6" s="2237"/>
      <c r="HS6" s="2237"/>
      <c r="HT6" s="2237"/>
      <c r="HU6" s="2237"/>
      <c r="HV6" s="2237"/>
      <c r="HW6" s="2237"/>
      <c r="HX6" s="2237"/>
      <c r="HY6" s="2237"/>
      <c r="HZ6" s="2237"/>
      <c r="IA6" s="2237"/>
      <c r="IB6" s="2237"/>
      <c r="IC6" s="2237"/>
      <c r="ID6" s="2237"/>
      <c r="IE6" s="2237"/>
      <c r="IF6" s="2237"/>
      <c r="IG6" s="2237"/>
      <c r="IH6" s="2237"/>
      <c r="II6" s="2237"/>
      <c r="IJ6" s="2237"/>
      <c r="IK6" s="2237"/>
      <c r="IL6" s="2237"/>
      <c r="IM6" s="2237"/>
      <c r="IN6" s="2237"/>
      <c r="IO6" s="2237"/>
      <c r="IP6" s="2237"/>
      <c r="IQ6" s="2237"/>
      <c r="IR6" s="2237"/>
      <c r="IS6" s="2237"/>
      <c r="IT6" s="2237"/>
      <c r="IU6" s="2237"/>
      <c r="IV6" s="2237"/>
    </row>
    <row r="7" spans="1:257" s="2289" customFormat="1" ht="14.25" thickBot="1">
      <c r="A7" s="2237"/>
      <c r="G7" s="2249" t="s">
        <v>2073</v>
      </c>
      <c r="H7" s="2250">
        <v>5</v>
      </c>
      <c r="I7" s="2251">
        <f ca="1">INDIRECT("h"&amp;$H$1)</f>
        <v>4.3</v>
      </c>
      <c r="J7" s="2251">
        <f ca="1">INDIRECT("h"&amp;$H$1)</f>
        <v>4.3</v>
      </c>
      <c r="K7" s="2237"/>
      <c r="L7" s="2237"/>
      <c r="M7" s="2252">
        <v>5</v>
      </c>
      <c r="N7" s="2253">
        <f ca="1">INDIRECT("t"&amp;$N$1)</f>
        <v>0</v>
      </c>
      <c r="O7" s="2237"/>
      <c r="P7" s="2237"/>
      <c r="Q7" s="2237"/>
      <c r="R7" s="2237"/>
      <c r="S7" s="2237"/>
      <c r="T7" s="2237"/>
      <c r="U7" s="2237"/>
      <c r="V7" s="2237"/>
      <c r="W7" s="2237"/>
      <c r="X7" s="2237"/>
      <c r="Y7" s="2237"/>
      <c r="Z7" s="2237"/>
      <c r="AA7" s="2237"/>
      <c r="AB7" s="2237"/>
      <c r="AC7" s="2237"/>
      <c r="AD7" s="2237"/>
      <c r="AE7" s="2237"/>
      <c r="AF7" s="2237"/>
      <c r="AG7" s="2237"/>
      <c r="AH7" s="2237"/>
      <c r="AI7" s="2237"/>
      <c r="AJ7" s="2237"/>
      <c r="AK7" s="2237"/>
      <c r="AL7" s="2237"/>
      <c r="AM7" s="2237"/>
      <c r="AN7" s="2237"/>
      <c r="AO7" s="2237"/>
      <c r="AP7" s="2237"/>
      <c r="AQ7" s="2237"/>
      <c r="AR7" s="2237"/>
      <c r="AS7" s="2237"/>
      <c r="AT7" s="2237"/>
      <c r="AU7" s="2237"/>
      <c r="AV7" s="2237"/>
      <c r="AW7" s="2237"/>
      <c r="AX7" s="2237"/>
      <c r="AY7" s="2237"/>
      <c r="AZ7" s="2237"/>
      <c r="BA7" s="2237"/>
      <c r="BB7" s="2237"/>
      <c r="BC7" s="2237"/>
      <c r="BD7" s="2237"/>
      <c r="BE7" s="2237"/>
      <c r="BF7" s="2237"/>
      <c r="BG7" s="2237"/>
      <c r="BH7" s="2237"/>
      <c r="BI7" s="2237"/>
      <c r="BJ7" s="2237"/>
      <c r="BK7" s="2237"/>
      <c r="BL7" s="2237"/>
      <c r="BM7" s="2237"/>
      <c r="BN7" s="2237"/>
      <c r="BO7" s="2237"/>
      <c r="BP7" s="2237"/>
      <c r="BQ7" s="2237"/>
      <c r="BR7" s="2237"/>
      <c r="BS7" s="2237"/>
      <c r="BT7" s="2237"/>
      <c r="BU7" s="2237"/>
      <c r="BV7" s="2237"/>
      <c r="BW7" s="2237"/>
      <c r="BX7" s="2237"/>
      <c r="BY7" s="2237"/>
      <c r="BZ7" s="2237"/>
      <c r="CA7" s="2237"/>
      <c r="CB7" s="2237"/>
      <c r="CC7" s="2237"/>
      <c r="CD7" s="2237"/>
      <c r="CE7" s="2237"/>
      <c r="CF7" s="2237"/>
      <c r="CG7" s="2237"/>
      <c r="CH7" s="2237"/>
      <c r="CI7" s="2237"/>
      <c r="CJ7" s="2237"/>
      <c r="CK7" s="2237"/>
      <c r="CL7" s="2237"/>
      <c r="CM7" s="2237"/>
      <c r="CN7" s="2237"/>
      <c r="CO7" s="2237"/>
      <c r="CP7" s="2237"/>
      <c r="CQ7" s="2237"/>
      <c r="CR7" s="2237"/>
      <c r="CS7" s="2237"/>
      <c r="CT7" s="2237"/>
      <c r="CU7" s="2237"/>
      <c r="CV7" s="2237"/>
      <c r="CW7" s="2237"/>
      <c r="CX7" s="2237"/>
      <c r="CY7" s="2237"/>
      <c r="CZ7" s="2237"/>
      <c r="DA7" s="2237"/>
      <c r="DB7" s="2237"/>
      <c r="DC7" s="2237"/>
      <c r="DD7" s="2237"/>
      <c r="DE7" s="2237"/>
      <c r="DF7" s="2237"/>
      <c r="DG7" s="2237"/>
      <c r="DH7" s="2237"/>
      <c r="DI7" s="2237"/>
      <c r="DJ7" s="2237"/>
      <c r="DK7" s="2237"/>
      <c r="DL7" s="2237"/>
      <c r="DM7" s="2237"/>
      <c r="DN7" s="2237"/>
      <c r="DO7" s="2237"/>
      <c r="DP7" s="2237"/>
      <c r="DQ7" s="2237"/>
      <c r="DR7" s="2237"/>
      <c r="DS7" s="2237"/>
      <c r="DT7" s="2237"/>
      <c r="DU7" s="2237"/>
      <c r="DV7" s="2237"/>
      <c r="DW7" s="2237"/>
      <c r="DX7" s="2237"/>
      <c r="DY7" s="2237"/>
      <c r="DZ7" s="2237"/>
      <c r="EA7" s="2237"/>
      <c r="EB7" s="2237"/>
      <c r="EC7" s="2237"/>
      <c r="ED7" s="2237"/>
      <c r="EE7" s="2237"/>
      <c r="EF7" s="2237"/>
      <c r="EG7" s="2237"/>
      <c r="EH7" s="2237"/>
      <c r="EI7" s="2237"/>
      <c r="EJ7" s="2237"/>
      <c r="EK7" s="2237"/>
      <c r="EL7" s="2237"/>
      <c r="EM7" s="2237"/>
      <c r="EN7" s="2237"/>
      <c r="EO7" s="2237"/>
      <c r="EP7" s="2237"/>
      <c r="EQ7" s="2237"/>
      <c r="ER7" s="2237"/>
      <c r="ES7" s="2237"/>
      <c r="ET7" s="2237"/>
      <c r="EU7" s="2237"/>
      <c r="EV7" s="2237"/>
      <c r="EW7" s="2237"/>
      <c r="EX7" s="2237"/>
      <c r="EY7" s="2237"/>
      <c r="EZ7" s="2237"/>
      <c r="FA7" s="2237"/>
      <c r="FB7" s="2237"/>
      <c r="FC7" s="2237"/>
      <c r="FD7" s="2237"/>
      <c r="FE7" s="2237"/>
      <c r="FF7" s="2237"/>
      <c r="FG7" s="2237"/>
      <c r="FH7" s="2237"/>
      <c r="FI7" s="2237"/>
      <c r="FJ7" s="2237"/>
      <c r="FK7" s="2237"/>
      <c r="FL7" s="2237"/>
      <c r="FM7" s="2237"/>
      <c r="FN7" s="2237"/>
      <c r="FO7" s="2237"/>
      <c r="FP7" s="2237"/>
      <c r="FQ7" s="2237"/>
      <c r="FR7" s="2237"/>
      <c r="FS7" s="2237"/>
      <c r="FT7" s="2237"/>
      <c r="FU7" s="2237"/>
      <c r="FV7" s="2237"/>
      <c r="FW7" s="2237"/>
      <c r="FX7" s="2237"/>
      <c r="FY7" s="2237"/>
      <c r="FZ7" s="2237"/>
      <c r="GA7" s="2237"/>
      <c r="GB7" s="2237"/>
      <c r="GC7" s="2237"/>
      <c r="GD7" s="2237"/>
      <c r="GE7" s="2237"/>
      <c r="GF7" s="2237"/>
      <c r="GG7" s="2237"/>
      <c r="GH7" s="2237"/>
      <c r="GI7" s="2237"/>
      <c r="GJ7" s="2237"/>
      <c r="GK7" s="2237"/>
      <c r="GL7" s="2237"/>
      <c r="GM7" s="2237"/>
      <c r="GN7" s="2237"/>
      <c r="GO7" s="2237"/>
      <c r="GP7" s="2237"/>
      <c r="GQ7" s="2237"/>
      <c r="GR7" s="2237"/>
      <c r="GS7" s="2237"/>
      <c r="GT7" s="2237"/>
      <c r="GU7" s="2237"/>
      <c r="GV7" s="2237"/>
      <c r="GW7" s="2237"/>
      <c r="GX7" s="2237"/>
      <c r="GY7" s="2237"/>
      <c r="GZ7" s="2237"/>
      <c r="HA7" s="2237"/>
      <c r="HB7" s="2237"/>
      <c r="HC7" s="2237"/>
      <c r="HD7" s="2237"/>
      <c r="HE7" s="2237"/>
      <c r="HF7" s="2237"/>
      <c r="HG7" s="2237"/>
      <c r="HH7" s="2237"/>
      <c r="HI7" s="2237"/>
      <c r="HJ7" s="2237"/>
      <c r="HK7" s="2237"/>
      <c r="HL7" s="2237"/>
      <c r="HM7" s="2237"/>
      <c r="HN7" s="2237"/>
      <c r="HO7" s="2237"/>
      <c r="HP7" s="2237"/>
      <c r="HQ7" s="2237"/>
      <c r="HR7" s="2237"/>
      <c r="HS7" s="2237"/>
      <c r="HT7" s="2237"/>
      <c r="HU7" s="2237"/>
      <c r="HV7" s="2237"/>
      <c r="HW7" s="2237"/>
      <c r="HX7" s="2237"/>
      <c r="HY7" s="2237"/>
      <c r="HZ7" s="2237"/>
      <c r="IA7" s="2237"/>
      <c r="IB7" s="2237"/>
      <c r="IC7" s="2237"/>
      <c r="ID7" s="2237"/>
      <c r="IE7" s="2237"/>
      <c r="IF7" s="2237"/>
      <c r="IG7" s="2237"/>
      <c r="IH7" s="2237"/>
      <c r="II7" s="2237"/>
      <c r="IJ7" s="2237"/>
      <c r="IK7" s="2237"/>
      <c r="IL7" s="2237"/>
      <c r="IM7" s="2237"/>
      <c r="IN7" s="2237"/>
      <c r="IO7" s="2237"/>
      <c r="IP7" s="2237"/>
      <c r="IQ7" s="2237"/>
      <c r="IR7" s="2237"/>
      <c r="IS7" s="2237"/>
      <c r="IT7" s="2237"/>
      <c r="IU7" s="2237"/>
      <c r="IV7" s="2237"/>
    </row>
    <row r="8" spans="1:257">
      <c r="A8" s="2254"/>
      <c r="B8" s="2255"/>
      <c r="C8" s="2256"/>
      <c r="D8" s="2237"/>
      <c r="E8" s="2237"/>
      <c r="F8" s="2237"/>
      <c r="G8" s="2237"/>
      <c r="H8" s="2237"/>
      <c r="I8" s="2237"/>
      <c r="J8" s="2237"/>
      <c r="L8" s="2237"/>
      <c r="M8" s="2237"/>
      <c r="N8" s="2237"/>
      <c r="O8" s="2237"/>
      <c r="P8" s="2237"/>
      <c r="Q8" s="2237"/>
      <c r="R8" s="2237"/>
      <c r="S8" s="2237"/>
      <c r="T8" s="2237"/>
      <c r="U8" s="2237"/>
      <c r="V8" s="2237"/>
      <c r="W8" s="2237"/>
      <c r="X8" s="2237"/>
      <c r="Y8" s="2237"/>
      <c r="Z8" s="2237"/>
    </row>
    <row r="9" spans="1:257" ht="20.25">
      <c r="A9" s="2257"/>
      <c r="B9" s="2258" t="s">
        <v>2074</v>
      </c>
      <c r="C9" s="2259"/>
      <c r="D9" s="2260"/>
      <c r="E9" s="2260"/>
      <c r="F9" s="2260"/>
      <c r="G9" s="2260"/>
      <c r="H9" s="2260"/>
      <c r="I9" s="2260"/>
      <c r="J9" s="2260"/>
      <c r="K9" s="2260"/>
      <c r="L9" s="2260"/>
      <c r="M9" s="2260"/>
      <c r="N9" s="2260"/>
      <c r="O9" s="2260"/>
      <c r="P9" s="2260"/>
      <c r="Q9" s="2260"/>
      <c r="R9" s="2260"/>
      <c r="S9" s="2260"/>
      <c r="T9" s="2260"/>
      <c r="U9" s="2260"/>
      <c r="V9" s="2260"/>
      <c r="W9" s="2260"/>
      <c r="X9" s="2260"/>
      <c r="Y9" s="2260"/>
      <c r="Z9" s="2260"/>
      <c r="AA9" s="2261"/>
      <c r="AB9" s="2261"/>
      <c r="AC9" s="2261"/>
      <c r="AD9" s="2261"/>
      <c r="AE9" s="2261"/>
      <c r="AF9" s="2261"/>
      <c r="AG9" s="2261"/>
      <c r="AH9" s="2261"/>
      <c r="AI9" s="2261"/>
      <c r="AJ9" s="2261"/>
      <c r="AK9" s="2261"/>
      <c r="AL9" s="2261"/>
      <c r="AM9" s="2261"/>
      <c r="AN9" s="2261"/>
      <c r="AO9" s="2261"/>
      <c r="AP9" s="2261"/>
      <c r="AQ9" s="2261"/>
      <c r="AR9" s="2261"/>
      <c r="AS9" s="2261"/>
      <c r="AT9" s="2261"/>
      <c r="AU9" s="2261"/>
      <c r="AV9" s="2261"/>
      <c r="AW9" s="2261"/>
      <c r="AX9" s="2261"/>
      <c r="AY9" s="2261"/>
      <c r="AZ9" s="2261"/>
      <c r="BA9" s="2261"/>
      <c r="BB9" s="2261"/>
      <c r="BC9" s="2261"/>
      <c r="BD9" s="2261"/>
      <c r="BE9" s="2261"/>
      <c r="BF9" s="2261"/>
      <c r="BG9" s="2261"/>
      <c r="BH9" s="2261"/>
      <c r="BI9" s="2261"/>
      <c r="BJ9" s="2261"/>
      <c r="BK9" s="2261"/>
      <c r="BL9" s="2261"/>
      <c r="BM9" s="2261"/>
      <c r="BN9" s="2261"/>
      <c r="BO9" s="2261"/>
      <c r="BP9" s="2261"/>
      <c r="BQ9" s="2261"/>
      <c r="BR9" s="2261"/>
      <c r="BS9" s="2261"/>
      <c r="BT9" s="2261"/>
      <c r="BU9" s="2261"/>
      <c r="BV9" s="2261"/>
      <c r="BW9" s="2261"/>
      <c r="BX9" s="2261"/>
      <c r="BY9" s="2261"/>
      <c r="BZ9" s="2261"/>
      <c r="CA9" s="2261"/>
      <c r="CB9" s="2261"/>
      <c r="CC9" s="2261"/>
      <c r="CD9" s="2261"/>
      <c r="CE9" s="2261"/>
      <c r="CF9" s="2261"/>
      <c r="CG9" s="2261"/>
      <c r="CH9" s="2261"/>
      <c r="CI9" s="2261"/>
      <c r="CJ9" s="2261"/>
      <c r="CK9" s="2261"/>
      <c r="CL9" s="2261"/>
      <c r="CM9" s="2261"/>
      <c r="CN9" s="2261"/>
      <c r="CO9" s="2261"/>
      <c r="CP9" s="2261"/>
      <c r="CQ9" s="2261"/>
      <c r="CR9" s="2261"/>
      <c r="CS9" s="2261"/>
      <c r="CT9" s="2261"/>
      <c r="CU9" s="2261"/>
      <c r="CV9" s="2261"/>
      <c r="CW9" s="2261"/>
      <c r="CX9" s="2261"/>
      <c r="CY9" s="2261"/>
      <c r="CZ9" s="2261"/>
      <c r="DA9" s="2261"/>
      <c r="DB9" s="2261"/>
      <c r="DC9" s="2261"/>
      <c r="DD9" s="2261"/>
      <c r="DE9" s="2261"/>
      <c r="DF9" s="2261"/>
      <c r="DG9" s="2261"/>
      <c r="DH9" s="2261"/>
      <c r="DI9" s="2261"/>
      <c r="DJ9" s="2261"/>
      <c r="DK9" s="2261"/>
      <c r="DL9" s="2261"/>
      <c r="DM9" s="2261"/>
      <c r="DN9" s="2261"/>
      <c r="DO9" s="2261"/>
      <c r="DP9" s="2261"/>
      <c r="DQ9" s="2261"/>
      <c r="DR9" s="2261"/>
      <c r="DS9" s="2261"/>
      <c r="DT9" s="2261"/>
      <c r="DU9" s="2261"/>
      <c r="DV9" s="2261"/>
      <c r="DW9" s="2261"/>
      <c r="DX9" s="2261"/>
      <c r="DY9" s="2261"/>
      <c r="DZ9" s="2261"/>
      <c r="EA9" s="2261"/>
      <c r="EB9" s="2261"/>
      <c r="EC9" s="2261"/>
      <c r="ED9" s="2261"/>
      <c r="EE9" s="2261"/>
      <c r="EF9" s="2261"/>
      <c r="EG9" s="2261"/>
      <c r="EH9" s="2261"/>
      <c r="EI9" s="2261"/>
      <c r="EJ9" s="2261"/>
      <c r="EK9" s="2261"/>
      <c r="EL9" s="2261"/>
      <c r="EM9" s="2261"/>
      <c r="EN9" s="2261"/>
      <c r="EO9" s="2261"/>
      <c r="EP9" s="2261"/>
      <c r="EQ9" s="2261"/>
      <c r="ER9" s="2261"/>
      <c r="ES9" s="2261"/>
      <c r="ET9" s="2261"/>
      <c r="EU9" s="2261"/>
      <c r="EV9" s="2261"/>
      <c r="EW9" s="2261"/>
      <c r="EX9" s="2261"/>
      <c r="EY9" s="2261"/>
      <c r="EZ9" s="2261"/>
      <c r="FA9" s="2261"/>
      <c r="FB9" s="2261"/>
      <c r="FC9" s="2261"/>
      <c r="FD9" s="2261"/>
      <c r="FE9" s="2261"/>
      <c r="FF9" s="2261"/>
      <c r="FG9" s="2261"/>
      <c r="FH9" s="2261"/>
      <c r="FI9" s="2261"/>
      <c r="FJ9" s="2261"/>
      <c r="FK9" s="2261"/>
      <c r="FL9" s="2261"/>
      <c r="FM9" s="2261"/>
      <c r="FN9" s="2261"/>
      <c r="FO9" s="2261"/>
      <c r="FP9" s="2261"/>
      <c r="FQ9" s="2261"/>
      <c r="FR9" s="2261"/>
      <c r="FS9" s="2261"/>
      <c r="FT9" s="2261"/>
      <c r="FU9" s="2261"/>
      <c r="FV9" s="2261"/>
      <c r="FW9" s="2261"/>
      <c r="FX9" s="2261"/>
      <c r="FY9" s="2261"/>
      <c r="FZ9" s="2261"/>
      <c r="GA9" s="2261"/>
      <c r="GB9" s="2261"/>
      <c r="GC9" s="2261"/>
      <c r="GD9" s="2261"/>
      <c r="GE9" s="2261"/>
      <c r="GF9" s="2261"/>
      <c r="GG9" s="2261"/>
      <c r="GH9" s="2261"/>
      <c r="GI9" s="2261"/>
      <c r="GJ9" s="2261"/>
      <c r="GK9" s="2261"/>
      <c r="GL9" s="2261"/>
      <c r="GM9" s="2261"/>
      <c r="GN9" s="2261"/>
      <c r="GO9" s="2261"/>
      <c r="GP9" s="2261"/>
      <c r="GQ9" s="2261"/>
      <c r="GR9" s="2261"/>
      <c r="GS9" s="2261"/>
      <c r="GT9" s="2261"/>
      <c r="GU9" s="2261"/>
      <c r="GV9" s="2261"/>
      <c r="GW9" s="2261"/>
      <c r="GX9" s="2261"/>
      <c r="GY9" s="2261"/>
      <c r="GZ9" s="2261"/>
      <c r="HA9" s="2261"/>
      <c r="HB9" s="2261"/>
      <c r="HC9" s="2261"/>
      <c r="HD9" s="2261"/>
      <c r="HE9" s="2261"/>
      <c r="HF9" s="2261"/>
      <c r="HG9" s="2261"/>
      <c r="HH9" s="2261"/>
      <c r="HI9" s="2261"/>
      <c r="HJ9" s="2261"/>
      <c r="HK9" s="2261"/>
      <c r="HL9" s="2261"/>
      <c r="HM9" s="2261"/>
      <c r="HN9" s="2261"/>
      <c r="HO9" s="2261"/>
      <c r="HP9" s="2261"/>
      <c r="HQ9" s="2261"/>
      <c r="HR9" s="2261"/>
      <c r="HS9" s="2261"/>
      <c r="HT9" s="2261"/>
      <c r="HU9" s="2261"/>
      <c r="HV9" s="2261"/>
      <c r="HW9" s="2261"/>
      <c r="HX9" s="2261"/>
      <c r="HY9" s="2261"/>
      <c r="HZ9" s="2261"/>
      <c r="IA9" s="2261"/>
      <c r="IB9" s="2261"/>
      <c r="IC9" s="2261"/>
      <c r="ID9" s="2261"/>
      <c r="IE9" s="2261"/>
      <c r="IF9" s="2261"/>
      <c r="IG9" s="2261"/>
      <c r="IH9" s="2261"/>
      <c r="II9" s="2261"/>
      <c r="IJ9" s="2261"/>
      <c r="IK9" s="2261"/>
      <c r="IL9" s="2261"/>
      <c r="IM9" s="2261"/>
      <c r="IN9" s="2261"/>
      <c r="IO9" s="2261"/>
      <c r="IP9" s="2261"/>
      <c r="IQ9" s="2261"/>
      <c r="IR9" s="2261"/>
      <c r="IS9" s="2261"/>
      <c r="IT9" s="2261"/>
      <c r="IU9" s="2261"/>
      <c r="IV9" s="2261"/>
      <c r="IW9" s="2262"/>
    </row>
    <row r="10" spans="1:257" ht="22.5">
      <c r="A10" s="2263"/>
      <c r="B10" s="2264" t="s">
        <v>2075</v>
      </c>
      <c r="C10" s="2263"/>
      <c r="D10" s="2263"/>
      <c r="E10" s="2263"/>
      <c r="F10" s="2263"/>
      <c r="G10" s="2263"/>
      <c r="H10" s="2263"/>
      <c r="I10" s="2237"/>
      <c r="J10" s="2237"/>
      <c r="K10" s="2263"/>
      <c r="L10" s="2264" t="s">
        <v>2076</v>
      </c>
      <c r="M10" s="2263"/>
      <c r="N10" s="2263"/>
      <c r="O10" s="2263"/>
      <c r="P10" s="2263"/>
      <c r="Q10" s="2263"/>
      <c r="R10" s="2263"/>
      <c r="S10" s="2263"/>
      <c r="T10" s="2263"/>
      <c r="U10" s="2263"/>
      <c r="V10" s="2263"/>
      <c r="W10" s="2263"/>
      <c r="X10" s="2263"/>
      <c r="Y10" s="2263"/>
      <c r="Z10" s="2263"/>
      <c r="AA10" s="2265"/>
      <c r="AB10" s="2265"/>
      <c r="AC10" s="2265"/>
      <c r="AD10" s="2265"/>
      <c r="AE10" s="2265"/>
      <c r="AF10" s="2265"/>
      <c r="AG10" s="2265"/>
      <c r="AH10" s="2265"/>
      <c r="AI10" s="2265"/>
      <c r="AJ10" s="2265"/>
      <c r="AK10" s="2265"/>
      <c r="AL10" s="2265"/>
      <c r="AM10" s="2265"/>
      <c r="AN10" s="2265"/>
      <c r="AO10" s="2265"/>
      <c r="AP10" s="2265"/>
      <c r="AQ10" s="2265"/>
      <c r="AR10" s="2265"/>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c r="BP10" s="2265"/>
      <c r="BQ10" s="2265"/>
      <c r="BR10" s="2265"/>
      <c r="BS10" s="2265"/>
      <c r="BT10" s="2265"/>
      <c r="BU10" s="2265"/>
      <c r="BV10" s="2265"/>
      <c r="BW10" s="2265"/>
      <c r="BX10" s="2265"/>
      <c r="BY10" s="2265"/>
      <c r="BZ10" s="2265"/>
      <c r="CA10" s="2265"/>
      <c r="CB10" s="2265"/>
      <c r="CC10" s="2265"/>
      <c r="CD10" s="2265"/>
      <c r="CE10" s="2265"/>
      <c r="CF10" s="2265"/>
      <c r="CG10" s="2265"/>
      <c r="CH10" s="2265"/>
      <c r="CI10" s="2265"/>
      <c r="CJ10" s="2265"/>
      <c r="CK10" s="2265"/>
      <c r="CL10" s="2265"/>
      <c r="CM10" s="2265"/>
      <c r="CN10" s="2265"/>
      <c r="CO10" s="2265"/>
      <c r="CP10" s="2265"/>
      <c r="CQ10" s="2265"/>
      <c r="CR10" s="2265"/>
      <c r="CS10" s="2265"/>
      <c r="CT10" s="2265"/>
      <c r="CU10" s="2265"/>
      <c r="CV10" s="2265"/>
      <c r="CW10" s="2265"/>
      <c r="CX10" s="2265"/>
      <c r="CY10" s="2265"/>
      <c r="CZ10" s="2265"/>
      <c r="DA10" s="2265"/>
      <c r="DB10" s="2265"/>
      <c r="DC10" s="2265"/>
      <c r="DD10" s="2265"/>
      <c r="DE10" s="2265"/>
      <c r="DF10" s="2265"/>
      <c r="DG10" s="2265"/>
      <c r="DH10" s="2265"/>
      <c r="DI10" s="2265"/>
      <c r="DJ10" s="2265"/>
      <c r="DK10" s="2265"/>
      <c r="DL10" s="2265"/>
      <c r="DM10" s="2265"/>
      <c r="DN10" s="2265"/>
      <c r="DO10" s="2265"/>
      <c r="DP10" s="2265"/>
      <c r="DQ10" s="2265"/>
      <c r="DR10" s="2265"/>
      <c r="DS10" s="2265"/>
      <c r="DT10" s="2265"/>
      <c r="DU10" s="2265"/>
      <c r="DV10" s="2265"/>
      <c r="DW10" s="2265"/>
      <c r="DX10" s="2265"/>
      <c r="DY10" s="2265"/>
      <c r="DZ10" s="2265"/>
      <c r="EA10" s="2265"/>
      <c r="EB10" s="2265"/>
      <c r="EC10" s="2265"/>
      <c r="ED10" s="2265"/>
      <c r="EE10" s="2265"/>
      <c r="EF10" s="2265"/>
      <c r="EG10" s="2265"/>
      <c r="EH10" s="2265"/>
      <c r="EI10" s="2265"/>
      <c r="EJ10" s="2265"/>
      <c r="EK10" s="2265"/>
      <c r="EL10" s="2265"/>
      <c r="EM10" s="2265"/>
      <c r="EN10" s="2265"/>
      <c r="EO10" s="2265"/>
      <c r="EP10" s="2265"/>
      <c r="EQ10" s="2265"/>
      <c r="ER10" s="2265"/>
      <c r="ES10" s="2265"/>
      <c r="ET10" s="2265"/>
      <c r="EU10" s="2265"/>
      <c r="EV10" s="2265"/>
      <c r="EW10" s="2265"/>
      <c r="EX10" s="2265"/>
      <c r="EY10" s="2265"/>
      <c r="EZ10" s="2265"/>
      <c r="FA10" s="2265"/>
      <c r="FB10" s="2265"/>
      <c r="FC10" s="2265"/>
      <c r="FD10" s="2265"/>
      <c r="FE10" s="2265"/>
      <c r="FF10" s="2265"/>
      <c r="FG10" s="2265"/>
      <c r="FH10" s="2265"/>
      <c r="FI10" s="2265"/>
      <c r="FJ10" s="2265"/>
      <c r="FK10" s="2265"/>
      <c r="FL10" s="2265"/>
      <c r="FM10" s="2265"/>
      <c r="FN10" s="2265"/>
      <c r="FO10" s="2265"/>
      <c r="FP10" s="2265"/>
      <c r="FQ10" s="2265"/>
      <c r="FR10" s="2265"/>
      <c r="FS10" s="2265"/>
      <c r="FT10" s="2265"/>
      <c r="FU10" s="2265"/>
      <c r="FV10" s="2265"/>
      <c r="FW10" s="2265"/>
      <c r="FX10" s="2265"/>
      <c r="FY10" s="2265"/>
      <c r="FZ10" s="2265"/>
      <c r="GA10" s="2265"/>
      <c r="GB10" s="2265"/>
      <c r="GC10" s="2265"/>
      <c r="GD10" s="2265"/>
      <c r="GE10" s="2265"/>
      <c r="GF10" s="2265"/>
      <c r="GG10" s="2265"/>
      <c r="GH10" s="2265"/>
      <c r="GI10" s="2265"/>
      <c r="GJ10" s="2265"/>
      <c r="GK10" s="2265"/>
      <c r="GL10" s="2265"/>
      <c r="GM10" s="2265"/>
      <c r="GN10" s="2265"/>
      <c r="GO10" s="2265"/>
      <c r="GP10" s="2265"/>
      <c r="GQ10" s="2265"/>
      <c r="GR10" s="2265"/>
      <c r="GS10" s="2265"/>
      <c r="GT10" s="2265"/>
      <c r="GU10" s="2265"/>
      <c r="GV10" s="2265"/>
      <c r="GW10" s="2265"/>
      <c r="GX10" s="2265"/>
      <c r="GY10" s="2265"/>
      <c r="GZ10" s="2265"/>
      <c r="HA10" s="2265"/>
      <c r="HB10" s="2265"/>
      <c r="HC10" s="2265"/>
      <c r="HD10" s="2265"/>
      <c r="HE10" s="2265"/>
      <c r="HF10" s="2265"/>
      <c r="HG10" s="2265"/>
      <c r="HH10" s="2265"/>
      <c r="HI10" s="2265"/>
      <c r="HJ10" s="2265"/>
      <c r="HK10" s="2265"/>
      <c r="HL10" s="2265"/>
      <c r="HM10" s="2265"/>
      <c r="HN10" s="2265"/>
      <c r="HO10" s="2265"/>
      <c r="HP10" s="2265"/>
      <c r="HQ10" s="2265"/>
      <c r="HR10" s="2265"/>
      <c r="HS10" s="2265"/>
      <c r="HT10" s="2265"/>
      <c r="HU10" s="2265"/>
      <c r="HV10" s="2265"/>
      <c r="HW10" s="2265"/>
      <c r="HX10" s="2265"/>
      <c r="HY10" s="2265"/>
      <c r="HZ10" s="2265"/>
      <c r="IA10" s="2265"/>
      <c r="IB10" s="2265"/>
      <c r="IC10" s="2265"/>
      <c r="ID10" s="2265"/>
      <c r="IE10" s="2265"/>
      <c r="IF10" s="2265"/>
      <c r="IG10" s="2265"/>
      <c r="IH10" s="2265"/>
      <c r="II10" s="2265"/>
      <c r="IJ10" s="2265"/>
      <c r="IK10" s="2265"/>
      <c r="IL10" s="2265"/>
      <c r="IM10" s="2265"/>
      <c r="IN10" s="2265"/>
      <c r="IO10" s="2265"/>
      <c r="IP10" s="2265"/>
      <c r="IQ10" s="2265"/>
      <c r="IR10" s="2265"/>
      <c r="IS10" s="2265"/>
      <c r="IT10" s="2265"/>
      <c r="IU10" s="2265"/>
      <c r="IV10" s="2265"/>
    </row>
    <row r="11" spans="1:257">
      <c r="A11" s="2266"/>
      <c r="B11" s="2267" t="s">
        <v>2077</v>
      </c>
      <c r="C11" s="2268" t="s">
        <v>2078</v>
      </c>
      <c r="D11" s="2269" t="s">
        <v>2079</v>
      </c>
      <c r="E11" s="2270"/>
      <c r="F11" s="2269" t="s">
        <v>2080</v>
      </c>
      <c r="G11" s="2271"/>
      <c r="H11" s="2270"/>
      <c r="I11" s="2269" t="s">
        <v>2081</v>
      </c>
      <c r="J11" s="2270"/>
      <c r="K11" s="2266"/>
      <c r="L11" s="2267" t="s">
        <v>2077</v>
      </c>
      <c r="M11" s="2268" t="s">
        <v>2078</v>
      </c>
      <c r="N11" s="2267" t="s">
        <v>2082</v>
      </c>
      <c r="O11" s="2269" t="s">
        <v>2083</v>
      </c>
      <c r="P11" s="2271"/>
      <c r="Q11" s="2271"/>
      <c r="R11" s="2271"/>
      <c r="S11" s="2271"/>
      <c r="T11" s="2270"/>
      <c r="U11" s="2269" t="s">
        <v>2084</v>
      </c>
      <c r="V11" s="2271"/>
      <c r="W11" s="2270"/>
      <c r="X11" s="2267" t="s">
        <v>2085</v>
      </c>
      <c r="Y11" s="2267" t="s">
        <v>2086</v>
      </c>
      <c r="Z11" s="2267" t="s">
        <v>2087</v>
      </c>
      <c r="AA11" s="2272"/>
      <c r="AB11" s="2272"/>
      <c r="AC11" s="2272"/>
      <c r="AD11" s="2272"/>
      <c r="AE11" s="2272"/>
      <c r="AF11" s="2272"/>
      <c r="AG11" s="2272"/>
      <c r="AH11" s="2272"/>
      <c r="AI11" s="2272"/>
      <c r="AJ11" s="2272"/>
      <c r="AK11" s="2272"/>
      <c r="AL11" s="2272"/>
      <c r="AM11" s="2272"/>
      <c r="AN11" s="2272"/>
      <c r="AO11" s="2272"/>
      <c r="AP11" s="2272"/>
      <c r="AQ11" s="2272"/>
      <c r="AR11" s="2272"/>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c r="BP11" s="2272"/>
      <c r="BQ11" s="2272"/>
      <c r="BR11" s="2272"/>
      <c r="BS11" s="2272"/>
      <c r="BT11" s="2272"/>
      <c r="BU11" s="2272"/>
      <c r="BV11" s="2272"/>
      <c r="BW11" s="2272"/>
      <c r="BX11" s="2272"/>
      <c r="BY11" s="2272"/>
      <c r="BZ11" s="2272"/>
      <c r="CA11" s="2272"/>
      <c r="CB11" s="2272"/>
      <c r="CC11" s="2272"/>
      <c r="CD11" s="2272"/>
      <c r="CE11" s="2272"/>
      <c r="CF11" s="2272"/>
      <c r="CG11" s="2272"/>
      <c r="CH11" s="2272"/>
      <c r="CI11" s="2272"/>
      <c r="CJ11" s="2272"/>
      <c r="CK11" s="2272"/>
      <c r="CL11" s="2272"/>
      <c r="CM11" s="2272"/>
      <c r="CN11" s="2272"/>
      <c r="CO11" s="2272"/>
      <c r="CP11" s="2272"/>
      <c r="CQ11" s="2272"/>
      <c r="CR11" s="2272"/>
      <c r="CS11" s="2272"/>
      <c r="CT11" s="2272"/>
      <c r="CU11" s="2272"/>
      <c r="CV11" s="2272"/>
      <c r="CW11" s="2272"/>
      <c r="CX11" s="2272"/>
      <c r="CY11" s="2272"/>
      <c r="CZ11" s="2272"/>
      <c r="DA11" s="2272"/>
      <c r="DB11" s="2272"/>
      <c r="DC11" s="2272"/>
      <c r="DD11" s="2272"/>
      <c r="DE11" s="2272"/>
      <c r="DF11" s="2272"/>
      <c r="DG11" s="2272"/>
      <c r="DH11" s="2272"/>
      <c r="DI11" s="2272"/>
      <c r="DJ11" s="2272"/>
      <c r="DK11" s="2272"/>
      <c r="DL11" s="2272"/>
      <c r="DM11" s="2272"/>
      <c r="DN11" s="2272"/>
      <c r="DO11" s="2272"/>
      <c r="DP11" s="2272"/>
      <c r="DQ11" s="2272"/>
      <c r="DR11" s="2272"/>
      <c r="DS11" s="2272"/>
      <c r="DT11" s="2272"/>
      <c r="DU11" s="2272"/>
      <c r="DV11" s="2272"/>
      <c r="DW11" s="2272"/>
      <c r="DX11" s="2272"/>
      <c r="DY11" s="2272"/>
      <c r="DZ11" s="2272"/>
      <c r="EA11" s="2272"/>
      <c r="EB11" s="2272"/>
      <c r="EC11" s="2272"/>
      <c r="ED11" s="2272"/>
      <c r="EE11" s="2272"/>
      <c r="EF11" s="2272"/>
      <c r="EG11" s="2272"/>
      <c r="EH11" s="2272"/>
      <c r="EI11" s="2272"/>
      <c r="EJ11" s="2272"/>
      <c r="EK11" s="2272"/>
      <c r="EL11" s="2272"/>
      <c r="EM11" s="2272"/>
      <c r="EN11" s="2272"/>
      <c r="EO11" s="2272"/>
      <c r="EP11" s="2272"/>
      <c r="EQ11" s="2272"/>
      <c r="ER11" s="2272"/>
      <c r="ES11" s="2272"/>
      <c r="ET11" s="2272"/>
      <c r="EU11" s="2272"/>
      <c r="EV11" s="2272"/>
      <c r="EW11" s="2272"/>
      <c r="EX11" s="2272"/>
      <c r="EY11" s="2272"/>
      <c r="EZ11" s="2272"/>
      <c r="FA11" s="2272"/>
      <c r="FB11" s="2272"/>
      <c r="FC11" s="2272"/>
      <c r="FD11" s="2272"/>
      <c r="FE11" s="2272"/>
      <c r="FF11" s="2272"/>
      <c r="FG11" s="2272"/>
      <c r="FH11" s="2272"/>
      <c r="FI11" s="2272"/>
      <c r="FJ11" s="2272"/>
      <c r="FK11" s="2272"/>
      <c r="FL11" s="2272"/>
      <c r="FM11" s="2272"/>
      <c r="FN11" s="2272"/>
      <c r="FO11" s="2272"/>
      <c r="FP11" s="2272"/>
      <c r="FQ11" s="2272"/>
      <c r="FR11" s="2272"/>
      <c r="FS11" s="2272"/>
      <c r="FT11" s="2272"/>
      <c r="FU11" s="2272"/>
      <c r="FV11" s="2272"/>
      <c r="FW11" s="2272"/>
      <c r="FX11" s="2272"/>
      <c r="FY11" s="2272"/>
      <c r="FZ11" s="2272"/>
      <c r="GA11" s="2272"/>
      <c r="GB11" s="2272"/>
      <c r="GC11" s="2272"/>
      <c r="GD11" s="2272"/>
      <c r="GE11" s="2272"/>
      <c r="GF11" s="2272"/>
      <c r="GG11" s="2272"/>
      <c r="GH11" s="2272"/>
      <c r="GI11" s="2272"/>
      <c r="GJ11" s="2272"/>
      <c r="GK11" s="2272"/>
      <c r="GL11" s="2272"/>
      <c r="GM11" s="2272"/>
      <c r="GN11" s="2272"/>
      <c r="GO11" s="2272"/>
      <c r="GP11" s="2272"/>
      <c r="GQ11" s="2272"/>
      <c r="GR11" s="2272"/>
      <c r="GS11" s="2272"/>
      <c r="GT11" s="2272"/>
      <c r="GU11" s="2272"/>
      <c r="GV11" s="2272"/>
      <c r="GW11" s="2272"/>
      <c r="GX11" s="2272"/>
      <c r="GY11" s="2272"/>
      <c r="GZ11" s="2272"/>
      <c r="HA11" s="2272"/>
      <c r="HB11" s="2272"/>
      <c r="HC11" s="2272"/>
      <c r="HD11" s="2272"/>
      <c r="HE11" s="2272"/>
      <c r="HF11" s="2272"/>
      <c r="HG11" s="2272"/>
      <c r="HH11" s="2272"/>
      <c r="HI11" s="2272"/>
      <c r="HJ11" s="2272"/>
      <c r="HK11" s="2272"/>
      <c r="HL11" s="2272"/>
      <c r="HM11" s="2272"/>
      <c r="HN11" s="2272"/>
      <c r="HO11" s="2272"/>
      <c r="HP11" s="2272"/>
      <c r="HQ11" s="2272"/>
      <c r="HR11" s="2272"/>
      <c r="HS11" s="2272"/>
      <c r="HT11" s="2272"/>
      <c r="HU11" s="2272"/>
      <c r="HV11" s="2272"/>
      <c r="HW11" s="2272"/>
      <c r="HX11" s="2272"/>
      <c r="HY11" s="2272"/>
      <c r="HZ11" s="2272"/>
      <c r="IA11" s="2272"/>
      <c r="IB11" s="2272"/>
      <c r="IC11" s="2272"/>
      <c r="ID11" s="2272"/>
      <c r="IE11" s="2272"/>
      <c r="IF11" s="2272"/>
      <c r="IG11" s="2272"/>
      <c r="IH11" s="2272"/>
      <c r="II11" s="2272"/>
      <c r="IJ11" s="2272"/>
      <c r="IK11" s="2272"/>
      <c r="IL11" s="2272"/>
      <c r="IM11" s="2272"/>
      <c r="IN11" s="2272"/>
      <c r="IO11" s="2272"/>
      <c r="IP11" s="2272"/>
      <c r="IQ11" s="2272"/>
      <c r="IR11" s="2272"/>
      <c r="IS11" s="2272"/>
      <c r="IT11" s="2272"/>
      <c r="IU11" s="2272"/>
      <c r="IV11" s="2272"/>
    </row>
    <row r="12" spans="1:257">
      <c r="A12" s="2266"/>
      <c r="B12" s="2273"/>
      <c r="C12" s="2274"/>
      <c r="D12" s="2275" t="s">
        <v>2088</v>
      </c>
      <c r="E12" s="2275" t="s">
        <v>2089</v>
      </c>
      <c r="F12" s="2275" t="s">
        <v>2090</v>
      </c>
      <c r="G12" s="2275" t="s">
        <v>2091</v>
      </c>
      <c r="H12" s="2275" t="s">
        <v>2073</v>
      </c>
      <c r="I12" s="2276" t="s">
        <v>2092</v>
      </c>
      <c r="J12" s="2276" t="s">
        <v>2092</v>
      </c>
      <c r="K12" s="2266"/>
      <c r="L12" s="2273"/>
      <c r="M12" s="2274"/>
      <c r="N12" s="2273"/>
      <c r="O12" s="2276" t="s">
        <v>2093</v>
      </c>
      <c r="P12" s="2276">
        <v>0.5</v>
      </c>
      <c r="Q12" s="2276">
        <v>1</v>
      </c>
      <c r="R12" s="2276">
        <v>2</v>
      </c>
      <c r="S12" s="2276">
        <v>3</v>
      </c>
      <c r="T12" s="2276">
        <v>5</v>
      </c>
      <c r="U12" s="2276">
        <v>1</v>
      </c>
      <c r="V12" s="2276">
        <v>3</v>
      </c>
      <c r="W12" s="2276">
        <v>5</v>
      </c>
      <c r="X12" s="2273"/>
      <c r="Y12" s="2273"/>
      <c r="Z12" s="2273"/>
      <c r="AA12" s="2272"/>
      <c r="AB12" s="2272"/>
      <c r="AC12" s="2272"/>
      <c r="AD12" s="2272"/>
      <c r="AE12" s="2272"/>
      <c r="AF12" s="2272"/>
      <c r="AG12" s="2272"/>
      <c r="AH12" s="2272"/>
      <c r="AI12" s="2272"/>
      <c r="AJ12" s="2272"/>
      <c r="AK12" s="2272"/>
      <c r="AL12" s="2272"/>
      <c r="AM12" s="2272"/>
      <c r="AN12" s="2272"/>
      <c r="AO12" s="2272"/>
      <c r="AP12" s="2272"/>
      <c r="AQ12" s="2272"/>
      <c r="AR12" s="2272"/>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c r="BP12" s="2272"/>
      <c r="BQ12" s="2272"/>
      <c r="BR12" s="2272"/>
      <c r="BS12" s="2272"/>
      <c r="BT12" s="2272"/>
      <c r="BU12" s="2272"/>
      <c r="BV12" s="2272"/>
      <c r="BW12" s="2272"/>
      <c r="BX12" s="2272"/>
      <c r="BY12" s="2272"/>
      <c r="BZ12" s="2272"/>
      <c r="CA12" s="2272"/>
      <c r="CB12" s="2272"/>
      <c r="CC12" s="2272"/>
      <c r="CD12" s="2272"/>
      <c r="CE12" s="2272"/>
      <c r="CF12" s="2272"/>
      <c r="CG12" s="2272"/>
      <c r="CH12" s="2272"/>
      <c r="CI12" s="2272"/>
      <c r="CJ12" s="2272"/>
      <c r="CK12" s="2272"/>
      <c r="CL12" s="2272"/>
      <c r="CM12" s="2272"/>
      <c r="CN12" s="2272"/>
      <c r="CO12" s="2272"/>
      <c r="CP12" s="2272"/>
      <c r="CQ12" s="2272"/>
      <c r="CR12" s="2272"/>
      <c r="CS12" s="2272"/>
      <c r="CT12" s="2272"/>
      <c r="CU12" s="2272"/>
      <c r="CV12" s="2272"/>
      <c r="CW12" s="2272"/>
      <c r="CX12" s="2272"/>
      <c r="CY12" s="2272"/>
      <c r="CZ12" s="2272"/>
      <c r="DA12" s="2272"/>
      <c r="DB12" s="2272"/>
      <c r="DC12" s="2272"/>
      <c r="DD12" s="2272"/>
      <c r="DE12" s="2272"/>
      <c r="DF12" s="2272"/>
      <c r="DG12" s="2272"/>
      <c r="DH12" s="2272"/>
      <c r="DI12" s="2272"/>
      <c r="DJ12" s="2272"/>
      <c r="DK12" s="2272"/>
      <c r="DL12" s="2272"/>
      <c r="DM12" s="2272"/>
      <c r="DN12" s="2272"/>
      <c r="DO12" s="2272"/>
      <c r="DP12" s="2272"/>
      <c r="DQ12" s="2272"/>
      <c r="DR12" s="2272"/>
      <c r="DS12" s="2272"/>
      <c r="DT12" s="2272"/>
      <c r="DU12" s="2272"/>
      <c r="DV12" s="2272"/>
      <c r="DW12" s="2272"/>
      <c r="DX12" s="2272"/>
      <c r="DY12" s="2272"/>
      <c r="DZ12" s="2272"/>
      <c r="EA12" s="2272"/>
      <c r="EB12" s="2272"/>
      <c r="EC12" s="2272"/>
      <c r="ED12" s="2272"/>
      <c r="EE12" s="2272"/>
      <c r="EF12" s="2272"/>
      <c r="EG12" s="2272"/>
      <c r="EH12" s="2272"/>
      <c r="EI12" s="2272"/>
      <c r="EJ12" s="2272"/>
      <c r="EK12" s="2272"/>
      <c r="EL12" s="2272"/>
      <c r="EM12" s="2272"/>
      <c r="EN12" s="2272"/>
      <c r="EO12" s="2272"/>
      <c r="EP12" s="2272"/>
      <c r="EQ12" s="2272"/>
      <c r="ER12" s="2272"/>
      <c r="ES12" s="2272"/>
      <c r="ET12" s="2272"/>
      <c r="EU12" s="2272"/>
      <c r="EV12" s="2272"/>
      <c r="EW12" s="2272"/>
      <c r="EX12" s="2272"/>
      <c r="EY12" s="2272"/>
      <c r="EZ12" s="2272"/>
      <c r="FA12" s="2272"/>
      <c r="FB12" s="2272"/>
      <c r="FC12" s="2272"/>
      <c r="FD12" s="2272"/>
      <c r="FE12" s="2272"/>
      <c r="FF12" s="2272"/>
      <c r="FG12" s="2272"/>
      <c r="FH12" s="2272"/>
      <c r="FI12" s="2272"/>
      <c r="FJ12" s="2272"/>
      <c r="FK12" s="2272"/>
      <c r="FL12" s="2272"/>
      <c r="FM12" s="2272"/>
      <c r="FN12" s="2272"/>
      <c r="FO12" s="2272"/>
      <c r="FP12" s="2272"/>
      <c r="FQ12" s="2272"/>
      <c r="FR12" s="2272"/>
      <c r="FS12" s="2272"/>
      <c r="FT12" s="2272"/>
      <c r="FU12" s="2272"/>
      <c r="FV12" s="2272"/>
      <c r="FW12" s="2272"/>
      <c r="FX12" s="2272"/>
      <c r="FY12" s="2272"/>
      <c r="FZ12" s="2272"/>
      <c r="GA12" s="2272"/>
      <c r="GB12" s="2272"/>
      <c r="GC12" s="2272"/>
      <c r="GD12" s="2272"/>
      <c r="GE12" s="2272"/>
      <c r="GF12" s="2272"/>
      <c r="GG12" s="2272"/>
      <c r="GH12" s="2272"/>
      <c r="GI12" s="2272"/>
      <c r="GJ12" s="2272"/>
      <c r="GK12" s="2272"/>
      <c r="GL12" s="2272"/>
      <c r="GM12" s="2272"/>
      <c r="GN12" s="2272"/>
      <c r="GO12" s="2272"/>
      <c r="GP12" s="2272"/>
      <c r="GQ12" s="2272"/>
      <c r="GR12" s="2272"/>
      <c r="GS12" s="2272"/>
      <c r="GT12" s="2272"/>
      <c r="GU12" s="2272"/>
      <c r="GV12" s="2272"/>
      <c r="GW12" s="2272"/>
      <c r="GX12" s="2272"/>
      <c r="GY12" s="2272"/>
      <c r="GZ12" s="2272"/>
      <c r="HA12" s="2272"/>
      <c r="HB12" s="2272"/>
      <c r="HC12" s="2272"/>
      <c r="HD12" s="2272"/>
      <c r="HE12" s="2272"/>
      <c r="HF12" s="2272"/>
      <c r="HG12" s="2272"/>
      <c r="HH12" s="2272"/>
      <c r="HI12" s="2272"/>
      <c r="HJ12" s="2272"/>
      <c r="HK12" s="2272"/>
      <c r="HL12" s="2272"/>
      <c r="HM12" s="2272"/>
      <c r="HN12" s="2272"/>
      <c r="HO12" s="2272"/>
      <c r="HP12" s="2272"/>
      <c r="HQ12" s="2272"/>
      <c r="HR12" s="2272"/>
      <c r="HS12" s="2272"/>
      <c r="HT12" s="2272"/>
      <c r="HU12" s="2272"/>
      <c r="HV12" s="2272"/>
      <c r="HW12" s="2272"/>
      <c r="HX12" s="2272"/>
      <c r="HY12" s="2272"/>
      <c r="HZ12" s="2272"/>
      <c r="IA12" s="2272"/>
      <c r="IB12" s="2272"/>
      <c r="IC12" s="2272"/>
      <c r="ID12" s="2272"/>
      <c r="IE12" s="2272"/>
      <c r="IF12" s="2272"/>
      <c r="IG12" s="2272"/>
      <c r="IH12" s="2272"/>
      <c r="II12" s="2272"/>
      <c r="IJ12" s="2272"/>
      <c r="IK12" s="2272"/>
      <c r="IL12" s="2272"/>
      <c r="IM12" s="2272"/>
      <c r="IN12" s="2272"/>
      <c r="IO12" s="2272"/>
      <c r="IP12" s="2272"/>
      <c r="IQ12" s="2272"/>
      <c r="IR12" s="2272"/>
      <c r="IS12" s="2272"/>
      <c r="IT12" s="2272"/>
      <c r="IU12" s="2272"/>
      <c r="IV12" s="2272"/>
    </row>
    <row r="13" spans="1:257" ht="14.25">
      <c r="A13" s="2277"/>
      <c r="B13" s="2278" t="s">
        <v>2094</v>
      </c>
      <c r="C13" s="2279">
        <v>44795</v>
      </c>
      <c r="D13" s="2280">
        <v>3.65</v>
      </c>
      <c r="E13" s="2280">
        <f>D13</f>
        <v>3.65</v>
      </c>
      <c r="F13" s="2280">
        <f>D13</f>
        <v>3.65</v>
      </c>
      <c r="G13" s="2280">
        <f>D13</f>
        <v>3.65</v>
      </c>
      <c r="H13" s="2280">
        <v>4.3</v>
      </c>
      <c r="I13" s="2280"/>
      <c r="J13" s="2280"/>
      <c r="K13" s="2277"/>
      <c r="L13" s="2278" t="s">
        <v>2094</v>
      </c>
      <c r="M13" s="2281">
        <v>42301</v>
      </c>
      <c r="N13" s="2280">
        <v>0.35</v>
      </c>
      <c r="O13" s="2280">
        <v>1.1000000000000001</v>
      </c>
      <c r="P13" s="2280">
        <v>1.3</v>
      </c>
      <c r="Q13" s="2280">
        <v>1.5</v>
      </c>
      <c r="R13" s="2280">
        <v>2.1</v>
      </c>
      <c r="S13" s="2280">
        <v>2.75</v>
      </c>
      <c r="T13" s="2280"/>
      <c r="U13" s="2280"/>
      <c r="V13" s="2280"/>
      <c r="W13" s="2280"/>
      <c r="X13" s="2280"/>
      <c r="Y13" s="2280"/>
      <c r="Z13" s="2280"/>
      <c r="AA13" s="2282"/>
      <c r="AB13" s="2282"/>
      <c r="AC13" s="2282"/>
      <c r="AD13" s="2282"/>
      <c r="AE13" s="2282"/>
      <c r="AF13" s="2282"/>
      <c r="AG13" s="2282"/>
      <c r="AH13" s="2282"/>
      <c r="AI13" s="2282"/>
      <c r="AJ13" s="2282"/>
      <c r="AK13" s="2282"/>
      <c r="AL13" s="2282"/>
      <c r="AM13" s="2282"/>
      <c r="AN13" s="2282"/>
      <c r="AO13" s="2282"/>
      <c r="AP13" s="2282"/>
      <c r="AQ13" s="2282"/>
      <c r="AR13" s="2282"/>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c r="BP13" s="2282"/>
      <c r="BQ13" s="2282"/>
      <c r="BR13" s="2282"/>
      <c r="BS13" s="2282"/>
      <c r="BT13" s="2282"/>
      <c r="BU13" s="2282"/>
      <c r="BV13" s="2282"/>
      <c r="BW13" s="2282"/>
      <c r="BX13" s="2282"/>
      <c r="BY13" s="2282"/>
      <c r="BZ13" s="2282"/>
      <c r="CA13" s="2282"/>
      <c r="CB13" s="2282"/>
      <c r="CC13" s="2282"/>
      <c r="CD13" s="2282"/>
      <c r="CE13" s="2282"/>
      <c r="CF13" s="2282"/>
      <c r="CG13" s="2282"/>
      <c r="CH13" s="2282"/>
      <c r="CI13" s="2282"/>
      <c r="CJ13" s="2282"/>
      <c r="CK13" s="2282"/>
      <c r="CL13" s="2282"/>
      <c r="CM13" s="2282"/>
      <c r="CN13" s="2282"/>
      <c r="CO13" s="2282"/>
      <c r="CP13" s="2282"/>
      <c r="CQ13" s="2282"/>
      <c r="CR13" s="2282"/>
      <c r="CS13" s="2282"/>
      <c r="CT13" s="2282"/>
      <c r="CU13" s="2282"/>
      <c r="CV13" s="2282"/>
      <c r="CW13" s="2282"/>
      <c r="CX13" s="2282"/>
      <c r="CY13" s="2282"/>
      <c r="CZ13" s="2282"/>
      <c r="DA13" s="2282"/>
      <c r="DB13" s="2282"/>
      <c r="DC13" s="2282"/>
      <c r="DD13" s="2282"/>
      <c r="DE13" s="2282"/>
      <c r="DF13" s="2282"/>
      <c r="DG13" s="2282"/>
      <c r="DH13" s="2282"/>
      <c r="DI13" s="2282"/>
      <c r="DJ13" s="2282"/>
      <c r="DK13" s="2282"/>
      <c r="DL13" s="2282"/>
      <c r="DM13" s="2282"/>
      <c r="DN13" s="2282"/>
      <c r="DO13" s="2282"/>
      <c r="DP13" s="2282"/>
      <c r="DQ13" s="2282"/>
      <c r="DR13" s="2282"/>
      <c r="DS13" s="2282"/>
      <c r="DT13" s="2282"/>
      <c r="DU13" s="2282"/>
      <c r="DV13" s="2282"/>
      <c r="DW13" s="2282"/>
      <c r="DX13" s="2282"/>
      <c r="DY13" s="2282"/>
      <c r="DZ13" s="2282"/>
      <c r="EA13" s="2282"/>
      <c r="EB13" s="2282"/>
      <c r="EC13" s="2282"/>
      <c r="ED13" s="2282"/>
      <c r="EE13" s="2282"/>
      <c r="EF13" s="2282"/>
      <c r="EG13" s="2282"/>
      <c r="EH13" s="2282"/>
      <c r="EI13" s="2282"/>
      <c r="EJ13" s="2282"/>
      <c r="EK13" s="2282"/>
      <c r="EL13" s="2282"/>
      <c r="EM13" s="2282"/>
      <c r="EN13" s="2282"/>
      <c r="EO13" s="2282"/>
      <c r="EP13" s="2282"/>
      <c r="EQ13" s="2282"/>
      <c r="ER13" s="2282"/>
      <c r="ES13" s="2282"/>
      <c r="ET13" s="2282"/>
      <c r="EU13" s="2282"/>
      <c r="EV13" s="2282"/>
      <c r="EW13" s="2282"/>
      <c r="EX13" s="2282"/>
      <c r="EY13" s="2282"/>
      <c r="EZ13" s="2282"/>
      <c r="FA13" s="2282"/>
      <c r="FB13" s="2282"/>
      <c r="FC13" s="2282"/>
      <c r="FD13" s="2282"/>
      <c r="FE13" s="2282"/>
      <c r="FF13" s="2282"/>
      <c r="FG13" s="2282"/>
      <c r="FH13" s="2282"/>
      <c r="FI13" s="2282"/>
      <c r="FJ13" s="2282"/>
      <c r="FK13" s="2282"/>
      <c r="FL13" s="2282"/>
      <c r="FM13" s="2282"/>
      <c r="FN13" s="2282"/>
      <c r="FO13" s="2282"/>
      <c r="FP13" s="2282"/>
      <c r="FQ13" s="2282"/>
      <c r="FR13" s="2282"/>
      <c r="FS13" s="2282"/>
      <c r="FT13" s="2282"/>
      <c r="FU13" s="2282"/>
      <c r="FV13" s="2282"/>
      <c r="FW13" s="2282"/>
      <c r="FX13" s="2282"/>
      <c r="FY13" s="2282"/>
      <c r="FZ13" s="2282"/>
      <c r="GA13" s="2282"/>
      <c r="GB13" s="2282"/>
      <c r="GC13" s="2282"/>
      <c r="GD13" s="2282"/>
      <c r="GE13" s="2282"/>
      <c r="GF13" s="2282"/>
      <c r="GG13" s="2282"/>
      <c r="GH13" s="2282"/>
      <c r="GI13" s="2282"/>
      <c r="GJ13" s="2282"/>
      <c r="GK13" s="2282"/>
      <c r="GL13" s="2282"/>
      <c r="GM13" s="2282"/>
      <c r="GN13" s="2282"/>
      <c r="GO13" s="2282"/>
      <c r="GP13" s="2282"/>
      <c r="GQ13" s="2282"/>
      <c r="GR13" s="2282"/>
      <c r="GS13" s="2282"/>
      <c r="GT13" s="2282"/>
      <c r="GU13" s="2282"/>
      <c r="GV13" s="2282"/>
      <c r="GW13" s="2282"/>
      <c r="GX13" s="2282"/>
      <c r="GY13" s="2282"/>
      <c r="GZ13" s="2282"/>
      <c r="HA13" s="2282"/>
      <c r="HB13" s="2282"/>
      <c r="HC13" s="2282"/>
      <c r="HD13" s="2282"/>
      <c r="HE13" s="2282"/>
      <c r="HF13" s="2282"/>
      <c r="HG13" s="2282"/>
      <c r="HH13" s="2282"/>
      <c r="HI13" s="2282"/>
      <c r="HJ13" s="2282"/>
      <c r="HK13" s="2282"/>
      <c r="HL13" s="2282"/>
      <c r="HM13" s="2282"/>
      <c r="HN13" s="2282"/>
      <c r="HO13" s="2282"/>
      <c r="HP13" s="2282"/>
      <c r="HQ13" s="2282"/>
      <c r="HR13" s="2282"/>
      <c r="HS13" s="2282"/>
      <c r="HT13" s="2282"/>
      <c r="HU13" s="2282"/>
      <c r="HV13" s="2282"/>
      <c r="HW13" s="2282"/>
      <c r="HX13" s="2282"/>
      <c r="HY13" s="2282"/>
      <c r="HZ13" s="2282"/>
      <c r="IA13" s="2282"/>
      <c r="IB13" s="2282"/>
      <c r="IC13" s="2282"/>
      <c r="ID13" s="2282"/>
      <c r="IE13" s="2282"/>
      <c r="IF13" s="2282"/>
      <c r="IG13" s="2282"/>
      <c r="IH13" s="2282"/>
      <c r="II13" s="2282"/>
      <c r="IJ13" s="2282"/>
      <c r="IK13" s="2282"/>
      <c r="IL13" s="2282"/>
      <c r="IM13" s="2282"/>
      <c r="IN13" s="2282"/>
      <c r="IO13" s="2282"/>
      <c r="IP13" s="2282"/>
      <c r="IQ13" s="2282"/>
      <c r="IR13" s="2282"/>
      <c r="IS13" s="2282"/>
      <c r="IT13" s="2282"/>
      <c r="IU13" s="2282"/>
      <c r="IV13" s="2282"/>
      <c r="IW13" s="2283"/>
    </row>
    <row r="14" spans="1:257" ht="14.25">
      <c r="A14" s="2277"/>
      <c r="B14" s="2278"/>
      <c r="C14" s="2285">
        <v>44701</v>
      </c>
      <c r="D14" s="2284">
        <v>3.7</v>
      </c>
      <c r="E14" s="2284">
        <f>D14</f>
        <v>3.7</v>
      </c>
      <c r="F14" s="2284">
        <f>D14</f>
        <v>3.7</v>
      </c>
      <c r="G14" s="2284">
        <f>D14</f>
        <v>3.7</v>
      </c>
      <c r="H14" s="2284">
        <v>4.45</v>
      </c>
      <c r="I14" s="2280"/>
      <c r="J14" s="2280"/>
      <c r="K14" s="2277"/>
      <c r="L14" s="2284"/>
      <c r="M14" s="2285">
        <v>42242</v>
      </c>
      <c r="N14" s="2284">
        <v>0.35</v>
      </c>
      <c r="O14" s="2284">
        <v>1.35</v>
      </c>
      <c r="P14" s="2284">
        <v>1.55</v>
      </c>
      <c r="Q14" s="2284">
        <v>1.75</v>
      </c>
      <c r="R14" s="2284">
        <v>2.35</v>
      </c>
      <c r="S14" s="2284">
        <v>3</v>
      </c>
      <c r="T14" s="2284"/>
      <c r="U14" s="2284"/>
      <c r="V14" s="2284"/>
      <c r="W14" s="2284"/>
      <c r="X14" s="2284"/>
      <c r="Y14" s="2284"/>
      <c r="Z14" s="2284"/>
    </row>
    <row r="15" spans="1:257" ht="14.25">
      <c r="A15" s="2277"/>
      <c r="B15" s="2278"/>
      <c r="C15" s="2285">
        <v>44581</v>
      </c>
      <c r="D15" s="2284">
        <v>3.7</v>
      </c>
      <c r="E15" s="2284">
        <f>D15</f>
        <v>3.7</v>
      </c>
      <c r="F15" s="2284">
        <f>D15</f>
        <v>3.7</v>
      </c>
      <c r="G15" s="2284">
        <f>D15</f>
        <v>3.7</v>
      </c>
      <c r="H15" s="2284">
        <v>4.5999999999999996</v>
      </c>
      <c r="I15" s="2280"/>
      <c r="J15" s="2280"/>
      <c r="L15" s="2284"/>
      <c r="M15" s="2285">
        <v>42183</v>
      </c>
      <c r="N15" s="2284">
        <v>0.35</v>
      </c>
      <c r="O15" s="2284">
        <v>1.6</v>
      </c>
      <c r="P15" s="2284">
        <v>1.8</v>
      </c>
      <c r="Q15" s="2284">
        <v>2</v>
      </c>
      <c r="R15" s="2284">
        <v>2.6</v>
      </c>
      <c r="S15" s="2284">
        <v>3.25</v>
      </c>
      <c r="T15" s="2284"/>
      <c r="U15" s="2284"/>
      <c r="V15" s="2284"/>
      <c r="W15" s="2284"/>
      <c r="X15" s="2284"/>
      <c r="Y15" s="2284"/>
      <c r="Z15" s="2284"/>
    </row>
    <row r="16" spans="1:257" ht="14.25">
      <c r="A16" s="2277"/>
      <c r="B16" s="2278"/>
      <c r="C16" s="2285">
        <v>44550</v>
      </c>
      <c r="D16" s="2284">
        <v>3.8</v>
      </c>
      <c r="E16" s="2284">
        <f>D16</f>
        <v>3.8</v>
      </c>
      <c r="F16" s="2284">
        <f>D16</f>
        <v>3.8</v>
      </c>
      <c r="G16" s="2284">
        <f>D16</f>
        <v>3.8</v>
      </c>
      <c r="H16" s="2284">
        <v>4.6500000000000004</v>
      </c>
      <c r="I16" s="2280"/>
      <c r="J16" s="2280"/>
      <c r="L16" s="2284"/>
      <c r="M16" s="2285">
        <v>42135</v>
      </c>
      <c r="N16" s="2284">
        <v>0.35</v>
      </c>
      <c r="O16" s="2284">
        <v>1.85</v>
      </c>
      <c r="P16" s="2284">
        <v>2.0499999999999998</v>
      </c>
      <c r="Q16" s="2284">
        <v>2.25</v>
      </c>
      <c r="R16" s="2284">
        <v>2.85</v>
      </c>
      <c r="S16" s="2284">
        <v>3.5</v>
      </c>
      <c r="T16" s="2284"/>
      <c r="U16" s="2284"/>
      <c r="V16" s="2284"/>
      <c r="W16" s="2284"/>
      <c r="X16" s="2284"/>
      <c r="Y16" s="2284"/>
      <c r="Z16" s="2284"/>
    </row>
    <row r="17" spans="1:256" ht="14.25">
      <c r="A17" s="2277"/>
      <c r="B17" s="2284"/>
      <c r="C17" s="2285">
        <v>43941</v>
      </c>
      <c r="D17" s="2284">
        <v>3.85</v>
      </c>
      <c r="E17" s="2284">
        <v>3.85</v>
      </c>
      <c r="F17" s="2284">
        <v>3.85</v>
      </c>
      <c r="G17" s="2284">
        <v>3.85</v>
      </c>
      <c r="H17" s="2284">
        <v>4.6500000000000004</v>
      </c>
      <c r="I17" s="2284"/>
      <c r="J17" s="2284"/>
      <c r="L17" s="2284"/>
      <c r="M17" s="2285">
        <v>42064</v>
      </c>
      <c r="N17" s="2284">
        <v>0.35</v>
      </c>
      <c r="O17" s="2284">
        <v>2.1</v>
      </c>
      <c r="P17" s="2284">
        <v>2.2999999999999998</v>
      </c>
      <c r="Q17" s="2284">
        <v>2.5</v>
      </c>
      <c r="R17" s="2284">
        <v>3.1</v>
      </c>
      <c r="S17" s="2284">
        <v>3.75</v>
      </c>
      <c r="T17" s="2284">
        <v>4.5</v>
      </c>
      <c r="U17" s="2284">
        <v>2.35</v>
      </c>
      <c r="V17" s="2284">
        <v>2.5499999999999998</v>
      </c>
      <c r="W17" s="2284">
        <v>2.75</v>
      </c>
      <c r="X17" s="2284"/>
      <c r="Y17" s="2284">
        <v>0.8</v>
      </c>
      <c r="Z17" s="2284">
        <v>1.35</v>
      </c>
    </row>
    <row r="18" spans="1:256" ht="15">
      <c r="A18" s="2277"/>
      <c r="B18" s="2284"/>
      <c r="C18" s="2285">
        <v>43881</v>
      </c>
      <c r="D18" s="2284">
        <v>4.05</v>
      </c>
      <c r="E18" s="2284">
        <v>4.05</v>
      </c>
      <c r="F18" s="2284">
        <v>4.05</v>
      </c>
      <c r="G18" s="2284">
        <v>4.05</v>
      </c>
      <c r="H18" s="2284">
        <v>4.75</v>
      </c>
      <c r="I18" s="2284"/>
      <c r="J18" s="2284"/>
      <c r="L18" s="2784"/>
      <c r="M18" s="2783">
        <v>41965</v>
      </c>
      <c r="N18" s="2784">
        <v>0.35</v>
      </c>
      <c r="O18" s="2784">
        <v>2.35</v>
      </c>
      <c r="P18" s="2784">
        <v>2.5499999999999998</v>
      </c>
      <c r="Q18" s="2784">
        <v>2.75</v>
      </c>
      <c r="R18" s="2784">
        <v>3.35</v>
      </c>
      <c r="S18" s="2784">
        <v>4</v>
      </c>
      <c r="T18" s="2784">
        <v>4.75</v>
      </c>
      <c r="U18" s="2785">
        <v>2.35</v>
      </c>
      <c r="V18" s="2785">
        <v>2.5499999999999998</v>
      </c>
      <c r="W18" s="2785">
        <v>2.75</v>
      </c>
      <c r="X18" s="2784"/>
      <c r="Y18" s="2785">
        <v>0.8</v>
      </c>
      <c r="Z18" s="2785">
        <v>1.35</v>
      </c>
    </row>
    <row r="19" spans="1:256" s="2786" customFormat="1" ht="14.25">
      <c r="A19" s="2277"/>
      <c r="B19" s="2284"/>
      <c r="C19" s="2285">
        <v>43789</v>
      </c>
      <c r="D19" s="2284">
        <v>4.1500000000000004</v>
      </c>
      <c r="E19" s="2284">
        <v>4.1500000000000004</v>
      </c>
      <c r="F19" s="2284">
        <v>4.1500000000000004</v>
      </c>
      <c r="G19" s="2284">
        <v>4.1500000000000004</v>
      </c>
      <c r="H19" s="2284">
        <v>4.8</v>
      </c>
      <c r="I19" s="2284"/>
      <c r="J19" s="2284"/>
      <c r="K19" s="2237"/>
      <c r="L19" s="2284"/>
      <c r="M19" s="2285">
        <v>41096</v>
      </c>
      <c r="N19" s="2284">
        <v>0.35</v>
      </c>
      <c r="O19" s="2284">
        <v>2.6</v>
      </c>
      <c r="P19" s="2284">
        <v>2.8</v>
      </c>
      <c r="Q19" s="2284">
        <v>3</v>
      </c>
      <c r="R19" s="2284">
        <v>3.75</v>
      </c>
      <c r="S19" s="2284">
        <v>4.25</v>
      </c>
      <c r="T19" s="2284">
        <v>4.75</v>
      </c>
      <c r="U19" s="2284">
        <v>2.85</v>
      </c>
      <c r="V19" s="2284">
        <v>2.9</v>
      </c>
      <c r="W19" s="2284">
        <v>3</v>
      </c>
      <c r="X19" s="2284">
        <v>1.1499999999999999</v>
      </c>
      <c r="Y19" s="2284">
        <v>0.8</v>
      </c>
      <c r="Z19" s="2284">
        <v>1.35</v>
      </c>
      <c r="AA19" s="2272"/>
      <c r="AB19" s="2272"/>
      <c r="AC19" s="2272"/>
      <c r="AD19" s="2272"/>
      <c r="AE19" s="2272"/>
      <c r="AF19" s="2272"/>
      <c r="AG19" s="2272"/>
      <c r="AH19" s="2272"/>
      <c r="AI19" s="2272"/>
      <c r="AJ19" s="2272"/>
      <c r="AK19" s="2272"/>
      <c r="AL19" s="2272"/>
      <c r="AM19" s="2272"/>
      <c r="AN19" s="2272"/>
      <c r="AO19" s="2272"/>
      <c r="AP19" s="2272"/>
      <c r="AQ19" s="2272"/>
      <c r="AR19" s="2272"/>
      <c r="AS19" s="2272"/>
      <c r="AT19" s="2272"/>
      <c r="AU19" s="2272"/>
      <c r="AV19" s="2272"/>
      <c r="AW19" s="2272"/>
      <c r="AX19" s="2272"/>
      <c r="AY19" s="2272"/>
      <c r="AZ19" s="2272"/>
      <c r="BA19" s="2272"/>
      <c r="BB19" s="2272"/>
      <c r="BC19" s="2272"/>
      <c r="BD19" s="2272"/>
      <c r="BE19" s="2272"/>
      <c r="BF19" s="2272"/>
      <c r="BG19" s="2272"/>
      <c r="BH19" s="2272"/>
      <c r="BI19" s="2272"/>
      <c r="BJ19" s="2272"/>
      <c r="BK19" s="2272"/>
      <c r="BL19" s="2272"/>
      <c r="BM19" s="2272"/>
      <c r="BN19" s="2272"/>
      <c r="BO19" s="2272"/>
      <c r="BP19" s="2272"/>
      <c r="BQ19" s="2272"/>
      <c r="BR19" s="2272"/>
      <c r="BS19" s="2272"/>
      <c r="BT19" s="2272"/>
      <c r="BU19" s="2272"/>
      <c r="BV19" s="2272"/>
      <c r="BW19" s="2272"/>
      <c r="BX19" s="2272"/>
      <c r="BY19" s="2272"/>
      <c r="BZ19" s="2272"/>
      <c r="CA19" s="2272"/>
      <c r="CB19" s="2272"/>
      <c r="CC19" s="2272"/>
      <c r="CD19" s="2272"/>
      <c r="CE19" s="2272"/>
      <c r="CF19" s="2272"/>
      <c r="CG19" s="2272"/>
      <c r="CH19" s="2272"/>
      <c r="CI19" s="2272"/>
      <c r="CJ19" s="2272"/>
      <c r="CK19" s="2272"/>
      <c r="CL19" s="2272"/>
      <c r="CM19" s="2272"/>
      <c r="CN19" s="2272"/>
      <c r="CO19" s="2272"/>
      <c r="CP19" s="2272"/>
      <c r="CQ19" s="2272"/>
      <c r="CR19" s="2272"/>
      <c r="CS19" s="2272"/>
      <c r="CT19" s="2272"/>
      <c r="CU19" s="2272"/>
      <c r="CV19" s="2272"/>
      <c r="CW19" s="2272"/>
      <c r="CX19" s="2272"/>
      <c r="CY19" s="2272"/>
      <c r="CZ19" s="2272"/>
      <c r="DA19" s="2272"/>
      <c r="DB19" s="2272"/>
      <c r="DC19" s="2272"/>
      <c r="DD19" s="2272"/>
      <c r="DE19" s="2272"/>
      <c r="DF19" s="2272"/>
      <c r="DG19" s="2272"/>
      <c r="DH19" s="2272"/>
      <c r="DI19" s="2272"/>
      <c r="DJ19" s="2272"/>
      <c r="DK19" s="2272"/>
      <c r="DL19" s="2272"/>
      <c r="DM19" s="2272"/>
      <c r="DN19" s="2272"/>
      <c r="DO19" s="2272"/>
      <c r="DP19" s="2272"/>
      <c r="DQ19" s="2272"/>
      <c r="DR19" s="2272"/>
      <c r="DS19" s="2272"/>
      <c r="DT19" s="2272"/>
      <c r="DU19" s="2272"/>
      <c r="DV19" s="2272"/>
      <c r="DW19" s="2272"/>
      <c r="DX19" s="2272"/>
      <c r="DY19" s="2272"/>
      <c r="DZ19" s="2272"/>
      <c r="EA19" s="2272"/>
      <c r="EB19" s="2272"/>
      <c r="EC19" s="2272"/>
      <c r="ED19" s="2272"/>
      <c r="EE19" s="2272"/>
      <c r="EF19" s="2272"/>
      <c r="EG19" s="2272"/>
      <c r="EH19" s="2272"/>
      <c r="EI19" s="2272"/>
      <c r="EJ19" s="2272"/>
      <c r="EK19" s="2272"/>
      <c r="EL19" s="2272"/>
      <c r="EM19" s="2272"/>
      <c r="EN19" s="2272"/>
      <c r="EO19" s="2272"/>
      <c r="EP19" s="2272"/>
      <c r="EQ19" s="2272"/>
      <c r="ER19" s="2272"/>
      <c r="ES19" s="2272"/>
      <c r="ET19" s="2272"/>
      <c r="EU19" s="2272"/>
      <c r="EV19" s="2272"/>
      <c r="EW19" s="2272"/>
      <c r="EX19" s="2272"/>
      <c r="EY19" s="2272"/>
      <c r="EZ19" s="2272"/>
      <c r="FA19" s="2272"/>
      <c r="FB19" s="2272"/>
      <c r="FC19" s="2272"/>
      <c r="FD19" s="2272"/>
      <c r="FE19" s="2272"/>
      <c r="FF19" s="2272"/>
      <c r="FG19" s="2272"/>
      <c r="FH19" s="2272"/>
      <c r="FI19" s="2272"/>
      <c r="FJ19" s="2272"/>
      <c r="FK19" s="2272"/>
      <c r="FL19" s="2272"/>
      <c r="FM19" s="2272"/>
      <c r="FN19" s="2272"/>
      <c r="FO19" s="2272"/>
      <c r="FP19" s="2272"/>
      <c r="FQ19" s="2272"/>
      <c r="FR19" s="2272"/>
      <c r="FS19" s="2272"/>
      <c r="FT19" s="2272"/>
      <c r="FU19" s="2272"/>
      <c r="FV19" s="2272"/>
      <c r="FW19" s="2272"/>
      <c r="FX19" s="2272"/>
      <c r="FY19" s="2272"/>
      <c r="FZ19" s="2272"/>
      <c r="GA19" s="2272"/>
      <c r="GB19" s="2272"/>
      <c r="GC19" s="2272"/>
      <c r="GD19" s="2272"/>
      <c r="GE19" s="2272"/>
      <c r="GF19" s="2272"/>
      <c r="GG19" s="2272"/>
      <c r="GH19" s="2272"/>
      <c r="GI19" s="2272"/>
      <c r="GJ19" s="2272"/>
      <c r="GK19" s="2272"/>
      <c r="GL19" s="2272"/>
      <c r="GM19" s="2272"/>
      <c r="GN19" s="2272"/>
      <c r="GO19" s="2272"/>
      <c r="GP19" s="2272"/>
      <c r="GQ19" s="2272"/>
      <c r="GR19" s="2272"/>
      <c r="GS19" s="2272"/>
      <c r="GT19" s="2272"/>
      <c r="GU19" s="2272"/>
      <c r="GV19" s="2272"/>
      <c r="GW19" s="2272"/>
      <c r="GX19" s="2272"/>
      <c r="GY19" s="2272"/>
      <c r="GZ19" s="2272"/>
      <c r="HA19" s="2272"/>
      <c r="HB19" s="2272"/>
      <c r="HC19" s="2272"/>
      <c r="HD19" s="2272"/>
      <c r="HE19" s="2272"/>
      <c r="HF19" s="2272"/>
      <c r="HG19" s="2272"/>
      <c r="HH19" s="2272"/>
      <c r="HI19" s="2272"/>
      <c r="HJ19" s="2272"/>
      <c r="HK19" s="2272"/>
      <c r="HL19" s="2272"/>
      <c r="HM19" s="2272"/>
      <c r="HN19" s="2272"/>
      <c r="HO19" s="2272"/>
      <c r="HP19" s="2272"/>
      <c r="HQ19" s="2272"/>
      <c r="HR19" s="2272"/>
      <c r="HS19" s="2272"/>
      <c r="HT19" s="2272"/>
      <c r="HU19" s="2272"/>
      <c r="HV19" s="2272"/>
      <c r="HW19" s="2272"/>
      <c r="HX19" s="2272"/>
      <c r="HY19" s="2272"/>
      <c r="HZ19" s="2272"/>
      <c r="IA19" s="2272"/>
      <c r="IB19" s="2272"/>
      <c r="IC19" s="2272"/>
      <c r="ID19" s="2272"/>
      <c r="IE19" s="2272"/>
      <c r="IF19" s="2272"/>
      <c r="IG19" s="2272"/>
      <c r="IH19" s="2272"/>
      <c r="II19" s="2272"/>
      <c r="IJ19" s="2272"/>
      <c r="IK19" s="2272"/>
      <c r="IL19" s="2272"/>
      <c r="IM19" s="2272"/>
      <c r="IN19" s="2272"/>
      <c r="IO19" s="2272"/>
      <c r="IP19" s="2272"/>
      <c r="IQ19" s="2272"/>
      <c r="IR19" s="2272"/>
      <c r="IS19" s="2272"/>
      <c r="IT19" s="2272"/>
      <c r="IU19" s="2272"/>
      <c r="IV19" s="2272"/>
    </row>
    <row r="20" spans="1:256" ht="14.25">
      <c r="A20" s="2277"/>
      <c r="B20" s="2284"/>
      <c r="C20" s="2285">
        <v>43728</v>
      </c>
      <c r="D20" s="2284">
        <v>4.2</v>
      </c>
      <c r="E20" s="2284">
        <v>4.2</v>
      </c>
      <c r="F20" s="2284">
        <v>4.2</v>
      </c>
      <c r="G20" s="2284">
        <v>4.2</v>
      </c>
      <c r="H20" s="2284">
        <v>4.8499999999999996</v>
      </c>
      <c r="I20" s="2284"/>
      <c r="J20" s="2284"/>
      <c r="K20" s="2266"/>
      <c r="L20" s="2284"/>
      <c r="M20" s="2285">
        <v>41068</v>
      </c>
      <c r="N20" s="2284">
        <v>0.4</v>
      </c>
      <c r="O20" s="2284">
        <v>2.85</v>
      </c>
      <c r="P20" s="2284">
        <v>3.05</v>
      </c>
      <c r="Q20" s="2284">
        <v>3.25</v>
      </c>
      <c r="R20" s="2284">
        <v>4.0999999999999996</v>
      </c>
      <c r="S20" s="2284">
        <v>4.6500000000000004</v>
      </c>
      <c r="T20" s="2284">
        <v>5.0999999999999996</v>
      </c>
      <c r="U20" s="2284">
        <v>3.1</v>
      </c>
      <c r="V20" s="2284">
        <v>3.15</v>
      </c>
      <c r="W20" s="2284">
        <v>3.25</v>
      </c>
      <c r="X20" s="2284">
        <v>1.31</v>
      </c>
      <c r="Y20" s="2284">
        <v>0.94</v>
      </c>
      <c r="Z20" s="2284">
        <v>1.49</v>
      </c>
    </row>
    <row r="21" spans="1:256" ht="14.25">
      <c r="A21" s="2277"/>
      <c r="B21" s="2278" t="s">
        <v>2285</v>
      </c>
      <c r="C21" s="2286">
        <v>43697</v>
      </c>
      <c r="D21" s="2778">
        <v>4.25</v>
      </c>
      <c r="E21" s="2778">
        <v>4.25</v>
      </c>
      <c r="F21" s="2778">
        <v>4.25</v>
      </c>
      <c r="G21" s="2778">
        <v>4.25</v>
      </c>
      <c r="H21" s="2778">
        <v>4.8499999999999996</v>
      </c>
      <c r="I21" s="2778"/>
      <c r="J21" s="2778"/>
      <c r="L21" s="2284"/>
      <c r="M21" s="2285">
        <v>40731</v>
      </c>
      <c r="N21" s="2284">
        <v>0.5</v>
      </c>
      <c r="O21" s="2284">
        <v>3.1</v>
      </c>
      <c r="P21" s="2284">
        <v>3.3</v>
      </c>
      <c r="Q21" s="2284">
        <v>3.5</v>
      </c>
      <c r="R21" s="2284">
        <v>4.4000000000000004</v>
      </c>
      <c r="S21" s="2284">
        <v>5</v>
      </c>
      <c r="T21" s="2284">
        <v>5.5</v>
      </c>
      <c r="U21" s="2284">
        <v>3.1</v>
      </c>
      <c r="V21" s="2284">
        <v>3.3</v>
      </c>
      <c r="W21" s="2284">
        <v>3.5</v>
      </c>
      <c r="X21" s="2284">
        <v>1.31</v>
      </c>
      <c r="Y21" s="2284">
        <v>0.95</v>
      </c>
      <c r="Z21" s="2284">
        <v>1.49</v>
      </c>
    </row>
    <row r="22" spans="1:256" ht="14.25">
      <c r="A22" s="2781"/>
      <c r="B22" s="2782"/>
      <c r="C22" s="2783">
        <v>42301</v>
      </c>
      <c r="D22" s="2784">
        <v>4.3499999999999996</v>
      </c>
      <c r="E22" s="2784">
        <v>4.3499999999999996</v>
      </c>
      <c r="F22" s="2784">
        <v>4.75</v>
      </c>
      <c r="G22" s="2784">
        <v>4.75</v>
      </c>
      <c r="H22" s="2784">
        <v>4.9000000000000004</v>
      </c>
      <c r="I22" s="2784"/>
      <c r="J22" s="2784"/>
      <c r="L22" s="2284"/>
      <c r="M22" s="2285">
        <v>40639</v>
      </c>
      <c r="N22" s="2284">
        <v>0.5</v>
      </c>
      <c r="O22" s="2284">
        <v>2.85</v>
      </c>
      <c r="P22" s="2284">
        <v>3.05</v>
      </c>
      <c r="Q22" s="2284">
        <v>3.25</v>
      </c>
      <c r="R22" s="2284">
        <v>4.1500000000000004</v>
      </c>
      <c r="S22" s="2284">
        <v>4.75</v>
      </c>
      <c r="T22" s="2284">
        <v>5.25</v>
      </c>
      <c r="U22" s="2284">
        <v>2.85</v>
      </c>
      <c r="V22" s="2284">
        <v>3.05</v>
      </c>
      <c r="W22" s="2284">
        <v>3.25</v>
      </c>
      <c r="X22" s="2284">
        <v>1.31</v>
      </c>
      <c r="Y22" s="2284">
        <v>0.95</v>
      </c>
      <c r="Z22" s="2284">
        <v>1.49</v>
      </c>
    </row>
    <row r="23" spans="1:256">
      <c r="B23" s="2284"/>
      <c r="C23" s="2285">
        <v>42242</v>
      </c>
      <c r="D23" s="2284">
        <v>4.5999999999999996</v>
      </c>
      <c r="E23" s="2284">
        <v>4.5999999999999996</v>
      </c>
      <c r="F23" s="2284">
        <v>5</v>
      </c>
      <c r="G23" s="2284">
        <v>5</v>
      </c>
      <c r="H23" s="2284">
        <v>5.15</v>
      </c>
      <c r="I23" s="2284">
        <v>2.75</v>
      </c>
      <c r="J23" s="2284">
        <v>3.25</v>
      </c>
      <c r="L23" s="2284"/>
      <c r="M23" s="2285">
        <v>40583</v>
      </c>
      <c r="N23" s="2284">
        <v>0.4</v>
      </c>
      <c r="O23" s="2284">
        <v>2.6</v>
      </c>
      <c r="P23" s="2284">
        <v>2.8</v>
      </c>
      <c r="Q23" s="2284">
        <v>3</v>
      </c>
      <c r="R23" s="2284">
        <v>3.9</v>
      </c>
      <c r="S23" s="2284">
        <v>4.5</v>
      </c>
      <c r="T23" s="2284">
        <v>5</v>
      </c>
      <c r="U23" s="2284">
        <v>2.6</v>
      </c>
      <c r="V23" s="2284">
        <v>2.8</v>
      </c>
      <c r="W23" s="2284">
        <v>3</v>
      </c>
      <c r="X23" s="2284">
        <v>1.21</v>
      </c>
      <c r="Y23" s="2284">
        <v>0.85</v>
      </c>
      <c r="Z23" s="2284">
        <v>1.39</v>
      </c>
    </row>
    <row r="24" spans="1:256">
      <c r="B24" s="2284"/>
      <c r="C24" s="2285">
        <v>42183</v>
      </c>
      <c r="D24" s="2284">
        <v>4.8499999999999996</v>
      </c>
      <c r="E24" s="2284">
        <v>4.8499999999999996</v>
      </c>
      <c r="F24" s="2284">
        <v>5.25</v>
      </c>
      <c r="G24" s="2284">
        <v>5.25</v>
      </c>
      <c r="H24" s="2284">
        <v>5.4</v>
      </c>
      <c r="I24" s="2284">
        <v>3</v>
      </c>
      <c r="J24" s="2284">
        <v>3.5</v>
      </c>
      <c r="L24" s="2284"/>
      <c r="M24" s="2285">
        <v>40538</v>
      </c>
      <c r="N24" s="2284">
        <v>0.36</v>
      </c>
      <c r="O24" s="2284">
        <v>2.25</v>
      </c>
      <c r="P24" s="2284">
        <v>2.5</v>
      </c>
      <c r="Q24" s="2284">
        <v>2.75</v>
      </c>
      <c r="R24" s="2284">
        <v>3.55</v>
      </c>
      <c r="S24" s="2284">
        <v>4.1500000000000004</v>
      </c>
      <c r="T24" s="2284">
        <v>4.55</v>
      </c>
      <c r="U24" s="2284">
        <v>2.16</v>
      </c>
      <c r="V24" s="2284">
        <v>2.5</v>
      </c>
      <c r="W24" s="2284">
        <v>2.85</v>
      </c>
      <c r="X24" s="2284">
        <v>1.17</v>
      </c>
      <c r="Y24" s="2284">
        <v>0.81</v>
      </c>
      <c r="Z24" s="2284">
        <v>1.35</v>
      </c>
    </row>
    <row r="25" spans="1:256">
      <c r="B25" s="2284"/>
      <c r="C25" s="2285">
        <v>42135</v>
      </c>
      <c r="D25" s="2284">
        <v>5.0999999999999996</v>
      </c>
      <c r="E25" s="2284">
        <v>5.0999999999999996</v>
      </c>
      <c r="F25" s="2284">
        <v>5.5</v>
      </c>
      <c r="G25" s="2284">
        <v>5.5</v>
      </c>
      <c r="H25" s="2284">
        <v>5.65</v>
      </c>
      <c r="I25" s="2284">
        <v>3.25</v>
      </c>
      <c r="J25" s="2284">
        <v>3.75</v>
      </c>
      <c r="L25" s="2284"/>
      <c r="M25" s="2285">
        <v>40471</v>
      </c>
      <c r="N25" s="2284">
        <v>0.36</v>
      </c>
      <c r="O25" s="2284">
        <v>1.91</v>
      </c>
      <c r="P25" s="2284">
        <v>2.2000000000000002</v>
      </c>
      <c r="Q25" s="2284">
        <v>2.5</v>
      </c>
      <c r="R25" s="2284">
        <v>3.25</v>
      </c>
      <c r="S25" s="2284">
        <v>3.85</v>
      </c>
      <c r="T25" s="2284">
        <v>4.2</v>
      </c>
      <c r="U25" s="2284">
        <v>1.91</v>
      </c>
      <c r="V25" s="2284">
        <v>2.2000000000000002</v>
      </c>
      <c r="W25" s="2284">
        <v>2.5</v>
      </c>
      <c r="X25" s="2284">
        <v>1.17</v>
      </c>
      <c r="Y25" s="2284">
        <v>0.81</v>
      </c>
      <c r="Z25" s="2284">
        <v>1.35</v>
      </c>
    </row>
    <row r="26" spans="1:256">
      <c r="B26" s="2284"/>
      <c r="C26" s="2285">
        <v>42064</v>
      </c>
      <c r="D26" s="2284">
        <v>5.35</v>
      </c>
      <c r="E26" s="2284">
        <v>5.35</v>
      </c>
      <c r="F26" s="2284">
        <v>5.75</v>
      </c>
      <c r="G26" s="2284">
        <v>5.75</v>
      </c>
      <c r="H26" s="2284">
        <v>5.9</v>
      </c>
      <c r="I26" s="2284"/>
      <c r="J26" s="2284"/>
      <c r="L26" s="2284"/>
      <c r="M26" s="2285">
        <v>39805</v>
      </c>
      <c r="N26" s="2284">
        <v>0.36</v>
      </c>
      <c r="O26" s="2284">
        <v>1.71</v>
      </c>
      <c r="P26" s="2284">
        <v>1.98</v>
      </c>
      <c r="Q26" s="2284">
        <v>2.25</v>
      </c>
      <c r="R26" s="2284">
        <v>2.79</v>
      </c>
      <c r="S26" s="2284">
        <v>3.33</v>
      </c>
      <c r="T26" s="2284">
        <v>3.6</v>
      </c>
      <c r="U26" s="2284">
        <v>1.71</v>
      </c>
      <c r="V26" s="2284">
        <v>1.98</v>
      </c>
      <c r="W26" s="2284">
        <v>2.25</v>
      </c>
      <c r="X26" s="2284">
        <v>1.17</v>
      </c>
      <c r="Y26" s="2284">
        <v>0.81</v>
      </c>
      <c r="Z26" s="2284">
        <v>1.35</v>
      </c>
    </row>
    <row r="27" spans="1:256">
      <c r="B27" s="2284"/>
      <c r="C27" s="2285">
        <v>41965</v>
      </c>
      <c r="D27" s="2284">
        <v>5.6</v>
      </c>
      <c r="E27" s="2284">
        <v>5.6</v>
      </c>
      <c r="F27" s="2284">
        <v>6</v>
      </c>
      <c r="G27" s="2284">
        <v>6</v>
      </c>
      <c r="H27" s="2284">
        <v>6.15</v>
      </c>
      <c r="I27" s="2284"/>
      <c r="J27" s="2284"/>
      <c r="L27" s="2284"/>
      <c r="M27" s="2285">
        <v>39779</v>
      </c>
      <c r="N27" s="2284">
        <v>0.36</v>
      </c>
      <c r="O27" s="2284">
        <v>1.98</v>
      </c>
      <c r="P27" s="2284">
        <v>2.25</v>
      </c>
      <c r="Q27" s="2284">
        <v>2.52</v>
      </c>
      <c r="R27" s="2284">
        <v>3.06</v>
      </c>
      <c r="S27" s="2284">
        <v>3.6</v>
      </c>
      <c r="T27" s="2284">
        <v>3.87</v>
      </c>
      <c r="U27" s="2284">
        <v>1.98</v>
      </c>
      <c r="V27" s="2284">
        <v>2.25</v>
      </c>
      <c r="W27" s="2284">
        <v>2.52</v>
      </c>
      <c r="X27" s="2284">
        <v>1.17</v>
      </c>
      <c r="Y27" s="2284">
        <v>0.81</v>
      </c>
      <c r="Z27" s="2284">
        <v>1.35</v>
      </c>
    </row>
    <row r="28" spans="1:256">
      <c r="B28" s="2284"/>
      <c r="C28" s="2285">
        <v>41096</v>
      </c>
      <c r="D28" s="2284">
        <v>5.6</v>
      </c>
      <c r="E28" s="2284">
        <v>6</v>
      </c>
      <c r="F28" s="2284">
        <v>6.15</v>
      </c>
      <c r="G28" s="2284">
        <v>6.4</v>
      </c>
      <c r="H28" s="2284">
        <v>6.55</v>
      </c>
      <c r="I28" s="2284">
        <v>4</v>
      </c>
      <c r="J28" s="2284">
        <v>4.5</v>
      </c>
      <c r="L28" s="2284"/>
      <c r="M28" s="2285">
        <v>39751</v>
      </c>
      <c r="N28" s="2284">
        <v>0.72</v>
      </c>
      <c r="O28" s="2284">
        <v>2.88</v>
      </c>
      <c r="P28" s="2284">
        <v>3.24</v>
      </c>
      <c r="Q28" s="2284">
        <v>3.6</v>
      </c>
      <c r="R28" s="2284">
        <v>4.1399999999999997</v>
      </c>
      <c r="S28" s="2284">
        <v>4.7699999999999996</v>
      </c>
      <c r="T28" s="2284">
        <v>5.13</v>
      </c>
      <c r="U28" s="2284">
        <v>2.88</v>
      </c>
      <c r="V28" s="2284">
        <v>3.24</v>
      </c>
      <c r="W28" s="2284">
        <v>3.6</v>
      </c>
      <c r="X28" s="2284">
        <v>1.53</v>
      </c>
      <c r="Y28" s="2284">
        <v>1.17</v>
      </c>
      <c r="Z28" s="2284">
        <v>1.71</v>
      </c>
    </row>
    <row r="29" spans="1:256">
      <c r="B29" s="2284"/>
      <c r="C29" s="2285">
        <v>41068</v>
      </c>
      <c r="D29" s="2284">
        <v>5.85</v>
      </c>
      <c r="E29" s="2284">
        <v>6.31</v>
      </c>
      <c r="F29" s="2284">
        <v>6.4</v>
      </c>
      <c r="G29" s="2284">
        <v>6.65</v>
      </c>
      <c r="H29" s="2284">
        <v>6.8</v>
      </c>
      <c r="I29" s="2284">
        <v>4.2</v>
      </c>
      <c r="J29" s="2284">
        <v>4.7</v>
      </c>
      <c r="L29" s="2284"/>
      <c r="M29" s="2286">
        <v>39736</v>
      </c>
      <c r="N29" s="2284">
        <v>0.72</v>
      </c>
      <c r="O29" s="2284">
        <v>3.15</v>
      </c>
      <c r="P29" s="2284">
        <v>3.51</v>
      </c>
      <c r="Q29" s="2284">
        <v>3.87</v>
      </c>
      <c r="R29" s="2284">
        <v>4.41</v>
      </c>
      <c r="S29" s="2284">
        <v>5.13</v>
      </c>
      <c r="T29" s="2284">
        <v>5.58</v>
      </c>
      <c r="U29" s="2284">
        <v>3.15</v>
      </c>
      <c r="V29" s="2284">
        <v>3.51</v>
      </c>
      <c r="W29" s="2284">
        <v>3.87</v>
      </c>
      <c r="X29" s="2284">
        <v>1.53</v>
      </c>
      <c r="Y29" s="2284">
        <v>1.17</v>
      </c>
      <c r="Z29" s="2284">
        <v>1.71</v>
      </c>
    </row>
    <row r="30" spans="1:256">
      <c r="B30" s="2284"/>
      <c r="C30" s="2285">
        <v>40731</v>
      </c>
      <c r="D30" s="2284">
        <v>6.1</v>
      </c>
      <c r="E30" s="2284">
        <v>6.56</v>
      </c>
      <c r="F30" s="2284">
        <v>6.65</v>
      </c>
      <c r="G30" s="2284">
        <v>6.9</v>
      </c>
      <c r="H30" s="2284">
        <v>7.05</v>
      </c>
      <c r="I30" s="2284">
        <v>4.45</v>
      </c>
      <c r="J30" s="2284">
        <v>4.9000000000000004</v>
      </c>
      <c r="L30" s="2284"/>
      <c r="M30" s="2285">
        <v>39730</v>
      </c>
      <c r="N30" s="2284">
        <v>0.72</v>
      </c>
      <c r="O30" s="2284">
        <v>3.15</v>
      </c>
      <c r="P30" s="2284">
        <v>3.51</v>
      </c>
      <c r="Q30" s="2284">
        <v>3.87</v>
      </c>
      <c r="R30" s="2284">
        <v>4.41</v>
      </c>
      <c r="S30" s="2284">
        <v>5.13</v>
      </c>
      <c r="T30" s="2284">
        <v>5.58</v>
      </c>
      <c r="U30" s="2284">
        <v>3.15</v>
      </c>
      <c r="V30" s="2284">
        <v>3.51</v>
      </c>
      <c r="W30" s="2284">
        <v>3.87</v>
      </c>
      <c r="X30" s="2284">
        <v>1.53</v>
      </c>
      <c r="Y30" s="2284">
        <v>1.17</v>
      </c>
      <c r="Z30" s="2284">
        <v>1.71</v>
      </c>
    </row>
    <row r="31" spans="1:256">
      <c r="B31" s="2284"/>
      <c r="C31" s="2285">
        <v>40639</v>
      </c>
      <c r="D31" s="2284">
        <v>5.85</v>
      </c>
      <c r="E31" s="2284">
        <v>6.31</v>
      </c>
      <c r="F31" s="2284">
        <v>6.4</v>
      </c>
      <c r="G31" s="2284">
        <v>6.65</v>
      </c>
      <c r="H31" s="2284">
        <v>6.8</v>
      </c>
      <c r="I31" s="2284">
        <v>4.2</v>
      </c>
      <c r="J31" s="2284">
        <v>4.7</v>
      </c>
      <c r="L31" s="2284"/>
      <c r="M31" s="2285">
        <v>39437</v>
      </c>
      <c r="N31" s="2284">
        <v>0.72</v>
      </c>
      <c r="O31" s="2284">
        <v>3.33</v>
      </c>
      <c r="P31" s="2284">
        <v>3.78</v>
      </c>
      <c r="Q31" s="2284">
        <v>4.1399999999999997</v>
      </c>
      <c r="R31" s="2284">
        <v>4.68</v>
      </c>
      <c r="S31" s="2284">
        <v>5.4</v>
      </c>
      <c r="T31" s="2284">
        <v>5.85</v>
      </c>
      <c r="U31" s="2284">
        <v>3.33</v>
      </c>
      <c r="V31" s="2284">
        <v>3.78</v>
      </c>
      <c r="W31" s="2284">
        <v>4.1399999999999997</v>
      </c>
      <c r="X31" s="2284">
        <v>1.53</v>
      </c>
      <c r="Y31" s="2284">
        <v>1.17</v>
      </c>
      <c r="Z31" s="2284">
        <v>1.71</v>
      </c>
    </row>
    <row r="32" spans="1:256">
      <c r="B32" s="2284"/>
      <c r="C32" s="2285">
        <v>40583</v>
      </c>
      <c r="D32" s="2284">
        <v>5.6</v>
      </c>
      <c r="E32" s="2284">
        <v>6.06</v>
      </c>
      <c r="F32" s="2284">
        <v>6.1</v>
      </c>
      <c r="G32" s="2284">
        <v>6.45</v>
      </c>
      <c r="H32" s="2284">
        <v>6.6</v>
      </c>
      <c r="I32" s="2284">
        <v>4</v>
      </c>
      <c r="J32" s="2284">
        <v>4.5</v>
      </c>
      <c r="L32" s="2284"/>
      <c r="M32" s="2285">
        <v>39340</v>
      </c>
      <c r="N32" s="2284">
        <v>0.81</v>
      </c>
      <c r="O32" s="2284">
        <v>2.88</v>
      </c>
      <c r="P32" s="2284">
        <v>3.42</v>
      </c>
      <c r="Q32" s="2284">
        <v>3.87</v>
      </c>
      <c r="R32" s="2284">
        <v>4.5</v>
      </c>
      <c r="S32" s="2284">
        <v>5.22</v>
      </c>
      <c r="T32" s="2284">
        <v>5.76</v>
      </c>
      <c r="U32" s="2284">
        <v>2.88</v>
      </c>
      <c r="V32" s="2284">
        <v>3.42</v>
      </c>
      <c r="W32" s="2284">
        <v>3.87</v>
      </c>
      <c r="X32" s="2284">
        <v>1.53</v>
      </c>
      <c r="Y32" s="2284">
        <v>1.17</v>
      </c>
      <c r="Z32" s="2284">
        <v>1.71</v>
      </c>
    </row>
    <row r="33" spans="2:26">
      <c r="B33" s="2284"/>
      <c r="C33" s="2285">
        <v>40538</v>
      </c>
      <c r="D33" s="2284">
        <v>5.35</v>
      </c>
      <c r="E33" s="2284">
        <v>5.81</v>
      </c>
      <c r="F33" s="2284">
        <v>5.85</v>
      </c>
      <c r="G33" s="2284">
        <v>6.22</v>
      </c>
      <c r="H33" s="2284">
        <v>6.4</v>
      </c>
      <c r="I33" s="2284">
        <v>3.75</v>
      </c>
      <c r="J33" s="2284">
        <v>4.3</v>
      </c>
      <c r="L33" s="2284"/>
      <c r="M33" s="2285">
        <v>39316</v>
      </c>
      <c r="N33" s="2284">
        <v>0.81</v>
      </c>
      <c r="O33" s="2284">
        <v>2.61</v>
      </c>
      <c r="P33" s="2284">
        <v>3.15</v>
      </c>
      <c r="Q33" s="2284">
        <v>3.6</v>
      </c>
      <c r="R33" s="2284">
        <v>4.2300000000000004</v>
      </c>
      <c r="S33" s="2284">
        <v>4.95</v>
      </c>
      <c r="T33" s="2284">
        <v>5.49</v>
      </c>
      <c r="U33" s="2284">
        <v>2.61</v>
      </c>
      <c r="V33" s="2284">
        <v>3.15</v>
      </c>
      <c r="W33" s="2284">
        <v>3.6</v>
      </c>
      <c r="X33" s="2284">
        <v>1.53</v>
      </c>
      <c r="Y33" s="2284">
        <v>1.17</v>
      </c>
      <c r="Z33" s="2284">
        <v>1.71</v>
      </c>
    </row>
    <row r="34" spans="2:26">
      <c r="B34" s="2284"/>
      <c r="C34" s="2285">
        <v>40471</v>
      </c>
      <c r="D34" s="2284">
        <v>5.0999999999999996</v>
      </c>
      <c r="E34" s="2284">
        <v>5.56</v>
      </c>
      <c r="F34" s="2284">
        <v>5.6</v>
      </c>
      <c r="G34" s="2284">
        <v>5.96</v>
      </c>
      <c r="H34" s="2284">
        <v>6.14</v>
      </c>
      <c r="I34" s="2284">
        <v>3.5</v>
      </c>
      <c r="J34" s="2284">
        <v>4.05</v>
      </c>
      <c r="L34" s="2284"/>
      <c r="M34" s="2285">
        <v>39284</v>
      </c>
      <c r="N34" s="2284">
        <v>0.81</v>
      </c>
      <c r="O34" s="2284">
        <v>2.34</v>
      </c>
      <c r="P34" s="2284">
        <v>2.88</v>
      </c>
      <c r="Q34" s="2284">
        <v>3.33</v>
      </c>
      <c r="R34" s="2284">
        <v>3.96</v>
      </c>
      <c r="S34" s="2284">
        <v>4.68</v>
      </c>
      <c r="T34" s="2284">
        <v>5.22</v>
      </c>
      <c r="U34" s="2284">
        <v>2.34</v>
      </c>
      <c r="V34" s="2284">
        <v>2.88</v>
      </c>
      <c r="W34" s="2284">
        <v>3.33</v>
      </c>
      <c r="X34" s="2284">
        <v>1.53</v>
      </c>
      <c r="Y34" s="2284">
        <v>1.17</v>
      </c>
      <c r="Z34" s="2284">
        <v>1.71</v>
      </c>
    </row>
    <row r="35" spans="2:26">
      <c r="B35" s="2284"/>
      <c r="C35" s="2285">
        <v>39805</v>
      </c>
      <c r="D35" s="2284">
        <v>4.8600000000000003</v>
      </c>
      <c r="E35" s="2284">
        <v>5.31</v>
      </c>
      <c r="F35" s="2284">
        <v>5.4</v>
      </c>
      <c r="G35" s="2284">
        <v>5.76</v>
      </c>
      <c r="H35" s="2284">
        <v>5.94</v>
      </c>
      <c r="I35" s="2284">
        <v>3.33</v>
      </c>
      <c r="J35" s="2284">
        <v>3.87</v>
      </c>
      <c r="L35" s="2284"/>
      <c r="M35" s="2285">
        <v>39221</v>
      </c>
      <c r="N35" s="2284">
        <v>0.72</v>
      </c>
      <c r="O35" s="2284">
        <v>2.0699999999999998</v>
      </c>
      <c r="P35" s="2284">
        <v>2.61</v>
      </c>
      <c r="Q35" s="2284">
        <v>3.06</v>
      </c>
      <c r="R35" s="2284">
        <v>3.69</v>
      </c>
      <c r="S35" s="2284">
        <v>4.41</v>
      </c>
      <c r="T35" s="2284">
        <v>4.95</v>
      </c>
      <c r="U35" s="2284">
        <v>2.0699999999999998</v>
      </c>
      <c r="V35" s="2284">
        <v>2.61</v>
      </c>
      <c r="W35" s="2284">
        <v>3.06</v>
      </c>
      <c r="X35" s="2284">
        <v>1.44</v>
      </c>
      <c r="Y35" s="2284">
        <v>1.08</v>
      </c>
      <c r="Z35" s="2284">
        <v>1.62</v>
      </c>
    </row>
    <row r="36" spans="2:26">
      <c r="B36" s="2284"/>
      <c r="C36" s="2285">
        <v>39779</v>
      </c>
      <c r="D36" s="2284">
        <v>5.04</v>
      </c>
      <c r="E36" s="2284">
        <v>5.58</v>
      </c>
      <c r="F36" s="2284">
        <v>5.67</v>
      </c>
      <c r="G36" s="2284">
        <v>5.94</v>
      </c>
      <c r="H36" s="2284">
        <v>6.12</v>
      </c>
      <c r="I36" s="2284">
        <v>3.51</v>
      </c>
      <c r="J36" s="2284">
        <v>4.05</v>
      </c>
      <c r="L36" s="2284"/>
      <c r="M36" s="2285">
        <v>39159</v>
      </c>
      <c r="N36" s="2284">
        <v>0.72</v>
      </c>
      <c r="O36" s="2284">
        <v>1.98</v>
      </c>
      <c r="P36" s="2284">
        <v>2.4300000000000002</v>
      </c>
      <c r="Q36" s="2284">
        <v>2.79</v>
      </c>
      <c r="R36" s="2284">
        <v>3.33</v>
      </c>
      <c r="S36" s="2284">
        <v>3.96</v>
      </c>
      <c r="T36" s="2284">
        <v>4.41</v>
      </c>
      <c r="U36" s="2284">
        <v>1.98</v>
      </c>
      <c r="V36" s="2284">
        <v>2.4300000000000002</v>
      </c>
      <c r="W36" s="2284">
        <v>2.79</v>
      </c>
      <c r="X36" s="2284">
        <v>1.44</v>
      </c>
      <c r="Y36" s="2284">
        <v>1.08</v>
      </c>
      <c r="Z36" s="2284">
        <v>1.62</v>
      </c>
    </row>
    <row r="37" spans="2:26">
      <c r="B37" s="2284"/>
      <c r="C37" s="2285">
        <v>39751</v>
      </c>
      <c r="D37" s="2284">
        <v>6.03</v>
      </c>
      <c r="E37" s="2284">
        <v>6.66</v>
      </c>
      <c r="F37" s="2284">
        <v>6.75</v>
      </c>
      <c r="G37" s="2284">
        <v>7.02</v>
      </c>
      <c r="H37" s="2284">
        <v>7.2</v>
      </c>
      <c r="I37" s="2284">
        <v>4.05</v>
      </c>
      <c r="J37" s="2284">
        <v>4.59</v>
      </c>
      <c r="L37" s="2284"/>
      <c r="M37" s="2285">
        <v>38948</v>
      </c>
      <c r="N37" s="2284">
        <v>0.72</v>
      </c>
      <c r="O37" s="2284">
        <v>1.8</v>
      </c>
      <c r="P37" s="2284">
        <v>2.25</v>
      </c>
      <c r="Q37" s="2284">
        <v>2.52</v>
      </c>
      <c r="R37" s="2284">
        <v>3.06</v>
      </c>
      <c r="S37" s="2284">
        <v>3.69</v>
      </c>
      <c r="T37" s="2284">
        <v>4.1399999999999997</v>
      </c>
      <c r="U37" s="2284">
        <v>1.8</v>
      </c>
      <c r="V37" s="2284">
        <v>2.25</v>
      </c>
      <c r="W37" s="2284">
        <v>2.52</v>
      </c>
      <c r="X37" s="2284">
        <v>1.44</v>
      </c>
      <c r="Y37" s="2284">
        <v>1.08</v>
      </c>
      <c r="Z37" s="2284">
        <v>1.62</v>
      </c>
    </row>
    <row r="38" spans="2:26">
      <c r="B38" s="2284"/>
      <c r="C38" s="2286">
        <v>39748</v>
      </c>
      <c r="D38" s="2284">
        <v>6.12</v>
      </c>
      <c r="E38" s="2284">
        <v>6.93</v>
      </c>
      <c r="F38" s="2284">
        <v>7.02</v>
      </c>
      <c r="G38" s="2284">
        <v>7.29</v>
      </c>
      <c r="H38" s="2284">
        <v>7.47</v>
      </c>
      <c r="I38" s="2284">
        <v>4.05</v>
      </c>
      <c r="J38" s="2284">
        <v>4.59</v>
      </c>
      <c r="L38" s="2284"/>
      <c r="M38" s="2285">
        <v>38289</v>
      </c>
      <c r="N38" s="2284">
        <v>0.72</v>
      </c>
      <c r="O38" s="2284">
        <v>1.71</v>
      </c>
      <c r="P38" s="2284">
        <v>2.0699999999999998</v>
      </c>
      <c r="Q38" s="2284">
        <v>2.25</v>
      </c>
      <c r="R38" s="2284">
        <v>2.7</v>
      </c>
      <c r="S38" s="2284">
        <v>3.24</v>
      </c>
      <c r="T38" s="2284">
        <v>3.6</v>
      </c>
      <c r="U38" s="2284">
        <v>1.71</v>
      </c>
      <c r="V38" s="2284">
        <v>2.0699999999999998</v>
      </c>
      <c r="W38" s="2284">
        <v>2.25</v>
      </c>
      <c r="X38" s="2284">
        <v>1.44</v>
      </c>
      <c r="Y38" s="2284">
        <v>1.08</v>
      </c>
      <c r="Z38" s="2284">
        <v>1.62</v>
      </c>
    </row>
    <row r="39" spans="2:26">
      <c r="B39" s="2284"/>
      <c r="C39" s="2285">
        <v>39730</v>
      </c>
      <c r="D39" s="2284">
        <v>6.12</v>
      </c>
      <c r="E39" s="2284">
        <v>6.93</v>
      </c>
      <c r="F39" s="2284">
        <v>7.02</v>
      </c>
      <c r="G39" s="2284">
        <v>7.29</v>
      </c>
      <c r="H39" s="2284">
        <v>7.47</v>
      </c>
      <c r="I39" s="2284">
        <v>4.32</v>
      </c>
      <c r="J39" s="2284">
        <v>4.8600000000000003</v>
      </c>
      <c r="L39" s="2284"/>
      <c r="M39" s="2285">
        <v>37308</v>
      </c>
      <c r="N39" s="2284">
        <v>0.72</v>
      </c>
      <c r="O39" s="2284">
        <v>1.71</v>
      </c>
      <c r="P39" s="2284">
        <v>1.89</v>
      </c>
      <c r="Q39" s="2284">
        <v>1.98</v>
      </c>
      <c r="R39" s="2284">
        <v>2.25</v>
      </c>
      <c r="S39" s="2284">
        <v>2.52</v>
      </c>
      <c r="T39" s="2284">
        <v>2.79</v>
      </c>
      <c r="U39" s="2284">
        <v>1.71</v>
      </c>
      <c r="V39" s="2284">
        <v>1.89</v>
      </c>
      <c r="W39" s="2284">
        <v>1.98</v>
      </c>
      <c r="X39" s="2284">
        <v>1.44</v>
      </c>
      <c r="Y39" s="2284">
        <v>1.08</v>
      </c>
      <c r="Z39" s="2284">
        <v>1.62</v>
      </c>
    </row>
    <row r="40" spans="2:26">
      <c r="B40" s="2284"/>
      <c r="C40" s="2285">
        <v>39707</v>
      </c>
      <c r="D40" s="2284">
        <v>6.21</v>
      </c>
      <c r="E40" s="2284">
        <v>7.2</v>
      </c>
      <c r="F40" s="2284">
        <v>7.29</v>
      </c>
      <c r="G40" s="2284">
        <v>7.56</v>
      </c>
      <c r="H40" s="2284">
        <v>7.74</v>
      </c>
      <c r="I40" s="2284">
        <v>4.59</v>
      </c>
      <c r="J40" s="2284">
        <v>5.13</v>
      </c>
      <c r="L40" s="2284"/>
      <c r="M40" s="2285">
        <v>36321</v>
      </c>
      <c r="N40" s="2284">
        <v>0.99</v>
      </c>
      <c r="O40" s="2284">
        <v>1.98</v>
      </c>
      <c r="P40" s="2284">
        <v>2.16</v>
      </c>
      <c r="Q40" s="2284">
        <v>2.25</v>
      </c>
      <c r="R40" s="2284">
        <v>2.4300000000000002</v>
      </c>
      <c r="S40" s="2284">
        <v>2.7</v>
      </c>
      <c r="T40" s="2284">
        <v>2.88</v>
      </c>
      <c r="U40" s="2284">
        <v>1.98</v>
      </c>
      <c r="V40" s="2284">
        <v>2.16</v>
      </c>
      <c r="W40" s="2284">
        <v>2.25</v>
      </c>
      <c r="X40" s="2284">
        <v>1.71</v>
      </c>
      <c r="Y40" s="2284">
        <v>1.35</v>
      </c>
      <c r="Z40" s="2284">
        <v>1.89</v>
      </c>
    </row>
    <row r="41" spans="2:26">
      <c r="B41" s="2284"/>
      <c r="C41" s="2285">
        <v>39437</v>
      </c>
      <c r="D41" s="2284">
        <v>6.57</v>
      </c>
      <c r="E41" s="2284">
        <v>7.47</v>
      </c>
      <c r="F41" s="2284">
        <v>7.56</v>
      </c>
      <c r="G41" s="2284">
        <v>7.74</v>
      </c>
      <c r="H41" s="2284">
        <v>7.83</v>
      </c>
      <c r="I41" s="2284">
        <v>4.7699999999999996</v>
      </c>
      <c r="J41" s="2284">
        <v>5.22</v>
      </c>
      <c r="L41" s="2284"/>
      <c r="M41" s="2285">
        <v>36136</v>
      </c>
      <c r="N41" s="2284">
        <v>1.44</v>
      </c>
      <c r="O41" s="2284">
        <v>2.79</v>
      </c>
      <c r="P41" s="2284">
        <v>3.33</v>
      </c>
      <c r="Q41" s="2284">
        <v>3.78</v>
      </c>
      <c r="R41" s="2284">
        <v>3.96</v>
      </c>
      <c r="S41" s="2284">
        <v>4.1399999999999997</v>
      </c>
      <c r="T41" s="2284">
        <v>4.5</v>
      </c>
      <c r="U41" s="2284">
        <v>3.33</v>
      </c>
      <c r="V41" s="2284">
        <v>3.78</v>
      </c>
      <c r="W41" s="2284">
        <v>4.1399999999999997</v>
      </c>
      <c r="X41" s="2284">
        <v>2.16</v>
      </c>
      <c r="Y41" s="2284">
        <v>1.8</v>
      </c>
      <c r="Z41" s="2284">
        <v>2.34</v>
      </c>
    </row>
    <row r="42" spans="2:26">
      <c r="B42" s="2284"/>
      <c r="C42" s="2285">
        <v>39340</v>
      </c>
      <c r="D42" s="2284">
        <v>6.48</v>
      </c>
      <c r="E42" s="2284">
        <v>7.29</v>
      </c>
      <c r="F42" s="2284">
        <v>7.47</v>
      </c>
      <c r="G42" s="2284">
        <v>7.65</v>
      </c>
      <c r="H42" s="2284">
        <v>7.83</v>
      </c>
      <c r="I42" s="2284">
        <v>4.7699999999999996</v>
      </c>
      <c r="J42" s="2284">
        <v>5.22</v>
      </c>
      <c r="L42" s="2284"/>
      <c r="M42" s="2285">
        <v>35977</v>
      </c>
      <c r="N42" s="2284">
        <v>1.44</v>
      </c>
      <c r="O42" s="2284">
        <v>2.79</v>
      </c>
      <c r="P42" s="2284">
        <v>3.96</v>
      </c>
      <c r="Q42" s="2284">
        <v>4.7699999999999996</v>
      </c>
      <c r="R42" s="2284">
        <v>4.8600000000000003</v>
      </c>
      <c r="S42" s="2284">
        <v>4.95</v>
      </c>
      <c r="T42" s="2284">
        <v>5.22</v>
      </c>
      <c r="U42" s="2284">
        <v>3.96</v>
      </c>
      <c r="V42" s="2284">
        <v>4.7699999999999996</v>
      </c>
      <c r="W42" s="2284">
        <v>4.95</v>
      </c>
      <c r="X42" s="2284" t="s">
        <v>2095</v>
      </c>
      <c r="Y42" s="2284" t="s">
        <v>2095</v>
      </c>
      <c r="Z42" s="2284" t="s">
        <v>2095</v>
      </c>
    </row>
    <row r="43" spans="2:26">
      <c r="B43" s="2284"/>
      <c r="C43" s="2285">
        <v>39316</v>
      </c>
      <c r="D43" s="2284">
        <v>6.21</v>
      </c>
      <c r="E43" s="2284">
        <v>7.02</v>
      </c>
      <c r="F43" s="2284">
        <v>7.2</v>
      </c>
      <c r="G43" s="2284">
        <v>7.38</v>
      </c>
      <c r="H43" s="2284">
        <v>7.56</v>
      </c>
      <c r="I43" s="2284">
        <v>4.59</v>
      </c>
      <c r="J43" s="2284">
        <v>5.04</v>
      </c>
      <c r="L43" s="2284"/>
      <c r="M43" s="2285">
        <v>35879</v>
      </c>
      <c r="N43" s="2284">
        <v>1.71</v>
      </c>
      <c r="O43" s="2284">
        <v>2.88</v>
      </c>
      <c r="P43" s="2284">
        <v>4.1399999999999997</v>
      </c>
      <c r="Q43" s="2284">
        <v>5.22</v>
      </c>
      <c r="R43" s="2284">
        <v>5.58</v>
      </c>
      <c r="S43" s="2284">
        <v>6.21</v>
      </c>
      <c r="T43" s="2284">
        <v>6.66</v>
      </c>
      <c r="U43" s="2284">
        <v>4.1399999999999997</v>
      </c>
      <c r="V43" s="2284">
        <v>5.22</v>
      </c>
      <c r="W43" s="2284">
        <v>6.21</v>
      </c>
      <c r="X43" s="2284" t="s">
        <v>2095</v>
      </c>
      <c r="Y43" s="2284" t="s">
        <v>2095</v>
      </c>
      <c r="Z43" s="2284" t="s">
        <v>2095</v>
      </c>
    </row>
    <row r="44" spans="2:26">
      <c r="B44" s="2284"/>
      <c r="C44" s="2285">
        <v>39284</v>
      </c>
      <c r="D44" s="2284">
        <v>6.03</v>
      </c>
      <c r="E44" s="2284">
        <v>6.84</v>
      </c>
      <c r="F44" s="2284">
        <v>7.02</v>
      </c>
      <c r="G44" s="2284">
        <v>7.2</v>
      </c>
      <c r="H44" s="2284">
        <v>7.38</v>
      </c>
      <c r="I44" s="2284">
        <v>4.5</v>
      </c>
      <c r="J44" s="2284">
        <v>4.95</v>
      </c>
      <c r="L44" s="2284"/>
      <c r="M44" s="2285">
        <v>35726</v>
      </c>
      <c r="N44" s="2284">
        <v>1.71</v>
      </c>
      <c r="O44" s="2284">
        <v>2.88</v>
      </c>
      <c r="P44" s="2284">
        <v>4.1399999999999997</v>
      </c>
      <c r="Q44" s="2284">
        <v>5.67</v>
      </c>
      <c r="R44" s="2284">
        <v>5.94</v>
      </c>
      <c r="S44" s="2284">
        <v>6.21</v>
      </c>
      <c r="T44" s="2284">
        <v>6.66</v>
      </c>
      <c r="U44" s="2284">
        <v>4.1399999999999997</v>
      </c>
      <c r="V44" s="2284">
        <v>5.67</v>
      </c>
      <c r="W44" s="2284">
        <v>6.21</v>
      </c>
      <c r="X44" s="2284" t="s">
        <v>2095</v>
      </c>
      <c r="Y44" s="2284" t="s">
        <v>2095</v>
      </c>
      <c r="Z44" s="2284" t="s">
        <v>2095</v>
      </c>
    </row>
    <row r="45" spans="2:26">
      <c r="B45" s="2284"/>
      <c r="C45" s="2285">
        <v>39221</v>
      </c>
      <c r="D45" s="2284">
        <v>5.85</v>
      </c>
      <c r="E45" s="2284">
        <v>6.57</v>
      </c>
      <c r="F45" s="2284">
        <v>6.75</v>
      </c>
      <c r="G45" s="2284">
        <v>6.93</v>
      </c>
      <c r="H45" s="2284">
        <v>7.2</v>
      </c>
      <c r="I45" s="2284">
        <v>4.41</v>
      </c>
      <c r="J45" s="2284">
        <v>4.8600000000000003</v>
      </c>
      <c r="L45" s="2284"/>
      <c r="M45" s="2285">
        <v>35300</v>
      </c>
      <c r="N45" s="2284">
        <v>1.98</v>
      </c>
      <c r="O45" s="2284">
        <v>3.33</v>
      </c>
      <c r="P45" s="2284">
        <v>5.4</v>
      </c>
      <c r="Q45" s="2284">
        <v>7.47</v>
      </c>
      <c r="R45" s="2284">
        <v>7.92</v>
      </c>
      <c r="S45" s="2284">
        <v>8.2799999999999994</v>
      </c>
      <c r="T45" s="2284">
        <v>9</v>
      </c>
      <c r="U45" s="2284">
        <v>5.4</v>
      </c>
      <c r="V45" s="2284">
        <v>7.47</v>
      </c>
      <c r="W45" s="2284">
        <v>8.2799999999999994</v>
      </c>
      <c r="X45" s="2284" t="s">
        <v>2095</v>
      </c>
      <c r="Y45" s="2284" t="s">
        <v>2095</v>
      </c>
      <c r="Z45" s="2284" t="s">
        <v>2095</v>
      </c>
    </row>
    <row r="46" spans="2:26">
      <c r="B46" s="2284"/>
      <c r="C46" s="2285">
        <v>39159</v>
      </c>
      <c r="D46" s="2284">
        <v>5.67</v>
      </c>
      <c r="E46" s="2284">
        <v>6.39</v>
      </c>
      <c r="F46" s="2284">
        <v>6.57</v>
      </c>
      <c r="G46" s="2284">
        <v>6.75</v>
      </c>
      <c r="H46" s="2284">
        <v>7.11</v>
      </c>
      <c r="I46" s="2284">
        <v>4.32</v>
      </c>
      <c r="J46" s="2284">
        <v>4.7699999999999996</v>
      </c>
      <c r="L46" s="2284"/>
      <c r="M46" s="2285">
        <v>35186</v>
      </c>
      <c r="N46" s="2284">
        <v>2.97</v>
      </c>
      <c r="O46" s="2284">
        <v>4.8600000000000003</v>
      </c>
      <c r="P46" s="2284">
        <v>7.2</v>
      </c>
      <c r="Q46" s="2284">
        <v>9.18</v>
      </c>
      <c r="R46" s="2284">
        <v>9.9</v>
      </c>
      <c r="S46" s="2284">
        <v>10.8</v>
      </c>
      <c r="T46" s="2284">
        <v>12.06</v>
      </c>
      <c r="U46" s="2284">
        <v>7.2</v>
      </c>
      <c r="V46" s="2284">
        <v>9.18</v>
      </c>
      <c r="W46" s="2284">
        <v>10.8</v>
      </c>
      <c r="X46" s="2284" t="s">
        <v>2095</v>
      </c>
      <c r="Y46" s="2284" t="s">
        <v>2095</v>
      </c>
      <c r="Z46" s="2284" t="s">
        <v>2095</v>
      </c>
    </row>
    <row r="47" spans="2:26">
      <c r="B47" s="2284"/>
      <c r="C47" s="2285">
        <v>38948</v>
      </c>
      <c r="D47" s="2284">
        <v>5.58</v>
      </c>
      <c r="E47" s="2284">
        <v>6.12</v>
      </c>
      <c r="F47" s="2284">
        <v>6.3</v>
      </c>
      <c r="G47" s="2284">
        <v>6.48</v>
      </c>
      <c r="H47" s="2284">
        <v>6.84</v>
      </c>
      <c r="I47" s="2284">
        <v>4.1399999999999997</v>
      </c>
      <c r="J47" s="2284">
        <v>4.59</v>
      </c>
      <c r="L47" s="2284"/>
      <c r="M47" s="2285">
        <v>34161</v>
      </c>
      <c r="N47" s="2284">
        <v>3.15</v>
      </c>
      <c r="O47" s="2284">
        <v>6.66</v>
      </c>
      <c r="P47" s="2284">
        <v>9</v>
      </c>
      <c r="Q47" s="2284">
        <v>10.98</v>
      </c>
      <c r="R47" s="2284">
        <v>11.7</v>
      </c>
      <c r="S47" s="2284">
        <v>12.24</v>
      </c>
      <c r="T47" s="2284">
        <v>13.86</v>
      </c>
      <c r="U47" s="2284">
        <v>9</v>
      </c>
      <c r="V47" s="2284">
        <v>10.98</v>
      </c>
      <c r="W47" s="2284">
        <v>12.24</v>
      </c>
      <c r="X47" s="2284" t="s">
        <v>2095</v>
      </c>
      <c r="Y47" s="2284" t="s">
        <v>2095</v>
      </c>
      <c r="Z47" s="2284" t="s">
        <v>2095</v>
      </c>
    </row>
    <row r="48" spans="2:26">
      <c r="B48" s="2284"/>
      <c r="C48" s="2285">
        <v>38835</v>
      </c>
      <c r="D48" s="2284">
        <v>5.4</v>
      </c>
      <c r="E48" s="2284">
        <v>5.85</v>
      </c>
      <c r="F48" s="2284">
        <v>6.03</v>
      </c>
      <c r="G48" s="2284">
        <v>6.12</v>
      </c>
      <c r="H48" s="2284">
        <v>6.39</v>
      </c>
      <c r="I48" s="2284">
        <v>4.1399999999999997</v>
      </c>
      <c r="J48" s="2284">
        <v>4.59</v>
      </c>
      <c r="L48" s="2284"/>
      <c r="M48" s="2285">
        <v>34104</v>
      </c>
      <c r="N48" s="2284">
        <v>2.16</v>
      </c>
      <c r="O48" s="2284">
        <v>4.8600000000000003</v>
      </c>
      <c r="P48" s="2284">
        <v>7.2</v>
      </c>
      <c r="Q48" s="2284">
        <v>9.18</v>
      </c>
      <c r="R48" s="2284">
        <v>9.9</v>
      </c>
      <c r="S48" s="2284">
        <v>10.8</v>
      </c>
      <c r="T48" s="2284">
        <v>12.06</v>
      </c>
      <c r="U48" s="2284">
        <v>7.2</v>
      </c>
      <c r="V48" s="2284">
        <v>9.18</v>
      </c>
      <c r="W48" s="2284">
        <v>10.8</v>
      </c>
      <c r="X48" s="2284" t="s">
        <v>2095</v>
      </c>
      <c r="Y48" s="2284" t="s">
        <v>2095</v>
      </c>
      <c r="Z48" s="2284" t="s">
        <v>2095</v>
      </c>
    </row>
    <row r="49" spans="2:26">
      <c r="B49" s="2284"/>
      <c r="C49" s="2285">
        <v>38428</v>
      </c>
      <c r="D49" s="2284">
        <v>5.22</v>
      </c>
      <c r="E49" s="2284">
        <v>5.58</v>
      </c>
      <c r="F49" s="2284">
        <v>5.76</v>
      </c>
      <c r="G49" s="2284">
        <v>5.85</v>
      </c>
      <c r="H49" s="2284">
        <v>6.12</v>
      </c>
      <c r="I49" s="2284">
        <v>3.96</v>
      </c>
      <c r="J49" s="2284">
        <v>4.41</v>
      </c>
      <c r="L49" s="2284"/>
      <c r="M49" s="2285">
        <v>33349</v>
      </c>
      <c r="N49" s="2284">
        <v>1.8</v>
      </c>
      <c r="O49" s="2284">
        <v>3.24</v>
      </c>
      <c r="P49" s="2284">
        <v>5.4</v>
      </c>
      <c r="Q49" s="2284">
        <v>7.56</v>
      </c>
      <c r="R49" s="2284">
        <v>7.92</v>
      </c>
      <c r="S49" s="2284">
        <v>8.2799999999999994</v>
      </c>
      <c r="T49" s="2284">
        <v>9</v>
      </c>
      <c r="U49" s="2284">
        <v>6.12</v>
      </c>
      <c r="V49" s="2284">
        <v>6.84</v>
      </c>
      <c r="W49" s="2284">
        <v>7.56</v>
      </c>
      <c r="X49" s="2284" t="s">
        <v>2095</v>
      </c>
      <c r="Y49" s="2284" t="s">
        <v>2095</v>
      </c>
      <c r="Z49" s="2284" t="s">
        <v>2095</v>
      </c>
    </row>
    <row r="50" spans="2:26">
      <c r="B50" s="2284"/>
      <c r="C50" s="2285">
        <v>38289</v>
      </c>
      <c r="D50" s="2284">
        <v>5.22</v>
      </c>
      <c r="E50" s="2284">
        <v>5.58</v>
      </c>
      <c r="F50" s="2284">
        <v>5.76</v>
      </c>
      <c r="G50" s="2284">
        <v>5.85</v>
      </c>
      <c r="H50" s="2284">
        <v>6.12</v>
      </c>
      <c r="I50" s="2284">
        <v>3.78</v>
      </c>
      <c r="J50" s="2284">
        <v>4.2300000000000004</v>
      </c>
      <c r="L50" s="2284"/>
      <c r="M50" s="2285">
        <v>33106</v>
      </c>
      <c r="N50" s="2284">
        <v>2.16</v>
      </c>
      <c r="O50" s="2284">
        <v>4.32</v>
      </c>
      <c r="P50" s="2284">
        <v>6.48</v>
      </c>
      <c r="Q50" s="2284">
        <v>8.64</v>
      </c>
      <c r="R50" s="2284">
        <v>9.36</v>
      </c>
      <c r="S50" s="2284">
        <v>10.08</v>
      </c>
      <c r="T50" s="2284">
        <v>11.52</v>
      </c>
      <c r="U50" s="2284">
        <v>7.2</v>
      </c>
      <c r="V50" s="2284">
        <v>8.64</v>
      </c>
      <c r="W50" s="2284">
        <v>10.08</v>
      </c>
      <c r="X50" s="2284" t="s">
        <v>2095</v>
      </c>
      <c r="Y50" s="2284" t="s">
        <v>2095</v>
      </c>
      <c r="Z50" s="2284" t="s">
        <v>2095</v>
      </c>
    </row>
    <row r="51" spans="2:26">
      <c r="B51" s="2284"/>
      <c r="C51" s="2285">
        <v>37308</v>
      </c>
      <c r="D51" s="2284">
        <v>5.04</v>
      </c>
      <c r="E51" s="2284">
        <v>5.31</v>
      </c>
      <c r="F51" s="2284">
        <v>5.49</v>
      </c>
      <c r="G51" s="2284">
        <v>5.58</v>
      </c>
      <c r="H51" s="2284">
        <v>5.76</v>
      </c>
      <c r="I51" s="2284">
        <v>3.6</v>
      </c>
      <c r="J51" s="2284">
        <v>4.05</v>
      </c>
      <c r="L51" s="2284"/>
      <c r="M51" s="2285">
        <v>32978</v>
      </c>
      <c r="N51" s="2284">
        <v>2.88</v>
      </c>
      <c r="O51" s="2284">
        <v>6.3</v>
      </c>
      <c r="P51" s="2284">
        <v>7.74</v>
      </c>
      <c r="Q51" s="2284">
        <v>10.08</v>
      </c>
      <c r="R51" s="2284">
        <v>10.98</v>
      </c>
      <c r="S51" s="2284">
        <v>11.88</v>
      </c>
      <c r="T51" s="2284">
        <v>13.68</v>
      </c>
      <c r="U51" s="2284" t="s">
        <v>2095</v>
      </c>
      <c r="V51" s="2284" t="s">
        <v>2095</v>
      </c>
      <c r="W51" s="2284" t="s">
        <v>2095</v>
      </c>
      <c r="X51" s="2284" t="s">
        <v>2095</v>
      </c>
      <c r="Y51" s="2284" t="s">
        <v>2095</v>
      </c>
      <c r="Z51" s="2284" t="s">
        <v>2095</v>
      </c>
    </row>
    <row r="52" spans="2:26">
      <c r="B52" s="2284"/>
      <c r="C52" s="2285">
        <v>36321</v>
      </c>
      <c r="D52" s="2284">
        <v>5.58</v>
      </c>
      <c r="E52" s="2284">
        <v>5.85</v>
      </c>
      <c r="F52" s="2284">
        <v>5.94</v>
      </c>
      <c r="G52" s="2284">
        <v>6.03</v>
      </c>
      <c r="H52" s="2284">
        <v>6.21</v>
      </c>
      <c r="I52" s="2284">
        <v>4.1399999999999997</v>
      </c>
      <c r="J52" s="2284">
        <v>4.59</v>
      </c>
      <c r="L52" s="2284"/>
      <c r="M52" s="2285"/>
      <c r="N52" s="2284"/>
      <c r="O52" s="2284"/>
      <c r="P52" s="2284"/>
      <c r="Q52" s="2284"/>
      <c r="R52" s="2284"/>
      <c r="S52" s="2284"/>
      <c r="T52" s="2284"/>
      <c r="U52" s="2284"/>
      <c r="V52" s="2284"/>
      <c r="W52" s="2284"/>
      <c r="X52" s="2284"/>
      <c r="Y52" s="2284"/>
      <c r="Z52" s="2284"/>
    </row>
    <row r="53" spans="2:26">
      <c r="B53" s="2284"/>
      <c r="C53" s="2285">
        <v>36136</v>
      </c>
      <c r="D53" s="2284">
        <v>6.12</v>
      </c>
      <c r="E53" s="2284">
        <v>6.39</v>
      </c>
      <c r="F53" s="2284">
        <v>6.66</v>
      </c>
      <c r="G53" s="2284">
        <v>7.2</v>
      </c>
      <c r="H53" s="2284">
        <v>7.56</v>
      </c>
      <c r="I53" s="2284">
        <v>0</v>
      </c>
      <c r="J53" s="2284">
        <v>0</v>
      </c>
      <c r="L53" s="2284"/>
      <c r="M53" s="2285"/>
      <c r="N53" s="2284"/>
      <c r="O53" s="2284"/>
      <c r="P53" s="2284"/>
      <c r="Q53" s="2284"/>
      <c r="R53" s="2284"/>
      <c r="S53" s="2284"/>
      <c r="T53" s="2284"/>
      <c r="U53" s="2284"/>
      <c r="V53" s="2284"/>
      <c r="W53" s="2284"/>
      <c r="X53" s="2284"/>
      <c r="Y53" s="2284"/>
      <c r="Z53" s="2284"/>
    </row>
    <row r="54" spans="2:26">
      <c r="B54" s="2284"/>
      <c r="C54" s="2285">
        <v>35977</v>
      </c>
      <c r="D54" s="2284">
        <v>6.57</v>
      </c>
      <c r="E54" s="2284">
        <v>6.93</v>
      </c>
      <c r="F54" s="2284">
        <v>7.11</v>
      </c>
      <c r="G54" s="2284">
        <v>7.65</v>
      </c>
      <c r="H54" s="2284">
        <v>8.01</v>
      </c>
      <c r="I54" s="2284">
        <v>0</v>
      </c>
      <c r="J54" s="2284">
        <v>0</v>
      </c>
      <c r="L54" s="2284"/>
      <c r="M54" s="2285"/>
      <c r="N54" s="2284"/>
      <c r="O54" s="2284"/>
      <c r="P54" s="2284"/>
      <c r="Q54" s="2284"/>
      <c r="R54" s="2284"/>
      <c r="S54" s="2284"/>
      <c r="T54" s="2284"/>
      <c r="U54" s="2284"/>
      <c r="V54" s="2284"/>
      <c r="W54" s="2284"/>
      <c r="X54" s="2284"/>
      <c r="Y54" s="2284"/>
      <c r="Z54" s="2284"/>
    </row>
    <row r="55" spans="2:26">
      <c r="B55" s="2284"/>
      <c r="C55" s="2285">
        <v>35879</v>
      </c>
      <c r="D55" s="2284">
        <v>7.02</v>
      </c>
      <c r="E55" s="2284">
        <v>7.92</v>
      </c>
      <c r="F55" s="2284">
        <v>9</v>
      </c>
      <c r="G55" s="2284">
        <v>9.7200000000000006</v>
      </c>
      <c r="H55" s="2284">
        <v>10.35</v>
      </c>
      <c r="I55" s="2284">
        <v>0</v>
      </c>
      <c r="J55" s="2284">
        <v>0</v>
      </c>
      <c r="L55" s="2284"/>
      <c r="M55" s="2285"/>
      <c r="N55" s="2284"/>
      <c r="O55" s="2284"/>
      <c r="P55" s="2284"/>
      <c r="Q55" s="2284"/>
      <c r="R55" s="2284"/>
      <c r="S55" s="2284"/>
      <c r="T55" s="2284"/>
      <c r="U55" s="2284"/>
      <c r="V55" s="2284"/>
      <c r="W55" s="2284"/>
      <c r="X55" s="2284"/>
      <c r="Y55" s="2284"/>
      <c r="Z55" s="2284"/>
    </row>
    <row r="56" spans="2:26">
      <c r="B56" s="2284"/>
      <c r="C56" s="2285">
        <v>35726</v>
      </c>
      <c r="D56" s="2284">
        <v>7.65</v>
      </c>
      <c r="E56" s="2284">
        <v>8.64</v>
      </c>
      <c r="F56" s="2284">
        <v>9.36</v>
      </c>
      <c r="G56" s="2284">
        <v>9.9</v>
      </c>
      <c r="H56" s="2284">
        <v>10.53</v>
      </c>
      <c r="I56" s="2284">
        <v>0</v>
      </c>
      <c r="J56" s="2284">
        <v>0</v>
      </c>
      <c r="L56" s="2284"/>
      <c r="M56" s="2285"/>
      <c r="N56" s="2284"/>
      <c r="O56" s="2284"/>
      <c r="P56" s="2284"/>
      <c r="Q56" s="2284"/>
      <c r="R56" s="2284"/>
      <c r="S56" s="2284"/>
      <c r="T56" s="2284"/>
      <c r="U56" s="2284"/>
      <c r="V56" s="2284"/>
      <c r="W56" s="2284"/>
      <c r="X56" s="2284"/>
      <c r="Y56" s="2284"/>
      <c r="Z56" s="2284"/>
    </row>
    <row r="57" spans="2:26">
      <c r="B57" s="2284"/>
      <c r="C57" s="2285">
        <v>35300</v>
      </c>
      <c r="D57" s="2284">
        <v>9.18</v>
      </c>
      <c r="E57" s="2284">
        <v>10.08</v>
      </c>
      <c r="F57" s="2284">
        <v>10.98</v>
      </c>
      <c r="G57" s="2284">
        <v>11.7</v>
      </c>
      <c r="H57" s="2284">
        <v>12.42</v>
      </c>
      <c r="I57" s="2284">
        <v>0</v>
      </c>
      <c r="J57" s="2284">
        <v>0</v>
      </c>
      <c r="L57" s="2284"/>
      <c r="M57" s="2285"/>
      <c r="N57" s="2284"/>
      <c r="O57" s="2284"/>
      <c r="P57" s="2284"/>
      <c r="Q57" s="2284"/>
      <c r="R57" s="2284"/>
      <c r="S57" s="2284"/>
      <c r="T57" s="2284"/>
      <c r="U57" s="2284"/>
      <c r="V57" s="2284"/>
      <c r="W57" s="2284"/>
      <c r="X57" s="2284"/>
      <c r="Y57" s="2284"/>
      <c r="Z57" s="2284"/>
    </row>
    <row r="58" spans="2:26">
      <c r="B58" s="2284"/>
      <c r="C58" s="2285">
        <v>35186</v>
      </c>
      <c r="D58" s="2284">
        <v>9.7200000000000006</v>
      </c>
      <c r="E58" s="2284">
        <v>10.98</v>
      </c>
      <c r="F58" s="2284">
        <v>13.14</v>
      </c>
      <c r="G58" s="2284">
        <v>14.94</v>
      </c>
      <c r="H58" s="2284">
        <v>15.12</v>
      </c>
      <c r="I58" s="2284">
        <v>0</v>
      </c>
      <c r="J58" s="2284">
        <v>0</v>
      </c>
    </row>
    <row r="59" spans="2:26">
      <c r="B59" s="2284"/>
      <c r="C59" s="2285">
        <v>34881</v>
      </c>
      <c r="D59" s="2284">
        <v>10.08</v>
      </c>
      <c r="E59" s="2284">
        <v>12.06</v>
      </c>
      <c r="F59" s="2284">
        <v>13.5</v>
      </c>
      <c r="G59" s="2284">
        <v>15.12</v>
      </c>
      <c r="H59" s="2284">
        <v>15.3</v>
      </c>
      <c r="I59" s="2284">
        <v>0</v>
      </c>
      <c r="J59" s="2284">
        <v>0</v>
      </c>
    </row>
    <row r="60" spans="2:26">
      <c r="B60" s="2284"/>
      <c r="C60" s="2285">
        <v>34700</v>
      </c>
      <c r="D60" s="2284">
        <v>9</v>
      </c>
      <c r="E60" s="2284">
        <v>10.98</v>
      </c>
      <c r="F60" s="2284">
        <v>12.96</v>
      </c>
      <c r="G60" s="2284">
        <v>14.58</v>
      </c>
      <c r="H60" s="2284">
        <v>14.76</v>
      </c>
      <c r="I60" s="2284">
        <v>0</v>
      </c>
      <c r="J60" s="2284">
        <v>0</v>
      </c>
    </row>
    <row r="61" spans="2:26">
      <c r="B61" s="2284"/>
      <c r="C61" s="2285">
        <v>34161</v>
      </c>
      <c r="D61" s="2284">
        <v>9</v>
      </c>
      <c r="E61" s="2284">
        <v>10.98</v>
      </c>
      <c r="F61" s="2284">
        <v>12.24</v>
      </c>
      <c r="G61" s="2284">
        <v>13.86</v>
      </c>
      <c r="H61" s="2284">
        <v>14.04</v>
      </c>
      <c r="I61" s="2284">
        <v>0</v>
      </c>
      <c r="J61" s="2284">
        <v>0</v>
      </c>
    </row>
    <row r="62" spans="2:26">
      <c r="B62" s="2284"/>
      <c r="C62" s="2285">
        <v>34104</v>
      </c>
      <c r="D62" s="2284">
        <v>8.82</v>
      </c>
      <c r="E62" s="2284">
        <v>9.36</v>
      </c>
      <c r="F62" s="2284">
        <v>10.8</v>
      </c>
      <c r="G62" s="2284">
        <v>12.06</v>
      </c>
      <c r="H62" s="2284">
        <v>12.24</v>
      </c>
      <c r="I62" s="2284">
        <v>0</v>
      </c>
      <c r="J62" s="2284">
        <v>0</v>
      </c>
    </row>
    <row r="63" spans="2:26">
      <c r="B63" s="2284"/>
      <c r="C63" s="2285">
        <v>33349</v>
      </c>
      <c r="D63" s="2284">
        <v>8.1</v>
      </c>
      <c r="E63" s="2284">
        <v>8.64</v>
      </c>
      <c r="F63" s="2284">
        <v>9</v>
      </c>
      <c r="G63" s="2284">
        <v>9.5399999999999991</v>
      </c>
      <c r="H63" s="2284">
        <v>9.7200000000000006</v>
      </c>
      <c r="I63" s="2284">
        <v>0</v>
      </c>
      <c r="J63" s="2284">
        <v>0</v>
      </c>
    </row>
    <row r="64" spans="2:26">
      <c r="B64" s="2284"/>
      <c r="C64" s="2285">
        <v>33318</v>
      </c>
      <c r="D64" s="2284">
        <v>9</v>
      </c>
      <c r="E64" s="2284">
        <v>10.08</v>
      </c>
      <c r="F64" s="2284">
        <v>10.8</v>
      </c>
      <c r="G64" s="2284">
        <v>11.52</v>
      </c>
      <c r="H64" s="2284">
        <v>11.88</v>
      </c>
      <c r="I64" s="2284" t="s">
        <v>2095</v>
      </c>
      <c r="J64" s="2284" t="s">
        <v>2095</v>
      </c>
    </row>
    <row r="65" spans="2:10">
      <c r="B65" s="2284"/>
      <c r="C65" s="2285">
        <v>33106</v>
      </c>
      <c r="D65" s="2284">
        <v>8.64</v>
      </c>
      <c r="E65" s="2284">
        <v>9.36</v>
      </c>
      <c r="F65" s="2284">
        <v>10.08</v>
      </c>
      <c r="G65" s="2284">
        <v>10.8</v>
      </c>
      <c r="H65" s="2284">
        <v>11.16</v>
      </c>
      <c r="I65" s="2284">
        <v>0</v>
      </c>
      <c r="J65" s="2284">
        <v>0</v>
      </c>
    </row>
    <row r="66" spans="2:10">
      <c r="B66" s="2284"/>
      <c r="C66" s="2285">
        <v>32540</v>
      </c>
      <c r="D66" s="2284">
        <v>11.34</v>
      </c>
      <c r="E66" s="2284">
        <v>11.34</v>
      </c>
      <c r="F66" s="2284">
        <v>12.78</v>
      </c>
      <c r="G66" s="2284">
        <v>14.4</v>
      </c>
      <c r="H66" s="2284">
        <v>19.260000000000002</v>
      </c>
      <c r="I66" s="2284">
        <v>0</v>
      </c>
      <c r="J66" s="2284">
        <v>0</v>
      </c>
    </row>
    <row r="67" spans="2:10">
      <c r="B67" s="2284"/>
      <c r="C67" s="2285"/>
      <c r="D67" s="2284"/>
      <c r="E67" s="2284"/>
      <c r="F67" s="2284"/>
      <c r="G67" s="2284"/>
      <c r="H67" s="2284"/>
      <c r="I67" s="2284"/>
      <c r="J67" s="2284"/>
    </row>
    <row r="68" spans="2:10">
      <c r="B68" s="2287"/>
      <c r="C68" s="2288"/>
      <c r="D68" s="2287"/>
      <c r="E68" s="2287"/>
      <c r="F68" s="2287"/>
      <c r="G68" s="2287"/>
      <c r="H68" s="2287"/>
      <c r="I68" s="2287"/>
      <c r="J68" s="2287"/>
    </row>
    <row r="69" spans="2:10">
      <c r="B69" s="2287"/>
      <c r="C69" s="2288"/>
      <c r="D69" s="2287"/>
      <c r="E69" s="2287"/>
      <c r="F69" s="2287"/>
      <c r="G69" s="2287"/>
      <c r="H69" s="2287"/>
      <c r="I69" s="2287"/>
      <c r="J69" s="2287"/>
    </row>
    <row r="70" spans="2:10">
      <c r="B70" s="2287"/>
      <c r="C70" s="2288"/>
      <c r="D70" s="2287"/>
      <c r="E70" s="2287"/>
      <c r="F70" s="2287"/>
      <c r="G70" s="2287"/>
      <c r="H70" s="2287"/>
      <c r="I70" s="2287"/>
      <c r="J70" s="2287"/>
    </row>
    <row r="71" spans="2:10">
      <c r="B71" s="2237"/>
      <c r="C71" s="2237"/>
      <c r="D71" s="2237"/>
      <c r="E71" s="2237"/>
      <c r="F71" s="2237"/>
      <c r="G71" s="2237"/>
      <c r="H71" s="2237"/>
      <c r="I71" s="2237"/>
      <c r="J71" s="2237"/>
    </row>
    <row r="72" spans="2:10">
      <c r="B72" s="2237"/>
      <c r="C72" s="2237"/>
      <c r="D72" s="2237"/>
      <c r="E72" s="2237"/>
      <c r="F72" s="2237"/>
      <c r="G72" s="2237"/>
      <c r="H72" s="2237"/>
      <c r="I72" s="2237"/>
      <c r="J72" s="2237"/>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15" t="s">
        <v>1556</v>
      </c>
      <c r="B1" s="3415"/>
      <c r="C1" s="3415"/>
      <c r="D1" s="3415"/>
      <c r="E1" s="3415"/>
      <c r="F1" s="3415"/>
      <c r="G1" s="3415"/>
      <c r="H1" s="3415"/>
      <c r="I1" s="3415"/>
      <c r="J1" s="3415"/>
      <c r="K1" s="3415"/>
      <c r="L1" s="3415"/>
      <c r="M1" s="3415"/>
      <c r="N1" s="3415"/>
      <c r="O1" s="3415"/>
      <c r="P1" s="3415"/>
      <c r="Q1" s="3415"/>
      <c r="R1" s="3415"/>
    </row>
    <row r="2" spans="1:18">
      <c r="A2" s="1502" t="s">
        <v>1558</v>
      </c>
      <c r="B2" s="1502"/>
      <c r="C2" s="1502"/>
      <c r="D2" s="1502"/>
      <c r="E2" s="1502"/>
      <c r="F2" s="1502"/>
      <c r="G2" s="1502"/>
      <c r="H2" s="1502"/>
      <c r="I2" s="1503"/>
      <c r="J2" s="1503"/>
      <c r="K2" s="1504" t="str">
        <f>"估价期日："&amp;TEXT(项目基本情况!D3,"yyyy年m月d日;;")</f>
        <v>估价期日：2023年5月11日</v>
      </c>
      <c r="L2" s="1502"/>
      <c r="M2" s="1502"/>
      <c r="N2" s="1502"/>
      <c r="O2" s="1502"/>
      <c r="P2" s="1502"/>
      <c r="Q2" s="1502"/>
      <c r="R2" s="1504" t="str">
        <f>"估价期日的国有建设用地使用权性质："&amp;项目基本情况!A17</f>
        <v>估价期日的国有建设用地使用权性质：出让</v>
      </c>
    </row>
    <row r="3" spans="1:18" ht="23.25" customHeight="1">
      <c r="A3" s="3416" t="s">
        <v>1547</v>
      </c>
      <c r="B3" s="3416" t="s">
        <v>2013</v>
      </c>
      <c r="C3" s="3417" t="s">
        <v>1548</v>
      </c>
      <c r="D3" s="3416" t="s">
        <v>2017</v>
      </c>
      <c r="E3" s="3411" t="s">
        <v>1549</v>
      </c>
      <c r="F3" s="3411"/>
      <c r="G3" s="3411"/>
      <c r="H3" s="3411" t="s">
        <v>1550</v>
      </c>
      <c r="I3" s="3411"/>
      <c r="J3" s="3411"/>
      <c r="K3" s="3417" t="s">
        <v>1551</v>
      </c>
      <c r="L3" s="3417" t="s">
        <v>1552</v>
      </c>
      <c r="M3" s="3416" t="s">
        <v>2014</v>
      </c>
      <c r="N3" s="3416" t="str">
        <f>"（分摊）"&amp;项目基本情况!A17&amp;"国有建设用地使用权面积/㎡"</f>
        <v>（分摊）出让国有建设用地使用权面积/㎡</v>
      </c>
      <c r="O3" s="3416" t="s">
        <v>1581</v>
      </c>
      <c r="P3" s="3417" t="s">
        <v>1561</v>
      </c>
      <c r="Q3" s="3417" t="s">
        <v>1582</v>
      </c>
      <c r="R3" s="3417" t="s">
        <v>1553</v>
      </c>
    </row>
    <row r="4" spans="1:18" ht="36.75" customHeight="1">
      <c r="A4" s="3416"/>
      <c r="B4" s="3416"/>
      <c r="C4" s="3417"/>
      <c r="D4" s="3416"/>
      <c r="E4" s="1505" t="s">
        <v>1560</v>
      </c>
      <c r="F4" s="1505" t="s">
        <v>2026</v>
      </c>
      <c r="G4" s="1505" t="s">
        <v>1554</v>
      </c>
      <c r="H4" s="1505" t="s">
        <v>1555</v>
      </c>
      <c r="I4" s="1505" t="s">
        <v>2027</v>
      </c>
      <c r="J4" s="1505" t="s">
        <v>1554</v>
      </c>
      <c r="K4" s="3417"/>
      <c r="L4" s="3417"/>
      <c r="M4" s="3416"/>
      <c r="N4" s="3416"/>
      <c r="O4" s="3416"/>
      <c r="P4" s="3417"/>
      <c r="Q4" s="3417"/>
      <c r="R4" s="3417"/>
    </row>
    <row r="5" spans="1:18" ht="135" customHeight="1">
      <c r="A5" s="1602" t="s">
        <v>1937</v>
      </c>
      <c r="B5" s="2172" t="s">
        <v>1935</v>
      </c>
      <c r="C5" s="2089">
        <v>22</v>
      </c>
      <c r="D5" s="2088" t="s">
        <v>1936</v>
      </c>
      <c r="E5" s="1505">
        <f>项目基本情况!B12</f>
        <v>0</v>
      </c>
      <c r="F5" s="2088">
        <v>258</v>
      </c>
      <c r="G5" s="1505">
        <f>项目基本情况!B13</f>
        <v>0</v>
      </c>
      <c r="H5" s="2088">
        <v>1.5</v>
      </c>
      <c r="I5" s="2088">
        <v>1.5</v>
      </c>
      <c r="J5" s="2088">
        <v>1.5</v>
      </c>
      <c r="K5" s="1505" t="str">
        <f>"红线外"&amp;项目基本情况!T40&amp;"、宗地红线内"&amp;项目基本情况!B35</f>
        <v>红线外七通、宗地红线内</v>
      </c>
      <c r="L5" s="1505" t="str">
        <f>"红线外"&amp;项目基本情况!T40&amp;"、宗地红线内场地"&amp;项目基本情况!D36</f>
        <v>红线外七通、宗地红线内场地</v>
      </c>
      <c r="M5" s="1505">
        <f>IF(项目基本情况!A17="出让",项目基本情况!D20,"——")</f>
        <v>0</v>
      </c>
      <c r="N5" s="1505">
        <f>项目基本情况!C22</f>
        <v>86493.04</v>
      </c>
      <c r="O5" s="1505">
        <f>项目基本情况!C21</f>
        <v>302725.5</v>
      </c>
      <c r="P5" s="1505">
        <f ca="1">结果表!E42</f>
        <v>5560</v>
      </c>
      <c r="Q5" s="1505">
        <f ca="1">结果表!D42</f>
        <v>1589</v>
      </c>
      <c r="R5" s="1506">
        <f ca="1">结果表!C42</f>
        <v>48091</v>
      </c>
    </row>
    <row r="6" spans="1:18">
      <c r="A6" s="3412" t="str">
        <f>IF(项目基本情况!B9="市场价格","——","抵押价格")</f>
        <v>抵押价格</v>
      </c>
      <c r="B6" s="3413"/>
      <c r="C6" s="3413"/>
      <c r="D6" s="3413"/>
      <c r="E6" s="3413"/>
      <c r="F6" s="3413"/>
      <c r="G6" s="3413"/>
      <c r="H6" s="3413"/>
      <c r="I6" s="3413"/>
      <c r="J6" s="3413"/>
      <c r="K6" s="3413"/>
      <c r="L6" s="3413"/>
      <c r="M6" s="3413"/>
      <c r="N6" s="3413"/>
      <c r="O6" s="3413"/>
      <c r="P6" s="3413"/>
      <c r="Q6" s="3414"/>
      <c r="R6" s="1507">
        <f ca="1">结果表!O39</f>
        <v>48091</v>
      </c>
    </row>
    <row r="7" spans="1:18">
      <c r="A7" s="3412" t="str">
        <f>IF(项目基本情况!B9="市场价格","——",IF(项目基本情况!E8="已注销及未注销","抵押担保权已注销时的抵押价格","——"))</f>
        <v>——</v>
      </c>
      <c r="B7" s="3413"/>
      <c r="C7" s="3413"/>
      <c r="D7" s="3413"/>
      <c r="E7" s="3413"/>
      <c r="F7" s="3413"/>
      <c r="G7" s="3413"/>
      <c r="H7" s="3413"/>
      <c r="I7" s="3413"/>
      <c r="J7" s="3413"/>
      <c r="K7" s="3413"/>
      <c r="L7" s="3413"/>
      <c r="M7" s="3413"/>
      <c r="N7" s="3413"/>
      <c r="O7" s="3413"/>
      <c r="P7" s="3413"/>
      <c r="Q7" s="3414"/>
      <c r="R7" s="1507" t="str">
        <f>结果表!O40</f>
        <v>——</v>
      </c>
    </row>
    <row r="8" spans="1:18">
      <c r="A8" s="3412" t="str">
        <f>IF(项目基本情况!B9="市场价格","——",项目基本情况!E9)</f>
        <v>——</v>
      </c>
      <c r="B8" s="3413"/>
      <c r="C8" s="3413"/>
      <c r="D8" s="3413"/>
      <c r="E8" s="3413"/>
      <c r="F8" s="3413"/>
      <c r="G8" s="3413"/>
      <c r="H8" s="3413"/>
      <c r="I8" s="3413"/>
      <c r="J8" s="3413"/>
      <c r="K8" s="3413"/>
      <c r="L8" s="3413"/>
      <c r="M8" s="3413"/>
      <c r="N8" s="3413"/>
      <c r="O8" s="3413"/>
      <c r="P8" s="3413"/>
      <c r="Q8" s="3414"/>
      <c r="R8" s="1507" t="str">
        <f>结果表!O41</f>
        <v>——</v>
      </c>
    </row>
    <row r="9" spans="1:18">
      <c r="A9" s="1508" t="s">
        <v>1559</v>
      </c>
      <c r="B9" s="1502"/>
      <c r="C9" s="1502"/>
      <c r="D9" s="1502"/>
      <c r="E9" s="1502"/>
      <c r="F9" s="1502"/>
      <c r="G9" s="1502"/>
      <c r="H9" s="1502"/>
      <c r="I9" s="1502"/>
      <c r="J9" s="1502"/>
      <c r="K9" s="1502"/>
      <c r="L9" s="1502"/>
      <c r="M9" s="1502"/>
      <c r="N9" s="1502"/>
      <c r="O9" s="1502"/>
      <c r="P9" s="1502"/>
      <c r="Q9" s="1502"/>
      <c r="R9" s="1502"/>
    </row>
    <row r="10" spans="1:18">
      <c r="A10" s="1503"/>
      <c r="B10" s="1502"/>
      <c r="C10" s="1502"/>
      <c r="D10" s="1502"/>
      <c r="E10" s="1502"/>
      <c r="F10" s="1502"/>
      <c r="G10" s="1502"/>
      <c r="H10" s="1502"/>
      <c r="I10" s="1502"/>
      <c r="J10" s="1502"/>
      <c r="K10" s="1502"/>
      <c r="L10" s="1502"/>
      <c r="M10" s="1502"/>
      <c r="N10" s="1502"/>
      <c r="O10" s="1502"/>
      <c r="P10" s="1502"/>
      <c r="Q10" s="1502"/>
      <c r="R10" s="1502"/>
    </row>
    <row r="11" spans="1:18">
      <c r="A11" s="1503" t="s">
        <v>1546</v>
      </c>
      <c r="B11" s="1509"/>
      <c r="C11" s="1509"/>
      <c r="D11" s="1509"/>
      <c r="E11" s="1509"/>
      <c r="F11" s="1509"/>
      <c r="G11" s="1509"/>
      <c r="H11" s="1509"/>
      <c r="I11" s="1509"/>
      <c r="J11" s="1509"/>
      <c r="K11" s="1509"/>
      <c r="L11" s="1509"/>
      <c r="M11" s="1509"/>
      <c r="N11" s="1509"/>
      <c r="O11" s="1509"/>
      <c r="P11" s="1509"/>
      <c r="Q11" s="1509"/>
      <c r="R11" s="15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0"/>
    </row>
    <row r="16" spans="1:18">
      <c r="A16" s="1490"/>
    </row>
    <row r="17" spans="1:1">
      <c r="A17" s="1490"/>
    </row>
    <row r="18" spans="1:1">
      <c r="A18" s="1490"/>
    </row>
    <row r="19" spans="1:1">
      <c r="A19" s="1490"/>
    </row>
    <row r="20" spans="1:1">
      <c r="A20" s="1489"/>
    </row>
    <row r="21" spans="1:1">
      <c r="A21" s="1489"/>
    </row>
    <row r="22" spans="1:1">
      <c r="A22" s="1490"/>
    </row>
    <row r="23" spans="1:1">
      <c r="A23" s="1490"/>
    </row>
    <row r="24" spans="1:1">
      <c r="A24" s="1490"/>
    </row>
    <row r="25" spans="1:1">
      <c r="A25" s="1490"/>
    </row>
    <row r="26" spans="1:1">
      <c r="A26" s="1490"/>
    </row>
    <row r="27" spans="1:1">
      <c r="A27" s="1490"/>
    </row>
    <row r="28" spans="1:1">
      <c r="A28" s="1490"/>
    </row>
    <row r="29" spans="1:1">
      <c r="A29" s="1490"/>
    </row>
    <row r="30" spans="1:1">
      <c r="A30" s="1490"/>
    </row>
    <row r="31" spans="1:1">
      <c r="A31" s="1490"/>
    </row>
    <row r="32" spans="1:1">
      <c r="A32" s="1490"/>
    </row>
    <row r="33" spans="1:1">
      <c r="A33" s="1490"/>
    </row>
    <row r="34" spans="1:1">
      <c r="A34" s="1490"/>
    </row>
    <row r="35" spans="1:1">
      <c r="A35" s="1490"/>
    </row>
    <row r="36" spans="1:1">
      <c r="A36" s="1490"/>
    </row>
    <row r="37" spans="1:1">
      <c r="A37" s="1490"/>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7" customWidth="1"/>
    <col min="2" max="3" width="21.375" style="1497" customWidth="1"/>
    <col min="4" max="4" width="19.875" style="1497" customWidth="1"/>
    <col min="5" max="16384" width="9" style="1497"/>
  </cols>
  <sheetData>
    <row r="1" spans="1:4">
      <c r="A1" s="3418" t="s">
        <v>1583</v>
      </c>
      <c r="B1" s="3418"/>
      <c r="C1" s="3418"/>
      <c r="D1" s="3418"/>
    </row>
    <row r="2" spans="1:4" ht="47.25" customHeight="1">
      <c r="A2" s="3421" t="str">
        <f>"1.权利限制："&amp;项目基本情况!L24&amp;"未设定租赁等其他他项权利。"</f>
        <v>1.权利限制：根据估价对象《不动产权证书》原件、《国有土地使用权》复印件，截至估价期日，估价对象抵押权未见登记。未设定租赁等其他他项权利。</v>
      </c>
      <c r="B2" s="3421"/>
      <c r="C2" s="3421"/>
      <c r="D2" s="3421"/>
    </row>
    <row r="3" spans="1:4" ht="48" customHeight="1">
      <c r="A3" s="341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18"/>
      <c r="C3" s="3418"/>
      <c r="D3" s="3418"/>
    </row>
    <row r="4" spans="1:4" ht="36.75" customHeight="1">
      <c r="A4" s="3418" t="str">
        <f>"3.估价规划限制条件：详见"&amp;项目基本情况!E21&amp;"。"</f>
        <v>3.估价规划限制条件：详见《建设工程规划许可证》[]、《出让合同》[]。</v>
      </c>
      <c r="B4" s="3418"/>
      <c r="C4" s="3418"/>
      <c r="D4" s="3418"/>
    </row>
    <row r="5" spans="1:4">
      <c r="A5" s="3420" t="s">
        <v>1584</v>
      </c>
      <c r="B5" s="3420"/>
      <c r="C5" s="3420"/>
      <c r="D5" s="3420"/>
    </row>
    <row r="6" spans="1:4">
      <c r="A6" s="3418" t="s">
        <v>1562</v>
      </c>
      <c r="B6" s="3418"/>
      <c r="C6" s="3418"/>
      <c r="D6" s="3418"/>
    </row>
    <row r="7" spans="1:4" ht="33" customHeight="1">
      <c r="A7" s="3418" t="s">
        <v>1857</v>
      </c>
      <c r="B7" s="3418"/>
      <c r="C7" s="3418"/>
      <c r="D7" s="3418"/>
    </row>
    <row r="8" spans="1:4" ht="32.25" customHeight="1">
      <c r="A8" s="341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18"/>
      <c r="C8" s="3418"/>
      <c r="D8" s="3418"/>
    </row>
    <row r="9" spans="1:4" ht="33.75" customHeight="1">
      <c r="A9" s="341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18"/>
      <c r="C9" s="3418"/>
      <c r="D9" s="3418"/>
    </row>
    <row r="10" spans="1:4">
      <c r="A10" s="3418" t="str">
        <f>IF(项目基本情况!B8="抵押","4.估价师所知悉的法定优先受偿款情况为：","——")</f>
        <v>4.估价师所知悉的法定优先受偿款情况为：</v>
      </c>
      <c r="B10" s="3418"/>
      <c r="C10" s="3418"/>
      <c r="D10" s="3418"/>
    </row>
    <row r="11" spans="1:4" ht="37.5" customHeight="1">
      <c r="A11" s="341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18"/>
      <c r="C11" s="3418"/>
      <c r="D11" s="3418"/>
    </row>
    <row r="12" spans="1:4" ht="168" customHeight="1">
      <c r="A12" s="3420" t="s">
        <v>1586</v>
      </c>
      <c r="B12" s="3420"/>
      <c r="C12" s="3420"/>
      <c r="D12" s="3420"/>
    </row>
    <row r="13" spans="1:4">
      <c r="A13" s="3419" t="s">
        <v>2028</v>
      </c>
      <c r="B13" s="3419"/>
      <c r="C13" s="3419"/>
      <c r="D13" s="3419"/>
    </row>
    <row r="14" spans="1:4">
      <c r="A14" s="3418" t="str">
        <f>IF(项目基本情况!B8="抵押","综上，"&amp;结果表!K47,"——")</f>
        <v>综上，本次评估不存在估价师知悉的法定优先受偿款</v>
      </c>
      <c r="B14" s="3418"/>
      <c r="C14" s="3418"/>
      <c r="D14" s="3418"/>
    </row>
    <row r="15" spans="1:4" ht="58.5" customHeight="1">
      <c r="A15" s="341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18"/>
      <c r="C15" s="3418"/>
      <c r="D15" s="3418"/>
    </row>
    <row r="16" spans="1:4" ht="70.5" customHeight="1">
      <c r="A16" s="341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18"/>
      <c r="C16" s="3418"/>
      <c r="D16" s="3418"/>
    </row>
    <row r="17" spans="1:4">
      <c r="A17" s="3418" t="s">
        <v>1984</v>
      </c>
      <c r="B17" s="3418"/>
      <c r="C17" s="3418"/>
      <c r="D17" s="3418"/>
    </row>
    <row r="18" spans="1:4">
      <c r="A18" s="3418" t="s">
        <v>1976</v>
      </c>
      <c r="B18" s="3418"/>
      <c r="C18" s="3418"/>
      <c r="D18" s="3418"/>
    </row>
    <row r="19" spans="1:4">
      <c r="A19" s="2173" t="s">
        <v>1977</v>
      </c>
      <c r="B19" s="2173" t="s">
        <v>1978</v>
      </c>
      <c r="C19" s="2173" t="s">
        <v>1979</v>
      </c>
      <c r="D19" s="2173" t="s">
        <v>1980</v>
      </c>
    </row>
    <row r="20" spans="1:4">
      <c r="A20" s="2173" t="str">
        <f>项目基本情况!B4</f>
        <v>王鹏</v>
      </c>
      <c r="B20" s="2173">
        <f ca="1">项目基本情况!C4</f>
        <v>2002110030</v>
      </c>
      <c r="C20" s="2175"/>
      <c r="D20" s="1496" t="s">
        <v>1985</v>
      </c>
    </row>
    <row r="21" spans="1:4">
      <c r="A21" s="2173" t="str">
        <f>项目基本情况!D4</f>
        <v>郑燚</v>
      </c>
      <c r="B21" s="2173">
        <f ca="1">项目基本情况!E4</f>
        <v>2014110011</v>
      </c>
      <c r="C21" s="2175"/>
      <c r="D21" s="1496" t="s">
        <v>1986</v>
      </c>
    </row>
    <row r="23" spans="1:4">
      <c r="A23" s="3418" t="s">
        <v>1981</v>
      </c>
      <c r="B23" s="3418"/>
      <c r="C23" s="3418"/>
      <c r="D23" s="3418"/>
    </row>
    <row r="24" spans="1:4">
      <c r="A24" s="2173" t="s">
        <v>1977</v>
      </c>
      <c r="B24" s="2173" t="s">
        <v>1982</v>
      </c>
      <c r="C24" s="2173" t="s">
        <v>1979</v>
      </c>
      <c r="D24" s="2173" t="s">
        <v>1980</v>
      </c>
    </row>
    <row r="25" spans="1:4">
      <c r="A25" s="2176" t="s">
        <v>1983</v>
      </c>
      <c r="B25" s="2173" t="s">
        <v>877</v>
      </c>
      <c r="C25" s="2175"/>
      <c r="D25" s="1496" t="s">
        <v>1986</v>
      </c>
    </row>
    <row r="29" spans="1:4">
      <c r="D29" s="2174" t="s">
        <v>1557</v>
      </c>
    </row>
    <row r="30" spans="1:4">
      <c r="D30" s="2177">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09" customWidth="1"/>
    <col min="2" max="16384" width="14.5" style="1007"/>
  </cols>
  <sheetData>
    <row r="1" spans="1:7" s="1005" customFormat="1" ht="18.75">
      <c r="A1" s="1004" t="s">
        <v>39</v>
      </c>
    </row>
    <row r="3" spans="1:7" ht="14.25">
      <c r="A3" s="1006" t="s">
        <v>40</v>
      </c>
      <c r="B3" s="1007" t="s">
        <v>41</v>
      </c>
      <c r="G3" s="1008"/>
    </row>
    <row r="4" spans="1:7">
      <c r="G4" s="1008"/>
    </row>
    <row r="5" spans="1:7" ht="14.25">
      <c r="A5" s="1010" t="s">
        <v>19</v>
      </c>
      <c r="B5" s="1007" t="s">
        <v>20</v>
      </c>
      <c r="G5" s="1008"/>
    </row>
    <row r="6" spans="1:7">
      <c r="G6" s="1008"/>
    </row>
    <row r="7" spans="1:7" ht="14.25">
      <c r="A7" s="1011" t="s">
        <v>21</v>
      </c>
      <c r="B7" s="1007" t="s">
        <v>22</v>
      </c>
      <c r="G7" s="1008"/>
    </row>
    <row r="8" spans="1:7">
      <c r="G8" s="1008"/>
    </row>
    <row r="9" spans="1:7">
      <c r="A9" s="1012" t="s">
        <v>23</v>
      </c>
      <c r="B9" s="1007" t="s">
        <v>24</v>
      </c>
    </row>
    <row r="11" spans="1:7">
      <c r="A11" s="1013" t="s">
        <v>25</v>
      </c>
      <c r="B11" s="1014" t="s">
        <v>809</v>
      </c>
    </row>
    <row r="13" spans="1:7">
      <c r="A13" s="1015" t="s">
        <v>26</v>
      </c>
    </row>
    <row r="15" spans="1:7" ht="14.25">
      <c r="A15" s="3429" t="s">
        <v>27</v>
      </c>
      <c r="B15" s="3430" t="s">
        <v>784</v>
      </c>
      <c r="C15" s="3426"/>
    </row>
    <row r="16" spans="1:7" ht="14.25">
      <c r="A16" s="3429"/>
      <c r="B16" s="3427" t="s">
        <v>28</v>
      </c>
      <c r="C16" s="1016" t="s">
        <v>27</v>
      </c>
    </row>
    <row r="17" spans="1:3" ht="14.25">
      <c r="A17" s="3429"/>
      <c r="B17" s="3427"/>
      <c r="C17" s="1016" t="s">
        <v>29</v>
      </c>
    </row>
    <row r="18" spans="1:3" ht="14.25">
      <c r="A18" s="3429"/>
      <c r="B18" s="3427"/>
      <c r="C18" s="1016" t="s">
        <v>30</v>
      </c>
    </row>
    <row r="19" spans="1:3" ht="14.25">
      <c r="A19" s="3429"/>
      <c r="B19" s="3425" t="s">
        <v>31</v>
      </c>
      <c r="C19" s="3426"/>
    </row>
    <row r="20" spans="1:3" ht="14.25">
      <c r="A20" s="1017" t="s">
        <v>32</v>
      </c>
      <c r="B20" s="1018"/>
      <c r="C20" s="1019"/>
    </row>
    <row r="21" spans="1:3" ht="14.25">
      <c r="A21" s="3428" t="s">
        <v>33</v>
      </c>
      <c r="B21" s="3425" t="s">
        <v>34</v>
      </c>
      <c r="C21" s="3426"/>
    </row>
    <row r="22" spans="1:3" ht="14.25">
      <c r="A22" s="3428"/>
      <c r="B22" s="3425" t="s">
        <v>35</v>
      </c>
      <c r="C22" s="3426"/>
    </row>
    <row r="23" spans="1:3" ht="14.25">
      <c r="A23" s="3428"/>
      <c r="B23" s="3425" t="s">
        <v>36</v>
      </c>
      <c r="C23" s="3426"/>
    </row>
    <row r="24" spans="1:3" ht="14.25">
      <c r="A24" s="3428"/>
      <c r="B24" s="3431" t="s">
        <v>37</v>
      </c>
      <c r="C24" s="1020" t="s">
        <v>775</v>
      </c>
    </row>
    <row r="25" spans="1:3" ht="14.25">
      <c r="A25" s="3428"/>
      <c r="B25" s="3432"/>
      <c r="C25" s="1020" t="s">
        <v>776</v>
      </c>
    </row>
    <row r="26" spans="1:3" ht="14.25">
      <c r="A26" s="3428"/>
      <c r="B26" s="3432"/>
      <c r="C26" s="1020" t="s">
        <v>777</v>
      </c>
    </row>
    <row r="27" spans="1:3" ht="14.25">
      <c r="A27" s="3428"/>
      <c r="B27" s="3432"/>
      <c r="C27" s="1020" t="s">
        <v>778</v>
      </c>
    </row>
    <row r="28" spans="1:3" ht="14.25">
      <c r="A28" s="3428"/>
      <c r="B28" s="3432"/>
      <c r="C28" s="1020" t="s">
        <v>779</v>
      </c>
    </row>
    <row r="29" spans="1:3" ht="14.25">
      <c r="A29" s="3428"/>
      <c r="B29" s="3432"/>
      <c r="C29" s="1020" t="s">
        <v>780</v>
      </c>
    </row>
    <row r="30" spans="1:3" ht="14.25">
      <c r="A30" s="3428"/>
      <c r="B30" s="3432"/>
      <c r="C30" s="1020" t="s">
        <v>781</v>
      </c>
    </row>
    <row r="31" spans="1:3" ht="14.25">
      <c r="A31" s="3428"/>
      <c r="B31" s="3432"/>
      <c r="C31" s="1020" t="s">
        <v>782</v>
      </c>
    </row>
    <row r="32" spans="1:3" ht="14.25">
      <c r="A32" s="3428"/>
      <c r="B32" s="3432"/>
      <c r="C32" s="1020" t="s">
        <v>1181</v>
      </c>
    </row>
    <row r="33" spans="1:3" ht="14.25">
      <c r="A33" s="3428"/>
      <c r="B33" s="3422" t="s">
        <v>1187</v>
      </c>
      <c r="C33" s="1020" t="s">
        <v>1182</v>
      </c>
    </row>
    <row r="34" spans="1:3" ht="14.25">
      <c r="A34" s="3428"/>
      <c r="B34" s="3423"/>
      <c r="C34" s="1025" t="s">
        <v>1183</v>
      </c>
    </row>
    <row r="35" spans="1:3" ht="14.25">
      <c r="A35" s="3428"/>
      <c r="B35" s="3423"/>
      <c r="C35" s="1026" t="s">
        <v>1184</v>
      </c>
    </row>
    <row r="36" spans="1:3" ht="14.25">
      <c r="A36" s="3428"/>
      <c r="B36" s="3423"/>
      <c r="C36" s="1026" t="s">
        <v>1185</v>
      </c>
    </row>
    <row r="37" spans="1:3" ht="14.25">
      <c r="A37" s="3428"/>
      <c r="B37" s="3424"/>
      <c r="C37" s="1027" t="s">
        <v>1186</v>
      </c>
    </row>
    <row r="38" spans="1:3">
      <c r="A38" s="1021" t="s">
        <v>783</v>
      </c>
    </row>
    <row r="41" spans="1:3">
      <c r="A41" s="1021" t="s">
        <v>42</v>
      </c>
    </row>
    <row r="42" spans="1:3" ht="14.25">
      <c r="A42" s="1022" t="s">
        <v>791</v>
      </c>
    </row>
    <row r="43" spans="1:3" ht="14.25">
      <c r="A43" s="1023" t="s">
        <v>43</v>
      </c>
    </row>
    <row r="44" spans="1:3" ht="14.25">
      <c r="A44" s="1022" t="s">
        <v>790</v>
      </c>
    </row>
    <row r="45" spans="1:3" ht="14.25">
      <c r="A45" s="1024" t="s">
        <v>792</v>
      </c>
    </row>
    <row r="46" spans="1:3" ht="14.25">
      <c r="A46" s="1023"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94" customWidth="1"/>
    <col min="2" max="2" width="22.75" style="2394" bestFit="1" customWidth="1"/>
    <col min="3" max="3" width="25.75" style="2394" bestFit="1" customWidth="1"/>
    <col min="4" max="4" width="22.625" style="2394"/>
    <col min="5" max="5" width="22.75" style="2394" bestFit="1" customWidth="1"/>
    <col min="6" max="6" width="25.625" style="2394" customWidth="1"/>
    <col min="7" max="16384" width="22.625" style="2394"/>
  </cols>
  <sheetData>
    <row r="1" spans="1:7" ht="20.25" customHeight="1">
      <c r="A1" s="2560"/>
      <c r="B1" s="2560"/>
      <c r="C1" s="2560"/>
      <c r="D1" s="2560"/>
      <c r="E1" s="2560"/>
      <c r="F1" s="2560"/>
      <c r="G1" s="2560"/>
    </row>
    <row r="2" spans="1:7" ht="20.25" customHeight="1">
      <c r="A2" s="2561" t="s">
        <v>1431</v>
      </c>
      <c r="B2" s="2562">
        <f ca="1">TODAY()</f>
        <v>45553</v>
      </c>
      <c r="C2" s="2563" t="s">
        <v>1432</v>
      </c>
      <c r="D2" s="2563"/>
      <c r="E2" s="2560"/>
      <c r="F2" s="2560"/>
      <c r="G2" s="2560"/>
    </row>
    <row r="3" spans="1:7" ht="20.25" customHeight="1">
      <c r="A3" s="2580" t="s">
        <v>1433</v>
      </c>
      <c r="B3" s="2565" t="s">
        <v>1434</v>
      </c>
      <c r="C3" s="2566" t="s">
        <v>1435</v>
      </c>
      <c r="D3" s="2581" t="s">
        <v>1436</v>
      </c>
      <c r="E3" s="2565" t="s">
        <v>1437</v>
      </c>
      <c r="F3" s="2565" t="s">
        <v>1435</v>
      </c>
      <c r="G3" s="2560"/>
    </row>
    <row r="4" spans="1:7" ht="20.25" customHeight="1">
      <c r="A4" s="2565" t="s">
        <v>1438</v>
      </c>
      <c r="B4" s="2565">
        <f ca="1">IF(C4&lt;B2,"已过期",1119970066)</f>
        <v>1119970066</v>
      </c>
      <c r="C4" s="2568">
        <v>45937</v>
      </c>
      <c r="D4" s="2574" t="s">
        <v>1438</v>
      </c>
      <c r="E4" s="2565">
        <f ca="1">IF(F4&lt;B2,"已过期",96010014)</f>
        <v>96010014</v>
      </c>
      <c r="F4" s="2567">
        <v>47118</v>
      </c>
      <c r="G4" s="2560"/>
    </row>
    <row r="5" spans="1:7" ht="20.25" customHeight="1">
      <c r="A5" s="2565" t="s">
        <v>1439</v>
      </c>
      <c r="B5" s="2565">
        <f ca="1">IF(C5&lt;B2,"已过期",1119970111)</f>
        <v>1119970111</v>
      </c>
      <c r="C5" s="2568">
        <v>45937</v>
      </c>
      <c r="D5" s="2574" t="s">
        <v>1439</v>
      </c>
      <c r="E5" s="2565">
        <f ca="1">IF(F5&lt;B2,"已过期",94010078)</f>
        <v>94010078</v>
      </c>
      <c r="F5" s="2567">
        <v>46387</v>
      </c>
      <c r="G5" s="2560"/>
    </row>
    <row r="6" spans="1:7" ht="20.25" customHeight="1">
      <c r="A6" s="2565" t="s">
        <v>1440</v>
      </c>
      <c r="B6" s="2565" t="str">
        <f ca="1">IF(C6&lt;B2,"已过期",1120050019)</f>
        <v>已过期</v>
      </c>
      <c r="C6" s="2568">
        <v>45410</v>
      </c>
      <c r="D6" s="2574" t="s">
        <v>1440</v>
      </c>
      <c r="E6" s="2565">
        <f ca="1">IF(F6&lt;B2,"已过期",2002110030)</f>
        <v>2002110030</v>
      </c>
      <c r="F6" s="2567">
        <v>46387</v>
      </c>
      <c r="G6" s="2560"/>
    </row>
    <row r="7" spans="1:7" ht="20.25" customHeight="1">
      <c r="A7" s="2565" t="s">
        <v>1441</v>
      </c>
      <c r="B7" s="2565">
        <f ca="1">IF(C7&lt;B2,"已过期",1120000080)</f>
        <v>1120000080</v>
      </c>
      <c r="C7" s="2568">
        <v>45937</v>
      </c>
      <c r="D7" s="2574" t="s">
        <v>1441</v>
      </c>
      <c r="E7" s="2565">
        <f ca="1">IF(F7&lt;B2,"已过期",2000110082)</f>
        <v>2000110082</v>
      </c>
      <c r="F7" s="2567">
        <v>46387</v>
      </c>
      <c r="G7" s="2560"/>
    </row>
    <row r="8" spans="1:7" ht="20.25" customHeight="1">
      <c r="A8" s="2565" t="s">
        <v>1442</v>
      </c>
      <c r="B8" s="2565">
        <f ca="1">IF(C8&lt;B2,"已过期",1419970001)</f>
        <v>1419970001</v>
      </c>
      <c r="C8" s="2568">
        <v>45937</v>
      </c>
      <c r="D8" s="2574" t="s">
        <v>1442</v>
      </c>
      <c r="E8" s="2565">
        <f ca="1">IF(F8&lt;B2,"已过期",2002110125)</f>
        <v>2002110125</v>
      </c>
      <c r="F8" s="2567">
        <v>47118</v>
      </c>
      <c r="G8" s="2560"/>
    </row>
    <row r="9" spans="1:7" ht="20.25" customHeight="1">
      <c r="A9" s="2565" t="s">
        <v>1443</v>
      </c>
      <c r="B9" s="2565">
        <f ca="1">IF(C9&lt;B2,"已过期",1120060040)</f>
        <v>1120060040</v>
      </c>
      <c r="C9" s="2568">
        <v>45592</v>
      </c>
      <c r="D9" s="2574" t="s">
        <v>1443</v>
      </c>
      <c r="E9" s="2565">
        <f ca="1">IF(F9&lt;B2,"已过期",2004110096)</f>
        <v>2004110096</v>
      </c>
      <c r="F9" s="2567">
        <v>47118</v>
      </c>
      <c r="G9" s="2560"/>
    </row>
    <row r="10" spans="1:7" ht="20.25" customHeight="1">
      <c r="A10" s="2565" t="s">
        <v>1444</v>
      </c>
      <c r="B10" s="2565">
        <f ca="1">IF(C10&lt;B2,"已过期",1120100036)</f>
        <v>1120100036</v>
      </c>
      <c r="C10" s="2568">
        <v>45752</v>
      </c>
      <c r="D10" s="2574" t="s">
        <v>1444</v>
      </c>
      <c r="E10" s="2565">
        <f ca="1">IF(F10&lt;B2,"已过期",2010110070)</f>
        <v>2010110070</v>
      </c>
      <c r="F10" s="2567">
        <v>47907</v>
      </c>
      <c r="G10" s="2560"/>
    </row>
    <row r="11" spans="1:7" ht="20.25" customHeight="1">
      <c r="A11" s="2565" t="s">
        <v>1445</v>
      </c>
      <c r="B11" s="2565">
        <f ca="1">IF(C11&lt;B2,"已过期",1120070131)</f>
        <v>1120070131</v>
      </c>
      <c r="C11" s="2568">
        <v>45937</v>
      </c>
      <c r="D11" s="2574" t="s">
        <v>1445</v>
      </c>
      <c r="E11" s="2565">
        <f ca="1">IF(F11&lt;B2,"已过期",2014110011)</f>
        <v>2014110011</v>
      </c>
      <c r="F11" s="2567">
        <v>49302</v>
      </c>
      <c r="G11" s="2560"/>
    </row>
    <row r="12" spans="1:7" ht="20.25" customHeight="1">
      <c r="A12" s="2565" t="s">
        <v>2234</v>
      </c>
      <c r="B12" s="2565">
        <f ca="1">IF(C12&lt;B2,"已过期",1120040230)</f>
        <v>1120040230</v>
      </c>
      <c r="C12" s="2568">
        <v>45937</v>
      </c>
      <c r="D12" s="2574" t="s">
        <v>2235</v>
      </c>
      <c r="E12" s="2565">
        <f ca="1">IF(F12&lt;B2,"已过期",98030020)</f>
        <v>98030020</v>
      </c>
      <c r="F12" s="2567">
        <v>47118</v>
      </c>
      <c r="G12" s="2560"/>
    </row>
    <row r="13" spans="1:7" ht="20.25" customHeight="1">
      <c r="A13" s="2565"/>
      <c r="B13" s="2565"/>
      <c r="C13" s="2568"/>
      <c r="D13" s="2574" t="s">
        <v>1446</v>
      </c>
      <c r="E13" s="2565">
        <f ca="1">IF(F13&lt;B2,"已过期",2011110090)</f>
        <v>2011110090</v>
      </c>
      <c r="F13" s="2567">
        <v>48302</v>
      </c>
      <c r="G13" s="2560"/>
    </row>
    <row r="14" spans="1:7" ht="20.25" customHeight="1">
      <c r="A14" s="2565" t="s">
        <v>1447</v>
      </c>
      <c r="B14" s="2565" t="str">
        <f ca="1">IF(C14&lt;B2,"已过期",1120020033)</f>
        <v>已过期</v>
      </c>
      <c r="C14" s="2568">
        <v>45375</v>
      </c>
      <c r="D14" s="2574" t="s">
        <v>1447</v>
      </c>
      <c r="E14" s="2565">
        <f ca="1">IF(F14&lt;B2,"已过期",2000110137)</f>
        <v>2000110137</v>
      </c>
      <c r="F14" s="2567">
        <v>46387</v>
      </c>
      <c r="G14" s="2560"/>
    </row>
    <row r="15" spans="1:7" ht="20.25" customHeight="1">
      <c r="A15" s="2565" t="s">
        <v>2245</v>
      </c>
      <c r="B15" s="2565" t="str">
        <f ca="1">IF(C15&lt;B2,"已过期",1119980106)</f>
        <v>已过期</v>
      </c>
      <c r="C15" s="2568">
        <v>44969</v>
      </c>
      <c r="D15" s="2574"/>
      <c r="E15" s="2565"/>
      <c r="F15" s="2565"/>
      <c r="G15" s="2560"/>
    </row>
    <row r="16" spans="1:7" ht="20.25" customHeight="1">
      <c r="A16" s="2564" t="s">
        <v>2445</v>
      </c>
      <c r="B16" s="2564">
        <v>1120210056</v>
      </c>
      <c r="C16" s="2568">
        <v>45410</v>
      </c>
      <c r="D16" s="2574"/>
      <c r="E16" s="2565"/>
      <c r="F16" s="2565"/>
      <c r="G16" s="2560"/>
    </row>
    <row r="17" spans="1:7" ht="20.25" customHeight="1">
      <c r="A17" s="2564" t="s">
        <v>1571</v>
      </c>
      <c r="B17" s="2564" t="s">
        <v>1571</v>
      </c>
      <c r="C17" s="2568"/>
      <c r="D17" s="2575" t="s">
        <v>1571</v>
      </c>
      <c r="E17" s="2565" t="s">
        <v>1571</v>
      </c>
      <c r="F17" s="2567"/>
      <c r="G17" s="2560"/>
    </row>
    <row r="18" spans="1:7" ht="20.25" customHeight="1">
      <c r="A18" s="3436" t="s">
        <v>1448</v>
      </c>
      <c r="B18" s="3437"/>
      <c r="C18" s="3437"/>
      <c r="D18" s="3437"/>
      <c r="E18" s="3437"/>
      <c r="F18" s="3437"/>
      <c r="G18" s="2560"/>
    </row>
    <row r="19" spans="1:7" ht="20.25" customHeight="1">
      <c r="A19" s="3433" t="s">
        <v>1449</v>
      </c>
      <c r="B19" s="3433"/>
      <c r="C19" s="3434"/>
      <c r="D19" s="3435" t="s">
        <v>1450</v>
      </c>
      <c r="E19" s="3433"/>
      <c r="F19" s="3433"/>
      <c r="G19" s="2560"/>
    </row>
    <row r="20" spans="1:7" s="2393" customFormat="1" ht="20.25" customHeight="1">
      <c r="A20" s="2569" t="s">
        <v>1451</v>
      </c>
      <c r="B20" s="2565" t="s">
        <v>1452</v>
      </c>
      <c r="C20" s="2566" t="s">
        <v>1453</v>
      </c>
      <c r="D20" s="2574" t="s">
        <v>1451</v>
      </c>
      <c r="E20" s="2565" t="s">
        <v>1452</v>
      </c>
      <c r="F20" s="2565" t="s">
        <v>1453</v>
      </c>
      <c r="G20" s="2561"/>
    </row>
    <row r="21" spans="1:7" s="2393" customFormat="1" ht="20.25" customHeight="1">
      <c r="A21" s="2570" t="s">
        <v>1454</v>
      </c>
      <c r="B21" s="2570" t="s">
        <v>1455</v>
      </c>
      <c r="C21" s="2576">
        <v>45898</v>
      </c>
      <c r="D21" s="2578" t="s">
        <v>1456</v>
      </c>
      <c r="E21" s="2570" t="s">
        <v>2446</v>
      </c>
      <c r="F21" s="2571">
        <v>44926</v>
      </c>
      <c r="G21" s="2561"/>
    </row>
    <row r="22" spans="1:7" s="2393" customFormat="1" ht="20.25" customHeight="1">
      <c r="A22" s="2570"/>
      <c r="B22" s="2570"/>
      <c r="C22" s="2577"/>
      <c r="D22" s="2578"/>
      <c r="E22" s="2570"/>
      <c r="F22" s="2571"/>
      <c r="G22" s="2561"/>
    </row>
    <row r="23" spans="1:7" ht="20.25" customHeight="1">
      <c r="A23" s="2560"/>
      <c r="B23" s="2560"/>
      <c r="C23" s="2572"/>
      <c r="D23" s="2579"/>
      <c r="E23" s="2560"/>
      <c r="F23" s="2573"/>
      <c r="G23" s="2560"/>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A48" sqref="A48"/>
    </sheetView>
  </sheetViews>
  <sheetFormatPr defaultColWidth="9" defaultRowHeight="14.25"/>
  <cols>
    <col min="1" max="1" width="10.375" style="1029" customWidth="1"/>
    <col min="2" max="2" width="18.875" style="1007"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7" customWidth="1"/>
    <col min="25" max="25" width="7.25" style="1007" customWidth="1"/>
    <col min="26" max="16384" width="9" style="1007"/>
  </cols>
  <sheetData>
    <row r="1" spans="1:23" s="1028" customFormat="1" ht="40.5">
      <c r="A1" s="881" t="s">
        <v>794</v>
      </c>
      <c r="B1" s="3" t="s">
        <v>99</v>
      </c>
      <c r="C1" s="1293" t="s">
        <v>1237</v>
      </c>
      <c r="D1" s="2048" t="s">
        <v>2758</v>
      </c>
      <c r="E1" s="4" t="s">
        <v>100</v>
      </c>
      <c r="F1" s="4" t="s">
        <v>101</v>
      </c>
      <c r="G1" s="4" t="s">
        <v>102</v>
      </c>
      <c r="H1" s="4" t="s">
        <v>103</v>
      </c>
      <c r="I1" s="4" t="s">
        <v>104</v>
      </c>
      <c r="J1" s="4" t="s">
        <v>105</v>
      </c>
      <c r="K1" s="4" t="s">
        <v>106</v>
      </c>
      <c r="L1" s="4" t="s">
        <v>107</v>
      </c>
      <c r="M1" s="4" t="s">
        <v>108</v>
      </c>
      <c r="N1" s="4" t="s">
        <v>109</v>
      </c>
      <c r="O1" s="4" t="s">
        <v>110</v>
      </c>
      <c r="P1" s="4" t="s">
        <v>111</v>
      </c>
      <c r="Q1" s="2048" t="s">
        <v>1828</v>
      </c>
      <c r="R1" s="2047" t="s">
        <v>1822</v>
      </c>
      <c r="S1" s="4" t="s">
        <v>112</v>
      </c>
      <c r="T1" s="5" t="s">
        <v>113</v>
      </c>
      <c r="U1" s="4" t="s">
        <v>114</v>
      </c>
      <c r="V1" s="4" t="s">
        <v>115</v>
      </c>
      <c r="W1" s="916" t="s">
        <v>811</v>
      </c>
    </row>
    <row r="2" spans="1:23">
      <c r="A2" s="6" t="s">
        <v>47</v>
      </c>
      <c r="B2" s="6" t="s">
        <v>116</v>
      </c>
      <c r="C2" s="1294" t="s">
        <v>1238</v>
      </c>
      <c r="D2" s="7" t="s">
        <v>48</v>
      </c>
      <c r="E2" s="7" t="s">
        <v>95</v>
      </c>
      <c r="F2" s="7" t="s">
        <v>96</v>
      </c>
      <c r="G2" s="4">
        <v>20</v>
      </c>
      <c r="H2" s="7" t="s">
        <v>97</v>
      </c>
      <c r="I2" s="7" t="s">
        <v>2744</v>
      </c>
      <c r="J2" s="7" t="s">
        <v>98</v>
      </c>
      <c r="K2" s="7" t="s">
        <v>49</v>
      </c>
      <c r="L2" s="7" t="s">
        <v>49</v>
      </c>
      <c r="M2" s="7" t="s">
        <v>49</v>
      </c>
      <c r="N2" s="7" t="s">
        <v>49</v>
      </c>
      <c r="O2" s="7" t="s">
        <v>49</v>
      </c>
      <c r="P2" s="917" t="s">
        <v>817</v>
      </c>
      <c r="Q2" s="7" t="s">
        <v>49</v>
      </c>
      <c r="R2" s="917" t="s">
        <v>1823</v>
      </c>
      <c r="S2" s="7" t="s">
        <v>49</v>
      </c>
      <c r="T2" s="7" t="s">
        <v>50</v>
      </c>
      <c r="U2" s="7" t="s">
        <v>49</v>
      </c>
      <c r="V2" s="7" t="s">
        <v>51</v>
      </c>
      <c r="W2" s="7" t="s">
        <v>812</v>
      </c>
    </row>
    <row r="3" spans="1:23">
      <c r="A3" s="6" t="s">
        <v>52</v>
      </c>
      <c r="B3" s="8" t="s">
        <v>117</v>
      </c>
      <c r="C3" s="1294" t="s">
        <v>1239</v>
      </c>
      <c r="D3" s="7" t="s">
        <v>53</v>
      </c>
      <c r="E3" s="7" t="s">
        <v>3</v>
      </c>
      <c r="F3" s="7" t="s">
        <v>54</v>
      </c>
      <c r="G3" s="7">
        <v>40</v>
      </c>
      <c r="H3" s="7" t="s">
        <v>55</v>
      </c>
      <c r="I3" s="7" t="s">
        <v>2745</v>
      </c>
      <c r="J3" s="7" t="s">
        <v>56</v>
      </c>
      <c r="K3" s="7" t="s">
        <v>57</v>
      </c>
      <c r="L3" s="7" t="s">
        <v>57</v>
      </c>
      <c r="M3" s="7" t="s">
        <v>57</v>
      </c>
      <c r="N3" s="7" t="s">
        <v>57</v>
      </c>
      <c r="O3" s="7" t="s">
        <v>57</v>
      </c>
      <c r="P3" s="917" t="s">
        <v>548</v>
      </c>
      <c r="Q3" s="7" t="s">
        <v>57</v>
      </c>
      <c r="R3" s="917" t="s">
        <v>1824</v>
      </c>
      <c r="S3" s="7" t="s">
        <v>57</v>
      </c>
      <c r="T3" s="7" t="s">
        <v>58</v>
      </c>
      <c r="U3" s="7" t="s">
        <v>57</v>
      </c>
      <c r="V3" s="7" t="s">
        <v>59</v>
      </c>
      <c r="W3" s="7" t="s">
        <v>813</v>
      </c>
    </row>
    <row r="4" spans="1:23">
      <c r="A4" s="6" t="s">
        <v>60</v>
      </c>
      <c r="B4" s="6" t="s">
        <v>118</v>
      </c>
      <c r="C4" s="1294" t="s">
        <v>1240</v>
      </c>
      <c r="D4" s="7" t="s">
        <v>1512</v>
      </c>
      <c r="E4" s="7" t="s">
        <v>61</v>
      </c>
      <c r="F4" s="7" t="s">
        <v>62</v>
      </c>
      <c r="G4" s="7">
        <v>50</v>
      </c>
      <c r="H4" s="7" t="s">
        <v>63</v>
      </c>
      <c r="I4" s="7" t="s">
        <v>2746</v>
      </c>
      <c r="K4" s="7" t="s">
        <v>64</v>
      </c>
      <c r="L4" s="7" t="s">
        <v>64</v>
      </c>
      <c r="M4" s="7" t="s">
        <v>64</v>
      </c>
      <c r="N4" s="7" t="s">
        <v>64</v>
      </c>
      <c r="O4" s="7" t="s">
        <v>64</v>
      </c>
      <c r="P4" s="917" t="s">
        <v>700</v>
      </c>
      <c r="Q4" s="7" t="s">
        <v>64</v>
      </c>
      <c r="R4" s="917" t="s">
        <v>1825</v>
      </c>
      <c r="S4" s="7" t="s">
        <v>64</v>
      </c>
      <c r="T4" s="7" t="s">
        <v>65</v>
      </c>
      <c r="U4" s="7" t="s">
        <v>64</v>
      </c>
      <c r="W4" s="7" t="s">
        <v>814</v>
      </c>
    </row>
    <row r="5" spans="1:23">
      <c r="A5" s="6" t="s">
        <v>66</v>
      </c>
      <c r="B5" s="6" t="s">
        <v>119</v>
      </c>
      <c r="C5" s="1294" t="s">
        <v>1241</v>
      </c>
      <c r="F5" s="7" t="s">
        <v>67</v>
      </c>
      <c r="G5" s="7">
        <v>70</v>
      </c>
      <c r="H5" s="7" t="s">
        <v>44</v>
      </c>
      <c r="I5" s="7" t="s">
        <v>2747</v>
      </c>
      <c r="K5" s="7" t="s">
        <v>68</v>
      </c>
      <c r="L5" s="7" t="s">
        <v>68</v>
      </c>
      <c r="M5" s="7" t="s">
        <v>68</v>
      </c>
      <c r="N5" s="7" t="s">
        <v>68</v>
      </c>
      <c r="O5" s="7" t="s">
        <v>68</v>
      </c>
      <c r="P5" s="917" t="s">
        <v>495</v>
      </c>
      <c r="Q5" s="7" t="s">
        <v>68</v>
      </c>
      <c r="R5" s="917" t="s">
        <v>1826</v>
      </c>
      <c r="S5" s="7" t="s">
        <v>68</v>
      </c>
      <c r="T5" s="7" t="s">
        <v>69</v>
      </c>
      <c r="U5" s="7" t="s">
        <v>68</v>
      </c>
      <c r="W5" s="7" t="s">
        <v>815</v>
      </c>
    </row>
    <row r="6" spans="1:23">
      <c r="A6" s="6" t="s">
        <v>70</v>
      </c>
      <c r="B6" s="995" t="s">
        <v>1176</v>
      </c>
      <c r="C6" s="1295" t="s">
        <v>1242</v>
      </c>
      <c r="F6" s="7" t="s">
        <v>45</v>
      </c>
      <c r="H6" s="7" t="s">
        <v>46</v>
      </c>
      <c r="I6" s="7" t="s">
        <v>2748</v>
      </c>
      <c r="K6" s="7" t="s">
        <v>71</v>
      </c>
      <c r="L6" s="7" t="s">
        <v>71</v>
      </c>
      <c r="M6" s="7" t="s">
        <v>71</v>
      </c>
      <c r="N6" s="7" t="s">
        <v>71</v>
      </c>
      <c r="O6" s="7" t="s">
        <v>71</v>
      </c>
      <c r="P6" s="917" t="s">
        <v>818</v>
      </c>
      <c r="Q6" s="7" t="s">
        <v>71</v>
      </c>
      <c r="R6" s="917" t="s">
        <v>1827</v>
      </c>
      <c r="S6" s="7" t="s">
        <v>71</v>
      </c>
      <c r="T6" s="7"/>
      <c r="U6" s="7" t="s">
        <v>71</v>
      </c>
      <c r="W6" s="7" t="s">
        <v>816</v>
      </c>
    </row>
    <row r="7" spans="1:23">
      <c r="A7" s="6" t="s">
        <v>72</v>
      </c>
      <c r="B7" s="6" t="s">
        <v>73</v>
      </c>
      <c r="C7" s="1294" t="s">
        <v>1243</v>
      </c>
      <c r="F7" s="7" t="s">
        <v>120</v>
      </c>
      <c r="H7" s="7" t="s">
        <v>74</v>
      </c>
      <c r="I7" s="7" t="s">
        <v>2749</v>
      </c>
    </row>
    <row r="8" spans="1:23">
      <c r="A8" s="6" t="s">
        <v>75</v>
      </c>
      <c r="B8" s="6" t="s">
        <v>76</v>
      </c>
      <c r="C8" s="1294" t="s">
        <v>1244</v>
      </c>
      <c r="F8" s="7" t="s">
        <v>121</v>
      </c>
      <c r="H8" s="3083" t="s">
        <v>2743</v>
      </c>
      <c r="I8" s="7" t="s">
        <v>2750</v>
      </c>
    </row>
    <row r="9" spans="1:23">
      <c r="A9" s="6" t="s">
        <v>77</v>
      </c>
      <c r="B9" s="6" t="s">
        <v>122</v>
      </c>
      <c r="C9" s="1294" t="s">
        <v>1245</v>
      </c>
      <c r="F9" s="7" t="s">
        <v>78</v>
      </c>
      <c r="H9" s="7"/>
      <c r="I9" s="7" t="s">
        <v>2751</v>
      </c>
    </row>
    <row r="10" spans="1:23">
      <c r="A10" s="6" t="s">
        <v>79</v>
      </c>
      <c r="B10" s="6" t="s">
        <v>123</v>
      </c>
      <c r="C10" s="1294" t="s">
        <v>1246</v>
      </c>
      <c r="F10" s="3083" t="s">
        <v>2742</v>
      </c>
      <c r="I10" s="7" t="s">
        <v>2752</v>
      </c>
    </row>
    <row r="11" spans="1:23">
      <c r="A11" s="6" t="s">
        <v>80</v>
      </c>
      <c r="B11" s="6" t="s">
        <v>124</v>
      </c>
      <c r="C11" s="1294" t="s">
        <v>1247</v>
      </c>
      <c r="I11" s="7" t="s">
        <v>2753</v>
      </c>
    </row>
    <row r="12" spans="1:23">
      <c r="A12" s="6" t="s">
        <v>81</v>
      </c>
      <c r="B12" s="6" t="s">
        <v>125</v>
      </c>
      <c r="C12" s="1294" t="s">
        <v>1248</v>
      </c>
      <c r="I12" s="7" t="s">
        <v>2754</v>
      </c>
    </row>
    <row r="13" spans="1:23">
      <c r="A13" s="6" t="s">
        <v>82</v>
      </c>
      <c r="B13" s="6" t="s">
        <v>126</v>
      </c>
      <c r="C13" s="1294" t="s">
        <v>1249</v>
      </c>
      <c r="I13" s="7" t="s">
        <v>2755</v>
      </c>
    </row>
    <row r="14" spans="1:23">
      <c r="A14" s="6" t="s">
        <v>83</v>
      </c>
      <c r="B14" s="6" t="s">
        <v>127</v>
      </c>
      <c r="C14" s="1296" t="s">
        <v>1421</v>
      </c>
      <c r="I14" s="7" t="s">
        <v>2756</v>
      </c>
    </row>
    <row r="15" spans="1:23">
      <c r="A15" s="6" t="s">
        <v>84</v>
      </c>
      <c r="B15" s="6" t="s">
        <v>1214</v>
      </c>
      <c r="C15" s="1296"/>
      <c r="I15" s="7" t="s">
        <v>2757</v>
      </c>
    </row>
    <row r="16" spans="1:23">
      <c r="A16" s="6" t="s">
        <v>85</v>
      </c>
      <c r="B16" s="6" t="s">
        <v>1215</v>
      </c>
      <c r="C16" s="1296"/>
    </row>
    <row r="17" spans="1:3">
      <c r="A17" s="6" t="s">
        <v>86</v>
      </c>
      <c r="B17" s="6" t="s">
        <v>1216</v>
      </c>
      <c r="C17" s="1296"/>
    </row>
    <row r="18" spans="1:3">
      <c r="A18" s="6" t="s">
        <v>87</v>
      </c>
      <c r="B18" s="2357" t="s">
        <v>2211</v>
      </c>
      <c r="C18" s="1296"/>
    </row>
    <row r="19" spans="1:3">
      <c r="A19" s="6" t="s">
        <v>88</v>
      </c>
      <c r="B19" s="2357" t="s">
        <v>2218</v>
      </c>
      <c r="C19" s="1296"/>
    </row>
    <row r="20" spans="1:3">
      <c r="A20" s="6" t="s">
        <v>89</v>
      </c>
      <c r="B20" s="2357" t="s">
        <v>2258</v>
      </c>
      <c r="C20" s="1296"/>
    </row>
    <row r="21" spans="1:3">
      <c r="A21" s="6" t="s">
        <v>90</v>
      </c>
      <c r="B21" s="6" t="s">
        <v>2437</v>
      </c>
      <c r="C21" s="1296"/>
    </row>
    <row r="22" spans="1:3">
      <c r="A22" s="6" t="s">
        <v>91</v>
      </c>
      <c r="B22" s="6" t="s">
        <v>1177</v>
      </c>
      <c r="C22" s="1296"/>
    </row>
    <row r="23" spans="1:3">
      <c r="A23" s="6" t="s">
        <v>92</v>
      </c>
      <c r="B23" s="6" t="s">
        <v>1177</v>
      </c>
      <c r="C23" s="1296"/>
    </row>
    <row r="24" spans="1:3">
      <c r="A24" s="6" t="s">
        <v>9</v>
      </c>
      <c r="B24" s="6" t="s">
        <v>1177</v>
      </c>
      <c r="C24" s="1296"/>
    </row>
    <row r="25" spans="1:3">
      <c r="A25" s="6" t="s">
        <v>93</v>
      </c>
      <c r="B25" s="6" t="s">
        <v>1177</v>
      </c>
      <c r="C25" s="1296"/>
    </row>
    <row r="26" spans="1:3">
      <c r="A26" s="6" t="s">
        <v>94</v>
      </c>
      <c r="B26" s="6" t="s">
        <v>1177</v>
      </c>
      <c r="C26" s="1296"/>
    </row>
    <row r="27" spans="1:3">
      <c r="A27" s="6" t="s">
        <v>1177</v>
      </c>
      <c r="B27" s="6" t="s">
        <v>1177</v>
      </c>
      <c r="C27" s="1296"/>
    </row>
    <row r="28" spans="1:3">
      <c r="A28" s="6" t="s">
        <v>1177</v>
      </c>
      <c r="B28" s="6" t="s">
        <v>1177</v>
      </c>
      <c r="C28" s="1296"/>
    </row>
    <row r="29" spans="1:3">
      <c r="A29" s="6" t="s">
        <v>1177</v>
      </c>
      <c r="B29" s="6" t="s">
        <v>1177</v>
      </c>
      <c r="C29" s="1296"/>
    </row>
    <row r="30" spans="1:3">
      <c r="A30" s="6" t="s">
        <v>1177</v>
      </c>
      <c r="B30" s="6" t="s">
        <v>1177</v>
      </c>
      <c r="C30" s="1296"/>
    </row>
    <row r="31" spans="1:3">
      <c r="A31" s="6" t="s">
        <v>1177</v>
      </c>
      <c r="B31" s="6" t="s">
        <v>1177</v>
      </c>
      <c r="C31" s="1296"/>
    </row>
    <row r="32" spans="1:3">
      <c r="A32" s="6" t="s">
        <v>1177</v>
      </c>
      <c r="B32" s="6" t="s">
        <v>1177</v>
      </c>
      <c r="C32" s="1296"/>
    </row>
    <row r="33" spans="1:3">
      <c r="A33" s="6" t="s">
        <v>1177</v>
      </c>
      <c r="B33" s="6" t="s">
        <v>1177</v>
      </c>
      <c r="C33" s="1296"/>
    </row>
    <row r="34" spans="1:3">
      <c r="A34" s="6" t="s">
        <v>1177</v>
      </c>
      <c r="B34" s="6" t="s">
        <v>1177</v>
      </c>
      <c r="C34" s="1296"/>
    </row>
    <row r="35" spans="1:3">
      <c r="A35" s="6" t="s">
        <v>1177</v>
      </c>
      <c r="B35" s="6" t="s">
        <v>1177</v>
      </c>
      <c r="C35" s="1296"/>
    </row>
    <row r="36" spans="1:3">
      <c r="A36" s="6" t="s">
        <v>1177</v>
      </c>
      <c r="B36" s="6" t="s">
        <v>1177</v>
      </c>
      <c r="C36" s="1296"/>
    </row>
    <row r="37" spans="1:3">
      <c r="A37" s="6" t="s">
        <v>1177</v>
      </c>
      <c r="B37" s="6" t="s">
        <v>1177</v>
      </c>
      <c r="C37" s="1296"/>
    </row>
    <row r="38" spans="1:3">
      <c r="A38" s="6" t="s">
        <v>1177</v>
      </c>
      <c r="B38" s="6" t="s">
        <v>1177</v>
      </c>
      <c r="C38" s="1296"/>
    </row>
    <row r="39" spans="1:3">
      <c r="A39" s="6" t="s">
        <v>1177</v>
      </c>
      <c r="B39" s="6" t="s">
        <v>1177</v>
      </c>
      <c r="C39" s="1296"/>
    </row>
    <row r="40" spans="1:3">
      <c r="A40" s="6" t="s">
        <v>1177</v>
      </c>
      <c r="B40" s="6" t="s">
        <v>1177</v>
      </c>
      <c r="C40" s="1296"/>
    </row>
    <row r="41" spans="1:3">
      <c r="A41" s="6" t="s">
        <v>1177</v>
      </c>
      <c r="B41" s="6" t="s">
        <v>1177</v>
      </c>
      <c r="C41" s="1296"/>
    </row>
    <row r="42" spans="1:3">
      <c r="A42" s="6" t="s">
        <v>1177</v>
      </c>
      <c r="B42" s="6" t="s">
        <v>1177</v>
      </c>
      <c r="C42" s="1296"/>
    </row>
    <row r="43" spans="1:3">
      <c r="A43" s="6" t="s">
        <v>1177</v>
      </c>
      <c r="B43" s="6" t="s">
        <v>1177</v>
      </c>
      <c r="C43" s="1296"/>
    </row>
    <row r="44" spans="1:3">
      <c r="A44" s="6" t="s">
        <v>1177</v>
      </c>
      <c r="B44" s="6" t="s">
        <v>1177</v>
      </c>
      <c r="C44" s="1296"/>
    </row>
    <row r="45" spans="1:3">
      <c r="A45" s="6" t="s">
        <v>1177</v>
      </c>
      <c r="B45" s="6" t="s">
        <v>1177</v>
      </c>
      <c r="C45" s="1296"/>
    </row>
    <row r="46" spans="1:3">
      <c r="A46" s="6" t="s">
        <v>1177</v>
      </c>
      <c r="B46" s="6" t="s">
        <v>1177</v>
      </c>
      <c r="C46" s="1296"/>
    </row>
    <row r="47" spans="1:3">
      <c r="A47" s="6" t="s">
        <v>1177</v>
      </c>
      <c r="B47" s="6" t="s">
        <v>1177</v>
      </c>
      <c r="C47" s="1296"/>
    </row>
    <row r="48" spans="1:3">
      <c r="A48" s="6" t="s">
        <v>1177</v>
      </c>
      <c r="B48" s="6" t="s">
        <v>1177</v>
      </c>
      <c r="C48" s="1296"/>
    </row>
    <row r="49" spans="1:5">
      <c r="A49" s="6" t="s">
        <v>1177</v>
      </c>
      <c r="B49" s="6" t="s">
        <v>1177</v>
      </c>
      <c r="C49" s="1296"/>
    </row>
    <row r="50" spans="1:5">
      <c r="A50" s="6" t="s">
        <v>1177</v>
      </c>
      <c r="B50" s="6" t="s">
        <v>1177</v>
      </c>
      <c r="C50" s="1296"/>
    </row>
    <row r="51" spans="1:5">
      <c r="A51" s="1467" t="s">
        <v>1462</v>
      </c>
      <c r="B51" s="146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江苏省连云港海州区锦屏山东南侧4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9"/>
    </row>
    <row r="52" spans="1:5">
      <c r="A52" s="1467" t="s">
        <v>1504</v>
      </c>
      <c r="B52" s="1469" t="s">
        <v>1505</v>
      </c>
      <c r="C52" s="1468" t="s">
        <v>1506</v>
      </c>
      <c r="D52" s="1468" t="s">
        <v>1507</v>
      </c>
      <c r="E52" s="1469"/>
    </row>
    <row r="53" spans="1:5">
      <c r="A53" s="3438" t="s">
        <v>1508</v>
      </c>
      <c r="B53" s="1468" t="s">
        <v>1514</v>
      </c>
      <c r="C53" s="146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5月11日，在规划利用条件下、设定土地开发程度为红线外“七通”、宗地内场地，设定用途为，剩余土地使用年限为的出让国有建设用地使用权价格。</v>
      </c>
      <c r="D53" s="1469"/>
      <c r="E53" s="1469"/>
    </row>
    <row r="54" spans="1:5">
      <c r="A54" s="3438"/>
      <c r="B54" s="1468" t="s">
        <v>1515</v>
      </c>
      <c r="C54" s="146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9"/>
      <c r="E54" s="1469"/>
    </row>
    <row r="55" spans="1:5">
      <c r="A55" s="3438"/>
      <c r="B55" s="1468" t="s">
        <v>1509</v>
      </c>
      <c r="C55" s="146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9"/>
      <c r="E55" s="1469"/>
    </row>
    <row r="56" spans="1:5">
      <c r="A56" s="3438"/>
      <c r="B56" s="1468" t="s">
        <v>1510</v>
      </c>
      <c r="C56" s="146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9"/>
      <c r="E56" s="1469"/>
    </row>
    <row r="57" spans="1:5">
      <c r="A57" s="3438"/>
      <c r="B57" s="1468" t="s">
        <v>1511</v>
      </c>
      <c r="C57" s="14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9"/>
      <c r="E57" s="1469"/>
    </row>
    <row r="58" spans="1:5">
      <c r="A58" s="1470" t="s">
        <v>1567</v>
      </c>
      <c r="B58" s="1468" t="s">
        <v>1568</v>
      </c>
      <c r="C58" s="9" t="s">
        <v>1569</v>
      </c>
      <c r="D58" s="1122"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比较法-住宅、综合</vt:lpstr>
      <vt:lpstr>Sheet1</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2024-09-18T08:49:04Z</dcterms:modified>
</cp:coreProperties>
</file>