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土地\2021-1-0517北京市北京城市副中心1102街区FZX-1102-6002地块\"/>
    </mc:Choice>
  </mc:AlternateContent>
  <xr:revisionPtr revIDLastSave="0" documentId="13_ncr:1_{DD231BA7-0A96-44D0-A83A-85A58E6533AC}" xr6:coauthVersionLast="45" xr6:coauthVersionMax="45" xr10:uidLastSave="{00000000-0000-0000-0000-000000000000}"/>
  <bookViews>
    <workbookView xWindow="-120" yWindow="-120" windowWidth="21840" windowHeight="13140" tabRatio="875" firstSheet="39"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土储要求测算表" sheetId="75" r:id="rId17"/>
    <sheet name="Sheet1" sheetId="76" r:id="rId18"/>
    <sheet name="结果表" sheetId="9" r:id="rId19"/>
    <sheet name="剩余法-现房" sheetId="43" state="hidden" r:id="rId20"/>
    <sheet name="比较法-住宅、综合" sheetId="39" state="hidden" r:id="rId21"/>
    <sheet name="比较法-工业" sheetId="40" state="hidden" r:id="rId22"/>
    <sheet name="基准地价-商" sheetId="46" r:id="rId23"/>
    <sheet name="修正" sheetId="49" state="hidden" r:id="rId24"/>
    <sheet name="区片价" sheetId="48" state="hidden" r:id="rId25"/>
    <sheet name="容积率修正" sheetId="45" state="hidden" r:id="rId26"/>
    <sheet name="因素修正幅度" sheetId="56" state="hidden" r:id="rId27"/>
    <sheet name="基准地价-办" sheetId="68" r:id="rId28"/>
    <sheet name="地价" sheetId="59" r:id="rId29"/>
    <sheet name="基准地价（汇总）" sheetId="67" state="hidden" r:id="rId30"/>
    <sheet name="收益还原法" sheetId="44" state="hidden" r:id="rId31"/>
    <sheet name="剩余法-商" sheetId="12" r:id="rId32"/>
    <sheet name="不动产收益法-商" sheetId="15" r:id="rId33"/>
    <sheet name="酒店收入计算" sheetId="57" state="hidden" r:id="rId34"/>
    <sheet name="成本逼近法" sheetId="11" state="hidden" r:id="rId35"/>
    <sheet name="不动产比较法-住宅" sheetId="21" state="hidden" r:id="rId36"/>
    <sheet name="不动产比较法-商" sheetId="33" r:id="rId37"/>
    <sheet name="商业案例截图及地图" sheetId="69" r:id="rId38"/>
    <sheet name="剩余法-办" sheetId="72" r:id="rId39"/>
    <sheet name="不动产收益法-办" sheetId="73" r:id="rId40"/>
    <sheet name="不动产比较法-办" sheetId="34" r:id="rId41"/>
    <sheet name="不动产比较法-工业" sheetId="37" state="hidden" r:id="rId42"/>
    <sheet name="不动产比较法-车位" sheetId="35" state="hidden" r:id="rId43"/>
    <sheet name="不动产比较法-仓储" sheetId="36" state="hidden" r:id="rId44"/>
    <sheet name="典型户型修正" sheetId="31" state="hidden" r:id="rId45"/>
    <sheet name="办公案例截图及地图" sheetId="74" r:id="rId46"/>
    <sheet name="存贷款利率" sheetId="65" r:id="rId47"/>
  </sheets>
  <externalReferences>
    <externalReference r:id="rId48"/>
  </externalReferences>
  <definedNames>
    <definedName name="_xlnm._FilterDatabase" localSheetId="21" hidden="1">'比较法-工业'!$A$1:$L$45</definedName>
    <definedName name="_xlnm._FilterDatabase" localSheetId="20" hidden="1">'比较法-住宅、综合'!$A$1:$L$50</definedName>
    <definedName name="_xlnm._FilterDatabase" localSheetId="40" hidden="1">'不动产比较法-办'!$A$1:$L$50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6" hidden="1">'不动产比较法-商'!$A$1:$L$49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20">'比较法-住宅、综合'!$A$1:$K$67,'比较法-住宅、综合'!$A$71:$N$134</definedName>
    <definedName name="_xlnm.Print_Area" localSheetId="40">'不动产比较法-办'!$A$1:$K$55,'不动产比较法-办'!$A$58:$M$132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6">'不动产比较法-商'!$A$1:$K$54,'不动产比较法-商'!$A$57:$M$131</definedName>
    <definedName name="_xlnm.Print_Area" localSheetId="35">'不动产比较法-住宅'!$A$1:$K$54,'不动产比较法-住宅'!$A$57:$M$131</definedName>
    <definedName name="_xlnm.Print_Area" localSheetId="39">'不动产收益法-办'!$A$1:$F$43,'不动产收益法-办'!$H$3:$M$29,'不动产收益法-办'!$A$46:$F$70,'不动产收益法-办'!$I$46:$M$60</definedName>
    <definedName name="_xlnm.Print_Area" localSheetId="32">'不动产收益法-商'!$A$1:$F$43,'不动产收益法-商'!$H$3:$M$29,'不动产收益法-商'!$A$46:$F$70,'不动产收益法-商'!$I$46:$M$60</definedName>
    <definedName name="_xlnm.Print_Area" localSheetId="34">成本逼近法!$A$1:$G$23</definedName>
    <definedName name="_xlnm.Print_Area" localSheetId="14">估价对象房地状况!$A$1:$G$24</definedName>
    <definedName name="_xlnm.Print_Area" localSheetId="7">估价师及机构信息!$A$1:$F$22</definedName>
    <definedName name="_xlnm.Print_Area" localSheetId="29">'基准地价（汇总）'!$A$1:$F$14</definedName>
    <definedName name="_xlnm.Print_Area" localSheetId="27">'基准地价-办'!$A$1:$J$41,'基准地价-办'!$A$44:$N$87,'基准地价-办'!$R$1:$V$16</definedName>
    <definedName name="_xlnm.Print_Area" localSheetId="22">'基准地价-商'!$A$1:$J$41,'基准地价-商'!$A$44:$N$87,'基准地价-商'!$R$1:$V$16</definedName>
    <definedName name="_xlnm.Print_Area" localSheetId="18">结果表!$A$1:$I$46,结果表!$K$25:$O$44,结果表!$A$62:$I$115,结果表!$K$64:$P$81</definedName>
    <definedName name="_xlnm.Print_Area" localSheetId="38">'剩余法-办'!$A$1:$K$36</definedName>
    <definedName name="_xlnm.Print_Area" localSheetId="31">'剩余法-商'!$A$1:$K$36</definedName>
    <definedName name="_xlnm.Print_Area" localSheetId="19">'剩余法-现房'!$A$1:$K$32</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45">'[1]不动产比较法-办公'!$B$119:$M$119</definedName>
    <definedName name="办公层高" localSheetId="37">'[1]不动产比较法-办公'!$B$119:$M$119</definedName>
    <definedName name="办公层高" localSheetId="16">'[1]不动产比较法-办公'!$B$119:$M$119</definedName>
    <definedName name="办公层高">'不动产比较法-办'!$B$119:$M$119</definedName>
    <definedName name="办公朝向" localSheetId="45">'[1]不动产比较法-办公'!$B$91:$M$91</definedName>
    <definedName name="办公朝向" localSheetId="37">'[1]不动产比较法-办公'!$B$91:$M$91</definedName>
    <definedName name="办公朝向" localSheetId="16">'[1]不动产比较法-办公'!$B$91:$M$91</definedName>
    <definedName name="办公朝向">'不动产比较法-办'!$B$91:$M$91</definedName>
    <definedName name="办公道路级别" localSheetId="45">'[1]不动产比较法-办公'!$B$87:$M$87</definedName>
    <definedName name="办公道路级别" localSheetId="37">'[1]不动产比较法-办公'!$B$87:$M$87</definedName>
    <definedName name="办公道路级别" localSheetId="16">'[1]不动产比较法-办公'!$B$87:$M$87</definedName>
    <definedName name="办公道路级别">'不动产比较法-办'!$B$87:$M$87</definedName>
    <definedName name="办公公共部分装修" localSheetId="45">'[1]不动产比较法-办公'!$B$108:$M$108</definedName>
    <definedName name="办公公共部分装修" localSheetId="37">'[1]不动产比较法-办公'!$B$108:$M$108</definedName>
    <definedName name="办公公共部分装修" localSheetId="16">'[1]不动产比较法-办公'!$B$108:$M$108</definedName>
    <definedName name="办公公共部分装修">'不动产比较法-办'!$B$108:$M$108</definedName>
    <definedName name="办公基础设施水平" localSheetId="45">'[1]不动产比较法-办公'!$B$117:$M$117</definedName>
    <definedName name="办公基础设施水平" localSheetId="37">'[1]不动产比较法-办公'!$B$117:$M$117</definedName>
    <definedName name="办公基础设施水平" localSheetId="16">'[1]不动产比较法-办公'!$B$117:$M$117</definedName>
    <definedName name="办公基础设施水平">'不动产比较法-办'!$B$117:$M$117</definedName>
    <definedName name="办公集聚程度" localSheetId="45">[1]定义!$M$1:$M$6</definedName>
    <definedName name="办公集聚程度" localSheetId="37">[1]定义!$M$1:$M$6</definedName>
    <definedName name="办公集聚程度" localSheetId="16">[1]定义!$M$1:$M$6</definedName>
    <definedName name="办公集聚程度">定义!$M$1:$M$6</definedName>
    <definedName name="办公建筑结构" localSheetId="45">'[1]不动产比较法-办公'!$B$106:$M$106</definedName>
    <definedName name="办公建筑结构" localSheetId="37">'[1]不动产比较法-办公'!$B$106:$M$106</definedName>
    <definedName name="办公建筑结构" localSheetId="16">'[1]不动产比较法-办公'!$B$106:$M$106</definedName>
    <definedName name="办公建筑结构">'不动产比较法-办'!$B$106:$M$106</definedName>
    <definedName name="办公建筑类型" localSheetId="45">'[1]不动产比较法-办公'!$B$101:$M$101</definedName>
    <definedName name="办公建筑类型" localSheetId="37">'[1]不动产比较法-办公'!$B$101:$M$101</definedName>
    <definedName name="办公建筑类型" localSheetId="16">'[1]不动产比较法-办公'!$B$101:$M$101</definedName>
    <definedName name="办公建筑类型">'不动产比较法-办'!$B$101:$M$101</definedName>
    <definedName name="办公交易情况" localSheetId="45">'[1]不动产比较法-办公'!$A$62:$M$62</definedName>
    <definedName name="办公交易情况" localSheetId="37">'[1]不动产比较法-办公'!$A$62:$M$62</definedName>
    <definedName name="办公交易情况" localSheetId="16">'[1]不动产比较法-办公'!$A$62:$M$62</definedName>
    <definedName name="办公交易情况">'不动产比较法-办'!$A$62:$M$62</definedName>
    <definedName name="办公楼层" localSheetId="45">'[1]不动产比较法-办公'!$B$89:$M$89</definedName>
    <definedName name="办公楼层" localSheetId="37">'[1]不动产比较法-办公'!$B$89:$M$89</definedName>
    <definedName name="办公楼层" localSheetId="16">'[1]不动产比较法-办公'!$B$89:$M$89</definedName>
    <definedName name="办公楼层">'不动产比较法-办'!$B$89:$M$89</definedName>
    <definedName name="办公内部装修" localSheetId="45">'[1]不动产比较法-办公'!$B$123:$M$123</definedName>
    <definedName name="办公内部装修" localSheetId="37">'[1]不动产比较法-办公'!$B$123:$M$123</definedName>
    <definedName name="办公内部装修" localSheetId="16">'[1]不动产比较法-办公'!$B$123:$M$123</definedName>
    <definedName name="办公内部装修">'不动产比较法-办'!$B$123:$M$123</definedName>
    <definedName name="办公物业管理" localSheetId="45">'[1]不动产比较法-办公'!$B$115:$M$115</definedName>
    <definedName name="办公物业管理" localSheetId="37">'[1]不动产比较法-办公'!$B$115:$M$115</definedName>
    <definedName name="办公物业管理" localSheetId="16">'[1]不动产比较法-办公'!$B$115:$M$115</definedName>
    <definedName name="办公物业管理">'不动产比较法-办'!$B$115:$M$115</definedName>
    <definedName name="办公用途" localSheetId="45">'[1]不动产比较法-办公'!$B$64:$M$64</definedName>
    <definedName name="办公用途" localSheetId="37">'[1]不动产比较法-办公'!$B$64:$M$64</definedName>
    <definedName name="办公用途" localSheetId="16">'[1]不动产比较法-办公'!$B$64:$M$64</definedName>
    <definedName name="办公用途">'不动产比较法-办'!$B$64:$M$64</definedName>
    <definedName name="仓储公共部分装修" localSheetId="45">'[1]不动产比较法-仓储'!$B$77:$M$77</definedName>
    <definedName name="仓储公共部分装修" localSheetId="37">'[1]不动产比较法-仓储'!$B$77:$M$77</definedName>
    <definedName name="仓储公共部分装修" localSheetId="16">'[1]不动产比较法-仓储'!$B$77:$M$77</definedName>
    <definedName name="仓储公共部分装修">'不动产比较法-仓储'!$B$77:$M$77</definedName>
    <definedName name="仓储交易情况" localSheetId="45">'[1]不动产比较法-仓储'!$A$49:$M$49</definedName>
    <definedName name="仓储交易情况" localSheetId="37">'[1]不动产比较法-仓储'!$A$49:$M$49</definedName>
    <definedName name="仓储交易情况" localSheetId="16">'[1]不动产比较法-仓储'!$A$49:$M$49</definedName>
    <definedName name="仓储交易情况">'不动产比较法-仓储'!$A$49:$M$49</definedName>
    <definedName name="仓储楼层" localSheetId="45">'[1]不动产比较法-仓储'!$B$69:$M$69</definedName>
    <definedName name="仓储楼层" localSheetId="37">'[1]不动产比较法-仓储'!$B$69:$M$69</definedName>
    <definedName name="仓储楼层" localSheetId="16">'[1]不动产比较法-仓储'!$B$69:$M$69</definedName>
    <definedName name="仓储楼层">'不动产比较法-仓储'!$B$69:$M$69</definedName>
    <definedName name="仓储物业等级" localSheetId="45">'[1]不动产比较法-仓储'!$B$82:$M$82</definedName>
    <definedName name="仓储物业等级" localSheetId="37">'[1]不动产比较法-仓储'!$B$82:$M$82</definedName>
    <definedName name="仓储物业等级" localSheetId="16">'[1]不动产比较法-仓储'!$B$82:$M$82</definedName>
    <definedName name="仓储物业等级">'不动产比较法-仓储'!$B$82:$M$82</definedName>
    <definedName name="仓储用途" localSheetId="45">'[1]不动产比较法-仓储'!$B$51:$M$51</definedName>
    <definedName name="仓储用途" localSheetId="37">'[1]不动产比较法-仓储'!$B$51:$M$51</definedName>
    <definedName name="仓储用途" localSheetId="16">'[1]不动产比较法-仓储'!$B$51:$M$51</definedName>
    <definedName name="仓储用途">'不动产比较法-仓储'!$B$51:$M$51</definedName>
    <definedName name="产业集聚程度" localSheetId="45">[1]定义!$N$1:$N$6</definedName>
    <definedName name="产业集聚程度" localSheetId="37">[1]定义!$N$1:$N$6</definedName>
    <definedName name="产业集聚程度" localSheetId="16">[1]定义!$N$1:$N$6</definedName>
    <definedName name="产业集聚程度">定义!$N$1:$N$6</definedName>
    <definedName name="车位公共部分装修" localSheetId="45">'[1]不动产比较法-车位'!$B$83:$M$83</definedName>
    <definedName name="车位公共部分装修" localSheetId="37">'[1]不动产比较法-车位'!$B$83:$M$83</definedName>
    <definedName name="车位公共部分装修" localSheetId="16">'[1]不动产比较法-车位'!$B$83:$M$83</definedName>
    <definedName name="车位公共部分装修">'不动产比较法-车位'!$B$83:$M$83</definedName>
    <definedName name="车位交易情况" localSheetId="45">'[1]不动产比较法-车位'!$A$51:$M$51</definedName>
    <definedName name="车位交易情况" localSheetId="37">'[1]不动产比较法-车位'!$A$51:$M$51</definedName>
    <definedName name="车位交易情况" localSheetId="16">'[1]不动产比较法-车位'!$A$51:$M$51</definedName>
    <definedName name="车位交易情况">'不动产比较法-车位'!$A$51:$M$51</definedName>
    <definedName name="车位类型" localSheetId="45">'[1]不动产比较法-车位'!$B$93:$M$93</definedName>
    <definedName name="车位类型" localSheetId="37">'[1]不动产比较法-车位'!$B$93:$M$93</definedName>
    <definedName name="车位类型" localSheetId="16">'[1]不动产比较法-车位'!$B$93:$M$93</definedName>
    <definedName name="车位类型">'不动产比较法-车位'!$B$93:$M$93</definedName>
    <definedName name="车位楼层" localSheetId="45">'[1]不动产比较法-车位'!$B$71:$M$71</definedName>
    <definedName name="车位楼层" localSheetId="37">'[1]不动产比较法-车位'!$B$71:$M$71</definedName>
    <definedName name="车位楼层" localSheetId="16">'[1]不动产比较法-车位'!$B$71:$M$71</definedName>
    <definedName name="车位楼层">'不动产比较法-车位'!$B$71:$M$71</definedName>
    <definedName name="车位配套类型" localSheetId="45">'[1]不动产比较法-车位'!$B$79:$M$79</definedName>
    <definedName name="车位配套类型" localSheetId="37">'[1]不动产比较法-车位'!$B$79:$M$79</definedName>
    <definedName name="车位配套类型" localSheetId="16">'[1]不动产比较法-车位'!$B$79:$M$79</definedName>
    <definedName name="车位配套类型">'不动产比较法-车位'!$B$79:$M$79</definedName>
    <definedName name="车位物业等级" localSheetId="45">'[1]不动产比较法-车位'!$B$88:$M$88</definedName>
    <definedName name="车位物业等级" localSheetId="37">'[1]不动产比较法-车位'!$B$88:$M$88</definedName>
    <definedName name="车位物业等级" localSheetId="16">'[1]不动产比较法-车位'!$B$88:$M$88</definedName>
    <definedName name="车位物业等级">'不动产比较法-车位'!$B$88:$M$88</definedName>
    <definedName name="车位用途" localSheetId="45">'[1]不动产比较法-车位'!$B$53:$M$53</definedName>
    <definedName name="车位用途" localSheetId="37">'[1]不动产比较法-车位'!$B$53:$M$53</definedName>
    <definedName name="车位用途" localSheetId="16">'[1]不动产比较法-车位'!$B$53:$M$53</definedName>
    <definedName name="车位用途">'不动产比较法-车位'!$B$53:$M$53</definedName>
    <definedName name="城镇土地纳税等级分级范围" localSheetId="45">'[1]数据-取费表'!$A$53:$A$63</definedName>
    <definedName name="城镇土地纳税等级分级范围" localSheetId="37">'[1]数据-取费表'!$A$53:$A$63</definedName>
    <definedName name="城镇土地纳税等级分级范围" localSheetId="16">'[1]数据-取费表'!$A$53:$A$63</definedName>
    <definedName name="城镇土地纳税等级分级范围">'数据-取费表'!$A$53:$A$63</definedName>
    <definedName name="单价内涵" localSheetId="45">[1]定义!$V$1:$V$3</definedName>
    <definedName name="单价内涵" localSheetId="37">[1]定义!$V$1:$V$3</definedName>
    <definedName name="单价内涵" localSheetId="16">[1]定义!$V$1:$V$3</definedName>
    <definedName name="单价内涵">定义!$V$1:$V$3</definedName>
    <definedName name="地类判定" localSheetId="45">[1]定义!$H$1:$H$9</definedName>
    <definedName name="地类判定" localSheetId="37">[1]定义!$H$1:$H$9</definedName>
    <definedName name="地类判定" localSheetId="16">[1]定义!$H$1:$H$9</definedName>
    <definedName name="地类判定">定义!$H$1:$H$9</definedName>
    <definedName name="二级">区片价!$J$1:$J$20</definedName>
    <definedName name="二级分类" localSheetId="45">[1]修正!$C$17:$C$39</definedName>
    <definedName name="二级分类" localSheetId="37">[1]修正!$C$17:$C$39</definedName>
    <definedName name="二级分类" localSheetId="16">[1]修正!$C$17:$C$39</definedName>
    <definedName name="二级分类">修正!$C$17:$C$39</definedName>
    <definedName name="法定最高年限" localSheetId="45">[1]定义!$G$2:$G$4</definedName>
    <definedName name="法定最高年限" localSheetId="37">[1]定义!$G$2:$G$4</definedName>
    <definedName name="法定最高年限" localSheetId="16">[1]定义!$G$2:$G$4</definedName>
    <definedName name="法定最高年限">定义!$G$2:$G$4</definedName>
    <definedName name="工业公共部分装修" localSheetId="45">'[1]不动产比较法-工业'!$B$95:$M$95</definedName>
    <definedName name="工业公共部分装修" localSheetId="37">'[1]不动产比较法-工业'!$B$95:$M$95</definedName>
    <definedName name="工业公共部分装修" localSheetId="16">'[1]不动产比较法-工业'!$B$95:$M$95</definedName>
    <definedName name="工业公共部分装修">'不动产比较法-工业'!$B$95:$M$95</definedName>
    <definedName name="工业基础设施水平" localSheetId="45">'[1]不动产比较法-工业'!$B$102:$M$102</definedName>
    <definedName name="工业基础设施水平" localSheetId="37">'[1]不动产比较法-工业'!$B$102:$M$102</definedName>
    <definedName name="工业基础设施水平" localSheetId="16">'[1]不动产比较法-工业'!$B$102:$M$102</definedName>
    <definedName name="工业基础设施水平">'不动产比较法-工业'!$B$102:$M$102</definedName>
    <definedName name="工业建筑结构" localSheetId="45">'[1]不动产比较法-工业'!$B$93:$M$93</definedName>
    <definedName name="工业建筑结构" localSheetId="37">'[1]不动产比较法-工业'!$B$93:$M$93</definedName>
    <definedName name="工业建筑结构" localSheetId="16">'[1]不动产比较法-工业'!$B$93:$M$93</definedName>
    <definedName name="工业建筑结构">'不动产比较法-工业'!$B$93:$M$93</definedName>
    <definedName name="工业建筑类型" localSheetId="45">'[1]不动产比较法-工业'!$B$88:$M$88</definedName>
    <definedName name="工业建筑类型" localSheetId="37">'[1]不动产比较法-工业'!$B$88:$M$88</definedName>
    <definedName name="工业建筑类型" localSheetId="16">'[1]不动产比较法-工业'!$B$88:$M$88</definedName>
    <definedName name="工业建筑类型">'不动产比较法-工业'!$B$88:$M$88</definedName>
    <definedName name="工业交易情况" localSheetId="45">'[1]不动产比较法-工业'!$A$55:$M$55</definedName>
    <definedName name="工业交易情况" localSheetId="37">'[1]不动产比较法-工业'!$A$55:$M$55</definedName>
    <definedName name="工业交易情况" localSheetId="16">'[1]不动产比较法-工业'!$A$55:$M$55</definedName>
    <definedName name="工业交易情况">'不动产比较法-工业'!$A$55:$M$55</definedName>
    <definedName name="工业内部装修" localSheetId="45">'[1]不动产比较法-工业'!$B$104:$M$104</definedName>
    <definedName name="工业内部装修" localSheetId="37">'[1]不动产比较法-工业'!$B$104:$M$104</definedName>
    <definedName name="工业内部装修" localSheetId="16">'[1]不动产比较法-工业'!$B$104:$M$104</definedName>
    <definedName name="工业内部装修">'不动产比较法-工业'!$B$104:$M$104</definedName>
    <definedName name="工业物业管理" localSheetId="45">'[1]不动产比较法-工业'!$B$100:$M$100</definedName>
    <definedName name="工业物业管理" localSheetId="37">'[1]不动产比较法-工业'!$B$100:$M$100</definedName>
    <definedName name="工业物业管理" localSheetId="16">'[1]不动产比较法-工业'!$B$100:$M$100</definedName>
    <definedName name="工业物业管理">'不动产比较法-工业'!$B$100:$M$100</definedName>
    <definedName name="工业用途" localSheetId="45">'[1]不动产比较法-工业'!$B$57:$M$57</definedName>
    <definedName name="工业用途" localSheetId="37">'[1]不动产比较法-工业'!$B$57:$M$57</definedName>
    <definedName name="工业用途" localSheetId="16">'[1]不动产比较法-工业'!$B$57:$M$57</definedName>
    <definedName name="工业用途">'不动产比较法-工业'!$B$57:$M$57</definedName>
    <definedName name="公共配套设施" localSheetId="45">[1]定义!$Q$1:$Q$6</definedName>
    <definedName name="公共配套设施" localSheetId="37">[1]定义!$Q$1:$Q$6</definedName>
    <definedName name="公共配套设施" localSheetId="16">[1]定义!$Q$1:$Q$6</definedName>
    <definedName name="公共配套设施">定义!$Q$1:$Q$6</definedName>
    <definedName name="估价方法" localSheetId="45">[1]定义!$B$1:$B$50</definedName>
    <definedName name="估价方法" localSheetId="37">[1]定义!$B$1:$B$50</definedName>
    <definedName name="估价方法" localSheetId="16">[1]定义!$B$1:$B$50</definedName>
    <definedName name="估价方法">定义!$B$1:$B$50</definedName>
    <definedName name="环境" localSheetId="45">[1]定义!$S$1:$S$6</definedName>
    <definedName name="环境" localSheetId="37">[1]定义!$S$1:$S$6</definedName>
    <definedName name="环境" localSheetId="16">[1]定义!$S$1:$S$6</definedName>
    <definedName name="环境">定义!$S$1:$S$6</definedName>
    <definedName name="基础设施水平" localSheetId="45">[1]定义!$R$1:$R$6</definedName>
    <definedName name="基础设施水平" localSheetId="37">[1]定义!$R$1:$R$6</definedName>
    <definedName name="基础设施水平" localSheetId="16">[1]定义!$R$1:$R$6</definedName>
    <definedName name="基础设施水平">定义!$R$1:$R$6</definedName>
    <definedName name="季度" localSheetId="27">'基准地价-办'!$N$19:$AB$19</definedName>
    <definedName name="季度">'基准地价-商'!$N$19:$AB$19</definedName>
    <definedName name="季度2014">地价!$A$2:$A$35</definedName>
    <definedName name="价值类型2" localSheetId="45">[1]定义!$B$54:$B$56</definedName>
    <definedName name="价值类型2" localSheetId="37">[1]定义!$B$54:$B$56</definedName>
    <definedName name="价值类型2" localSheetId="16">[1]定义!$B$54:$B$56</definedName>
    <definedName name="价值类型2">定义!$B$54:$B$56</definedName>
    <definedName name="交通便捷度" localSheetId="45">[1]定义!$O$1:$O$6</definedName>
    <definedName name="交通便捷度" localSheetId="37">[1]定义!$O$1:$O$6</definedName>
    <definedName name="交通便捷度" localSheetId="16">[1]定义!$O$1:$O$6</definedName>
    <definedName name="交通便捷度">定义!$O$1:$O$6</definedName>
    <definedName name="九级">区片价!$Q$1:$Q$46</definedName>
    <definedName name="居住社区成熟度" localSheetId="45">[1]定义!$K$1:$K$6</definedName>
    <definedName name="居住社区成熟度" localSheetId="37">[1]定义!$K$1:$K$6</definedName>
    <definedName name="居住社区成熟度" localSheetId="16">[1]定义!$K$1:$K$6</definedName>
    <definedName name="居住社区成熟度">定义!$K$1:$K$6</definedName>
    <definedName name="类别" localSheetId="45">[1]定义!$J$1:$J$3</definedName>
    <definedName name="类别" localSheetId="37">[1]定义!$J$1:$J$3</definedName>
    <definedName name="类别" localSheetId="16">[1]定义!$J$1:$J$3</definedName>
    <definedName name="类别">定义!$J$1:$J$3</definedName>
    <definedName name="临街状况" localSheetId="45">[1]定义!$T$1:$T$5</definedName>
    <definedName name="临街状况" localSheetId="37">[1]定义!$T$1:$T$5</definedName>
    <definedName name="临街状况" localSheetId="16">[1]定义!$T$1:$T$5</definedName>
    <definedName name="临街状况">定义!$T$1:$T$5</definedName>
    <definedName name="六级">区片价!$N$1:$N$49</definedName>
    <definedName name="内部装修维护情况" localSheetId="45">[1]定义!$U$1:$U$6</definedName>
    <definedName name="内部装修维护情况" localSheetId="37">[1]定义!$U$1:$U$6</definedName>
    <definedName name="内部装修维护情况" localSheetId="16">[1]定义!$U$1:$U$6</definedName>
    <definedName name="内部装修维护情况">定义!$U$1:$U$6</definedName>
    <definedName name="判定" localSheetId="45">[1]定义!$D$1:$D$4</definedName>
    <definedName name="判定" localSheetId="37">[1]定义!$D$1:$D$4</definedName>
    <definedName name="判定" localSheetId="16">[1]定义!$D$1:$D$4</definedName>
    <definedName name="判定">定义!$D$1:$D$4</definedName>
    <definedName name="七级">区片价!$O$1:$O$49</definedName>
    <definedName name="七通一平" localSheetId="45">[1]修正!$A$6:$A$14</definedName>
    <definedName name="七通一平" localSheetId="37">[1]修正!$A$6:$A$14</definedName>
    <definedName name="七通一平" localSheetId="16">[1]修正!$A$6:$A$14</definedName>
    <definedName name="七通一平">修正!$A$6:$A$14</definedName>
    <definedName name="区域土地利用方向" localSheetId="45">[1]定义!$P$1:$P$6</definedName>
    <definedName name="区域土地利用方向" localSheetId="37">[1]定义!$P$1:$P$6</definedName>
    <definedName name="区域土地利用方向" localSheetId="16">[1]定义!$P$1:$P$6</definedName>
    <definedName name="区域土地利用方向">定义!$P$1:$P$6</definedName>
    <definedName name="三级">区片价!$K$1:$K$21</definedName>
    <definedName name="商业层高" localSheetId="45">'[1]不动产比较法-商业'!$B$116:$M$116</definedName>
    <definedName name="商业层高" localSheetId="37">'[1]不动产比较法-商业'!$B$116:$M$116</definedName>
    <definedName name="商业层高" localSheetId="16">'[1]不动产比较法-商业'!$B$116:$M$116</definedName>
    <definedName name="商业层高">'不动产比较法-商'!$B$116:$M$116</definedName>
    <definedName name="商业成新度">'不动产比较法-商'!$B$109:$M$109</definedName>
    <definedName name="商业繁华度" localSheetId="45">[1]定义!$L$1:$L$6</definedName>
    <definedName name="商业繁华度" localSheetId="37">[1]定义!$L$1:$L$6</definedName>
    <definedName name="商业繁华度" localSheetId="16">[1]定义!$L$1:$L$6</definedName>
    <definedName name="商业繁华度">定义!$L$1:$L$6</definedName>
    <definedName name="商业公共部分装修" localSheetId="45">'[1]不动产比较法-商业'!$B$107:$M$107</definedName>
    <definedName name="商业公共部分装修" localSheetId="37">'[1]不动产比较法-商业'!$B$107:$M$107</definedName>
    <definedName name="商业公共部分装修" localSheetId="16">'[1]不动产比较法-商业'!$B$107:$M$107</definedName>
    <definedName name="商业公共部分装修">'不动产比较法-商'!$B$107:$M$107</definedName>
    <definedName name="商业基础设施水平" localSheetId="45">'[1]不动产比较法-商业'!$B$112:$M$112</definedName>
    <definedName name="商业基础设施水平" localSheetId="37">'[1]不动产比较法-商业'!$B$112:$M$112</definedName>
    <definedName name="商业基础设施水平" localSheetId="16">'[1]不动产比较法-商业'!$B$112:$M$112</definedName>
    <definedName name="商业基础设施水平">'不动产比较法-商'!$B$112:$M$112</definedName>
    <definedName name="商业建筑结构" localSheetId="45">'[1]不动产比较法-商业'!$B$105:$M$105</definedName>
    <definedName name="商业建筑结构" localSheetId="37">'[1]不动产比较法-商业'!$B$105:$M$105</definedName>
    <definedName name="商业建筑结构" localSheetId="16">'[1]不动产比较法-商业'!$B$105:$M$105</definedName>
    <definedName name="商业建筑结构">'不动产比较法-商'!$B$105:$M$105</definedName>
    <definedName name="商业交易情况" localSheetId="45">'[1]不动产比较法-商业'!$A$61:$M$61</definedName>
    <definedName name="商业交易情况" localSheetId="37">'[1]不动产比较法-商业'!$A$61:$M$61</definedName>
    <definedName name="商业交易情况" localSheetId="16">'[1]不动产比较法-商业'!$A$61:$M$61</definedName>
    <definedName name="商业交易情况">'不动产比较法-商'!$A$61:$M$61</definedName>
    <definedName name="商业街名称" localSheetId="45">[1]修正!$C$59:$C$119</definedName>
    <definedName name="商业街名称" localSheetId="37">[1]修正!$C$59:$C$119</definedName>
    <definedName name="商业街名称" localSheetId="16">[1]修正!$C$59:$C$119</definedName>
    <definedName name="商业街名称">修正!$C$59:$C$119</definedName>
    <definedName name="商业进深比" localSheetId="45">'[1]不动产比较法-商业'!$B$120:$M$120</definedName>
    <definedName name="商业进深比" localSheetId="37">'[1]不动产比较法-商业'!$B$120:$M$120</definedName>
    <definedName name="商业进深比" localSheetId="16">'[1]不动产比较法-商业'!$B$120:$M$120</definedName>
    <definedName name="商业进深比">'不动产比较法-商'!$B$120:$M$120</definedName>
    <definedName name="商业类型" localSheetId="45">'[1]不动产比较法-商业'!$B$100:$M$100</definedName>
    <definedName name="商业类型" localSheetId="37">'[1]不动产比较法-商业'!$B$100:$M$100</definedName>
    <definedName name="商业类型" localSheetId="16">'[1]不动产比较法-商业'!$B$100:$M$100</definedName>
    <definedName name="商业类型">'不动产比较法-商'!$B$100:$M$100</definedName>
    <definedName name="商业临街状况" localSheetId="45">'[1]不动产比较法-商业'!$B$86:$M$86</definedName>
    <definedName name="商业临街状况" localSheetId="37">'[1]不动产比较法-商业'!$B$86:$M$86</definedName>
    <definedName name="商业临街状况" localSheetId="16">'[1]不动产比较法-商业'!$B$86:$M$86</definedName>
    <definedName name="商业临街状况">'不动产比较法-商'!$B$86:$M$86</definedName>
    <definedName name="商业楼层" localSheetId="45">'[1]不动产比较法-商业'!$B$92:$M$92</definedName>
    <definedName name="商业楼层" localSheetId="37">'[1]不动产比较法-商业'!$B$92:$M$92</definedName>
    <definedName name="商业楼层" localSheetId="16">'[1]不动产比较法-商业'!$B$92:$M$92</definedName>
    <definedName name="商业楼层">'不动产比较法-商'!$B$92:$M$92</definedName>
    <definedName name="商业内部装修" localSheetId="45">'[1]不动产比较法-商业'!$B$122:$M$122</definedName>
    <definedName name="商业内部装修" localSheetId="37">'[1]不动产比较法-商业'!$B$122:$M$122</definedName>
    <definedName name="商业内部装修" localSheetId="16">'[1]不动产比较法-商业'!$B$122:$M$122</definedName>
    <definedName name="商业内部装修">'不动产比较法-商'!$B$122:$M$122</definedName>
    <definedName name="商业人流量" localSheetId="45">'[1]不动产比较法-商业'!$B$90:$M$90</definedName>
    <definedName name="商业人流量" localSheetId="37">'[1]不动产比较法-商业'!$B$90:$M$90</definedName>
    <definedName name="商业人流量" localSheetId="16">'[1]不动产比较法-商业'!$B$90:$M$90</definedName>
    <definedName name="商业人流量">'不动产比较法-商'!$B$90:$M$90</definedName>
    <definedName name="商业业态" localSheetId="45">'[1]不动产比较法-商业'!$B$114:$M$114</definedName>
    <definedName name="商业业态" localSheetId="37">'[1]不动产比较法-商业'!$B$114:$M$114</definedName>
    <definedName name="商业业态" localSheetId="16">'[1]不动产比较法-商业'!$B$114:$M$114</definedName>
    <definedName name="商业业态">'不动产比较法-商'!$B$114:$M$114</definedName>
    <definedName name="商业用途" localSheetId="45">'[1]不动产比较法-商业'!$B$63:$M$63</definedName>
    <definedName name="商业用途" localSheetId="37">'[1]不动产比较法-商业'!$B$63:$M$63</definedName>
    <definedName name="商业用途" localSheetId="16">'[1]不动产比较法-商业'!$B$63:$M$63</definedName>
    <definedName name="商业用途">'不动产比较法-商'!$B$63:$M$63</definedName>
    <definedName name="十二级">区片价!$T$1:$T$8</definedName>
    <definedName name="十级">区片价!$R$1:$R$27</definedName>
    <definedName name="十一级">区片价!$S$1:$S$22</definedName>
    <definedName name="是否封闭" localSheetId="45">'[1]不动产比较法-仓储'!$B$89:$M$89</definedName>
    <definedName name="是否封闭" localSheetId="37">'[1]不动产比较法-仓储'!$B$89:$M$89</definedName>
    <definedName name="是否封闭" localSheetId="16">'[1]不动产比较法-仓储'!$B$89:$M$89</definedName>
    <definedName name="是否封闭">'不动产比较法-仓储'!$B$89:$M$89</definedName>
    <definedName name="是否直接入户" localSheetId="45">'[1]不动产比较法-车位'!$B$95:$M$95</definedName>
    <definedName name="是否直接入户" localSheetId="37">'[1]不动产比较法-车位'!$B$95:$M$95</definedName>
    <definedName name="是否直接入户" localSheetId="16">'[1]不动产比较法-车位'!$B$95:$M$95</definedName>
    <definedName name="是否直接入户">'不动产比较法-车位'!$B$95:$M$95</definedName>
    <definedName name="四级">区片价!$L$1:$L$28</definedName>
    <definedName name="套工工程地质条件" localSheetId="45">'[1]比较法-工业'!$B$116:$M$116</definedName>
    <definedName name="套工工程地质条件" localSheetId="37">'[1]比较法-工业'!$B$116:$M$116</definedName>
    <definedName name="套工工程地质条件" localSheetId="16">'[1]比较法-工业'!$B$116:$M$116</definedName>
    <definedName name="套工工程地质条件">'比较法-工业'!$B$116:$M$116</definedName>
    <definedName name="套工交易情况" localSheetId="45">'[1]比较法-住宅'!$A$75:$M$75</definedName>
    <definedName name="套工交易情况" localSheetId="37">'[1]比较法-住宅'!$A$75:$M$75</definedName>
    <definedName name="套工交易情况" localSheetId="16">'[1]比较法-住宅'!$A$75:$M$75</definedName>
    <definedName name="套工交易情况">'比较法-住宅、综合'!$A$75:$M$75</definedName>
    <definedName name="套工开发程度" localSheetId="45">'[1]比较法-工业'!$B$114:$M$114</definedName>
    <definedName name="套工开发程度" localSheetId="37">'[1]比较法-工业'!$B$114:$M$114</definedName>
    <definedName name="套工开发程度" localSheetId="16">'[1]比较法-工业'!$B$114:$M$114</definedName>
    <definedName name="套工开发程度">'比较法-工业'!$B$114:$M$114</definedName>
    <definedName name="套工临街等级" localSheetId="45">'[1]比较法-工业'!$B$99:$M$99</definedName>
    <definedName name="套工临街等级" localSheetId="37">'[1]比较法-工业'!$B$99:$M$99</definedName>
    <definedName name="套工临街等级" localSheetId="16">'[1]比较法-工业'!$B$99:$M$99</definedName>
    <definedName name="套工临街等级">'比较法-工业'!$B$99:$M$99</definedName>
    <definedName name="套工土地级别" localSheetId="45">'[1]比较法-工业'!$B$101:$M$101</definedName>
    <definedName name="套工土地级别" localSheetId="37">'[1]比较法-工业'!$B$101:$M$101</definedName>
    <definedName name="套工土地级别" localSheetId="16">'[1]比较法-工业'!$B$101:$M$101</definedName>
    <definedName name="套工土地级别">'比较法-工业'!$B$101:$M$101</definedName>
    <definedName name="套工用途" localSheetId="45">'[1]比较法-工业'!$B$72:$M$72</definedName>
    <definedName name="套工用途" localSheetId="37">'[1]比较法-工业'!$B$72:$M$72</definedName>
    <definedName name="套工用途" localSheetId="16">'[1]比较法-工业'!$B$72:$M$72</definedName>
    <definedName name="套工用途">'比较法-工业'!$B$72:$M$72</definedName>
    <definedName name="套工宗地形状" localSheetId="45">'[1]比较法-工业'!$B$112:$M$112</definedName>
    <definedName name="套工宗地形状" localSheetId="37">'[1]比较法-工业'!$B$112:$M$112</definedName>
    <definedName name="套工宗地形状" localSheetId="16">'[1]比较法-工业'!$B$112:$M$112</definedName>
    <definedName name="套工宗地形状">'比较法-工业'!$B$112:$M$112</definedName>
    <definedName name="套综道路等级" localSheetId="45">'[1]比较法-住宅'!$B$108:$M$108</definedName>
    <definedName name="套综道路等级" localSheetId="37">'[1]比较法-住宅'!$B$108:$M$108</definedName>
    <definedName name="套综道路等级" localSheetId="16">'[1]比较法-住宅'!$B$108:$M$108</definedName>
    <definedName name="套综道路等级">'比较法-住宅、综合'!$B$108:$M$108</definedName>
    <definedName name="套综工程地质条件" localSheetId="45">'[1]比较法-住宅'!$B$127:$M$127</definedName>
    <definedName name="套综工程地质条件" localSheetId="37">'[1]比较法-住宅'!$B$127:$M$127</definedName>
    <definedName name="套综工程地质条件" localSheetId="16">'[1]比较法-住宅'!$B$127:$M$127</definedName>
    <definedName name="套综工程地质条件">'比较法-住宅、综合'!$B$127:$M$127</definedName>
    <definedName name="套综交易情况" localSheetId="45">'[1]比较法-住宅'!$A$75:$M$75</definedName>
    <definedName name="套综交易情况" localSheetId="37">'[1]比较法-住宅'!$A$75:$M$75</definedName>
    <definedName name="套综交易情况" localSheetId="16">'[1]比较法-住宅'!$A$75:$M$75</definedName>
    <definedName name="套综交易情况">'比较法-住宅、综合'!$A$75:$M$75</definedName>
    <definedName name="套综临街宽度及深度" localSheetId="45">'[1]比较法-住宅'!$B$123:$M$123</definedName>
    <definedName name="套综临街宽度及深度" localSheetId="37">'[1]比较法-住宅'!$B$123:$M$123</definedName>
    <definedName name="套综临街宽度及深度" localSheetId="16">'[1]比较法-住宅'!$B$123:$M$123</definedName>
    <definedName name="套综临街宽度及深度">'比较法-住宅、综合'!$B$123:$M$123</definedName>
    <definedName name="套综土地级别" localSheetId="45">'[1]比较法-住宅'!$B$110:$M$110</definedName>
    <definedName name="套综土地级别" localSheetId="37">'[1]比较法-住宅'!$B$110:$M$110</definedName>
    <definedName name="套综土地级别" localSheetId="16">'[1]比较法-住宅'!$B$110:$M$110</definedName>
    <definedName name="套综土地级别">'比较法-住宅、综合'!$B$110:$M$110</definedName>
    <definedName name="套综用途" localSheetId="45">'[1]比较法-住宅'!$B$77:$M$77</definedName>
    <definedName name="套综用途" localSheetId="37">'[1]比较法-住宅'!$B$77:$M$77</definedName>
    <definedName name="套综用途" localSheetId="16">'[1]比较法-住宅'!$B$77:$M$77</definedName>
    <definedName name="套综用途">'比较法-住宅、综合'!$B$77:$M$77</definedName>
    <definedName name="套综宗地内开发程度" localSheetId="45">'[1]比较法-住宅'!$B$125:$M$125</definedName>
    <definedName name="套综宗地内开发程度" localSheetId="37">'[1]比较法-住宅'!$B$125:$M$125</definedName>
    <definedName name="套综宗地内开发程度" localSheetId="16">'[1]比较法-住宅'!$B$125:$M$125</definedName>
    <definedName name="套综宗地内开发程度">'比较法-住宅、综合'!$B$125:$M$125</definedName>
    <definedName name="套综宗地形状" localSheetId="45">'[1]比较法-住宅'!$B$121:$M$121</definedName>
    <definedName name="套综宗地形状" localSheetId="37">'[1]比较法-住宅'!$B$121:$M$121</definedName>
    <definedName name="套综宗地形状" localSheetId="16">'[1]比较法-住宅'!$B$121:$M$121</definedName>
    <definedName name="套综宗地形状">'比较法-住宅、综合'!$B$121:$M$121</definedName>
    <definedName name="土地估价师" localSheetId="45">[1]估价师及机构信息!$D$3:$D$16</definedName>
    <definedName name="土地估价师" localSheetId="37">[1]估价师及机构信息!$D$3:$D$16</definedName>
    <definedName name="土地估价师" localSheetId="16">[1]估价师及机构信息!$D$3:$D$16</definedName>
    <definedName name="土地估价师">估价师及机构信息!$D$3:$D$16</definedName>
    <definedName name="土地级别" localSheetId="45">[1]定义!$C$1:$C$14</definedName>
    <definedName name="土地级别" localSheetId="37">[1]定义!$C$1:$C$14</definedName>
    <definedName name="土地级别" localSheetId="16">[1]定义!$C$1:$C$14</definedName>
    <definedName name="土地级别">定义!$C$1:$C$14</definedName>
    <definedName name="土地利用方向">定义!$P$1:$P$6</definedName>
    <definedName name="土地年限区间" localSheetId="45">[1]定义!$I$1:$I$8</definedName>
    <definedName name="土地年限区间" localSheetId="37">[1]定义!$I$1:$I$8</definedName>
    <definedName name="土地年限区间" localSheetId="16">[1]定义!$I$1:$I$8</definedName>
    <definedName name="土地年限区间">定义!$I$1:$I$8</definedName>
    <definedName name="位置" localSheetId="45">[1]定义!$E$2:$E$4</definedName>
    <definedName name="位置" localSheetId="37">[1]定义!$E$2:$E$4</definedName>
    <definedName name="位置" localSheetId="16">[1]定义!$E$2:$E$4</definedName>
    <definedName name="位置">定义!$E$2:$E$4</definedName>
    <definedName name="五等判定" localSheetId="45">[1]定义!$W$1:$W$6</definedName>
    <definedName name="五等判定" localSheetId="37">[1]定义!$W$1:$W$6</definedName>
    <definedName name="五等判定" localSheetId="16">[1]定义!$W$1:$W$6</definedName>
    <definedName name="五等判定">定义!$W$1:$W$6</definedName>
    <definedName name="五级">区片价!$M$1:$M$35</definedName>
    <definedName name="项目类型" localSheetId="45">'[1]数据-汇总表'!$C$17:$C$26</definedName>
    <definedName name="项目类型" localSheetId="37">'[1]数据-汇总表'!$C$17:$C$26</definedName>
    <definedName name="项目类型" localSheetId="16">'[1]数据-汇总表'!$C$17:$C$26</definedName>
    <definedName name="项目类型">'数据-汇总表'!$C$17:$C$26</definedName>
    <definedName name="写字楼等级" localSheetId="45">'[1]不动产比较法-办公'!$B$113:$M$113</definedName>
    <definedName name="写字楼等级" localSheetId="37">'[1]不动产比较法-办公'!$B$113:$M$113</definedName>
    <definedName name="写字楼等级" localSheetId="16">'[1]不动产比较法-办公'!$B$113:$M$113</definedName>
    <definedName name="写字楼等级">'不动产比较法-办'!$B$113:$M$113</definedName>
    <definedName name="一级">区片价!$I$1:$I$6</definedName>
    <definedName name="一修多修正项2" localSheetId="45">[1]典型户型修正!$5:$5</definedName>
    <definedName name="一修多修正项2" localSheetId="37">[1]典型户型修正!$5:$5</definedName>
    <definedName name="一修多修正项2" localSheetId="16">[1]典型户型修正!$5:$5</definedName>
    <definedName name="一修多修正项2">典型户型修正!$5:$5</definedName>
    <definedName name="一修多修正项3" localSheetId="45">[1]典型户型修正!$7:$7</definedName>
    <definedName name="一修多修正项3" localSheetId="37">[1]典型户型修正!$7:$7</definedName>
    <definedName name="一修多修正项3" localSheetId="16">[1]典型户型修正!$7:$7</definedName>
    <definedName name="一修多修正项3">典型户型修正!$7:$7</definedName>
    <definedName name="一修多修正项4" localSheetId="45">[1]典型户型修正!$9:$9</definedName>
    <definedName name="一修多修正项4" localSheetId="37">[1]典型户型修正!$9:$9</definedName>
    <definedName name="一修多修正项4" localSheetId="16">[1]典型户型修正!$9:$9</definedName>
    <definedName name="一修多修正项4">典型户型修正!$9:$9</definedName>
    <definedName name="一修多修正项5" localSheetId="45">[1]典型户型修正!$11:$11</definedName>
    <definedName name="一修多修正项5" localSheetId="37">[1]典型户型修正!$11:$11</definedName>
    <definedName name="一修多修正项5" localSheetId="16">[1]典型户型修正!$11:$11</definedName>
    <definedName name="一修多修正项5">典型户型修正!$11:$11</definedName>
    <definedName name="一修多修正项6" localSheetId="45">[1]典型户型修正!$13:$13</definedName>
    <definedName name="一修多修正项6" localSheetId="37">[1]典型户型修正!$13:$13</definedName>
    <definedName name="一修多修正项6" localSheetId="16">[1]典型户型修正!$13:$13</definedName>
    <definedName name="一修多修正项6">典型户型修正!$13:$13</definedName>
    <definedName name="一修多修正项7" localSheetId="45">[1]典型户型修正!$15:$15</definedName>
    <definedName name="一修多修正项7" localSheetId="37">[1]典型户型修正!$15:$15</definedName>
    <definedName name="一修多修正项7" localSheetId="16">[1]典型户型修正!$15:$15</definedName>
    <definedName name="一修多修正项7">典型户型修正!$15:$15</definedName>
    <definedName name="一修多修正项8" localSheetId="45">[1]典型户型修正!$17:$17</definedName>
    <definedName name="一修多修正项8" localSheetId="37">[1]典型户型修正!$17:$17</definedName>
    <definedName name="一修多修正项8" localSheetId="16">[1]典型户型修正!$17:$17</definedName>
    <definedName name="一修多修正项8">典型户型修正!$17:$17</definedName>
    <definedName name="用途类型" localSheetId="45">[1]定义!$A$1:$A$50</definedName>
    <definedName name="用途类型" localSheetId="37">[1]定义!$A$1:$A$50</definedName>
    <definedName name="用途类型" localSheetId="16">[1]定义!$A$1:$A$50</definedName>
    <definedName name="用途类型">定义!$A$1:$A$50</definedName>
    <definedName name="有无电梯" localSheetId="45">'[1]不动产比较法-仓储'!$B$84:$M$84</definedName>
    <definedName name="有无电梯" localSheetId="37">'[1]不动产比较法-仓储'!$B$84:$M$84</definedName>
    <definedName name="有无电梯" localSheetId="16">'[1]不动产比较法-仓储'!$B$84:$M$84</definedName>
    <definedName name="有无电梯">'不动产比较法-仓储'!$B$84:$M$84</definedName>
    <definedName name="主用途" localSheetId="45">[1]定义!$F$1:$F$10</definedName>
    <definedName name="主用途" localSheetId="37">[1]定义!$F$1:$F$10</definedName>
    <definedName name="主用途" localSheetId="16">[1]定义!$F$1:$F$10</definedName>
    <definedName name="主用途">定义!$F$1:$F$10</definedName>
    <definedName name="住宅朝向" localSheetId="45">'[1]不动产比较法-住宅'!$B$88:$M$88</definedName>
    <definedName name="住宅朝向" localSheetId="37">'[1]不动产比较法-住宅'!$B$88:$M$88</definedName>
    <definedName name="住宅朝向" localSheetId="16">'[1]不动产比较法-住宅'!$B$88:$M$88</definedName>
    <definedName name="住宅朝向">'不动产比较法-住宅'!$B$88:$M$88</definedName>
    <definedName name="住宅房型" localSheetId="45">'[1]不动产比较法-住宅'!$B$118:$M$118</definedName>
    <definedName name="住宅房型" localSheetId="37">'[1]不动产比较法-住宅'!$B$118:$M$118</definedName>
    <definedName name="住宅房型" localSheetId="16">'[1]不动产比较法-住宅'!$B$118:$M$118</definedName>
    <definedName name="住宅房型">'不动产比较法-住宅'!$B$118:$M$118</definedName>
    <definedName name="住宅公共部分装修" localSheetId="45">'[1]不动产比较法-住宅'!$B$109:$M$109</definedName>
    <definedName name="住宅公共部分装修" localSheetId="37">'[1]不动产比较法-住宅'!$B$109:$M$109</definedName>
    <definedName name="住宅公共部分装修" localSheetId="16">'[1]不动产比较法-住宅'!$B$109:$M$109</definedName>
    <definedName name="住宅公共部分装修">'不动产比较法-住宅'!$B$109:$M$109</definedName>
    <definedName name="住宅基础设施水平" localSheetId="45">'[1]不动产比较法-住宅'!$B$116:$M$116</definedName>
    <definedName name="住宅基础设施水平" localSheetId="37">'[1]不动产比较法-住宅'!$B$116:$M$116</definedName>
    <definedName name="住宅基础设施水平" localSheetId="16">'[1]不动产比较法-住宅'!$B$116:$M$116</definedName>
    <definedName name="住宅基础设施水平">'不动产比较法-住宅'!$B$116:$M$116</definedName>
    <definedName name="住宅建筑结构" localSheetId="45">'[1]不动产比较法-住宅'!$B$105:$M$105</definedName>
    <definedName name="住宅建筑结构" localSheetId="37">'[1]不动产比较法-住宅'!$B$105:$M$105</definedName>
    <definedName name="住宅建筑结构" localSheetId="16">'[1]不动产比较法-住宅'!$B$105:$M$105</definedName>
    <definedName name="住宅建筑结构">'不动产比较法-住宅'!$B$105:$M$105</definedName>
    <definedName name="住宅建筑类型" localSheetId="45">'[1]不动产比较法-住宅'!$B$100:$M$100</definedName>
    <definedName name="住宅建筑类型" localSheetId="37">'[1]不动产比较法-住宅'!$B$100:$M$100</definedName>
    <definedName name="住宅建筑类型" localSheetId="16">'[1]不动产比较法-住宅'!$B$100:$M$100</definedName>
    <definedName name="住宅建筑类型">'不动产比较法-住宅'!$B$100:$M$100</definedName>
    <definedName name="住宅建筑品质" localSheetId="45">'[1]不动产比较法-住宅'!$B$107:$M$107</definedName>
    <definedName name="住宅建筑品质" localSheetId="37">'[1]不动产比较法-住宅'!$B$107:$M$107</definedName>
    <definedName name="住宅建筑品质" localSheetId="16">'[1]不动产比较法-住宅'!$B$107:$M$107</definedName>
    <definedName name="住宅建筑品质">'不动产比较法-住宅'!$B$107:$M$107</definedName>
    <definedName name="住宅交易情况" localSheetId="45">'[1]不动产比较法-住宅'!$A$61:$M$61</definedName>
    <definedName name="住宅交易情况" localSheetId="37">'[1]不动产比较法-住宅'!$A$61:$M$61</definedName>
    <definedName name="住宅交易情况" localSheetId="16">'[1]不动产比较法-住宅'!$A$61:$M$61</definedName>
    <definedName name="住宅交易情况">'不动产比较法-住宅'!$A$61:$M$61</definedName>
    <definedName name="住宅楼层" localSheetId="45">'[1]不动产比较法-住宅'!$B$86:$M$86</definedName>
    <definedName name="住宅楼层" localSheetId="37">'[1]不动产比较法-住宅'!$B$86:$M$86</definedName>
    <definedName name="住宅楼层" localSheetId="16">'[1]不动产比较法-住宅'!$B$86:$M$86</definedName>
    <definedName name="住宅楼层">'不动产比较法-住宅'!$B$86:$M$86</definedName>
    <definedName name="住宅内部装修" localSheetId="45">'[1]不动产比较法-住宅'!$B$122:$M$122</definedName>
    <definedName name="住宅内部装修" localSheetId="37">'[1]不动产比较法-住宅'!$B$122:$M$122</definedName>
    <definedName name="住宅内部装修" localSheetId="16">'[1]不动产比较法-住宅'!$B$122:$M$122</definedName>
    <definedName name="住宅内部装修">'不动产比较法-住宅'!$B$122:$M$122</definedName>
    <definedName name="住宅物业管理" localSheetId="45">'[1]不动产比较法-住宅'!$B$114:$M$114</definedName>
    <definedName name="住宅物业管理" localSheetId="37">'[1]不动产比较法-住宅'!$B$114:$M$114</definedName>
    <definedName name="住宅物业管理" localSheetId="16">'[1]不动产比较法-住宅'!$B$114:$M$114</definedName>
    <definedName name="住宅物业管理">'不动产比较法-住宅'!$B$114:$M$114</definedName>
    <definedName name="住宅用途" localSheetId="45">'[1]不动产比较法-住宅'!$B$63:$M$63</definedName>
    <definedName name="住宅用途" localSheetId="37">'[1]不动产比较法-住宅'!$B$63:$M$63</definedName>
    <definedName name="住宅用途" localSheetId="16">'[1]不动产比较法-住宅'!$B$63:$M$63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9" i="12" l="1"/>
  <c r="F21" i="73" l="1"/>
  <c r="I60" i="34" l="1"/>
  <c r="H60" i="34"/>
  <c r="G60" i="34"/>
  <c r="F60" i="34"/>
  <c r="E60" i="34"/>
  <c r="D60" i="34"/>
  <c r="I5" i="34"/>
  <c r="G5" i="34"/>
  <c r="E5" i="34"/>
  <c r="D5" i="9"/>
  <c r="C19" i="68"/>
  <c r="F4" i="75"/>
  <c r="F3" i="75"/>
  <c r="F5" i="75" s="1"/>
  <c r="E21" i="75"/>
  <c r="E20" i="75"/>
  <c r="E19" i="75"/>
  <c r="E18" i="75"/>
  <c r="E17" i="75"/>
  <c r="I15" i="75"/>
  <c r="A15" i="75"/>
  <c r="A21" i="75" s="1"/>
  <c r="I14" i="75"/>
  <c r="A14" i="75"/>
  <c r="A20" i="75" s="1"/>
  <c r="A13" i="75"/>
  <c r="A19" i="75" s="1"/>
  <c r="K10" i="75"/>
  <c r="I7" i="75"/>
  <c r="H7" i="75"/>
  <c r="F7" i="75"/>
  <c r="E7" i="75"/>
  <c r="D7" i="75"/>
  <c r="B7" i="75"/>
  <c r="I6" i="75"/>
  <c r="H6" i="75"/>
  <c r="F6" i="75"/>
  <c r="D6" i="75"/>
  <c r="C6" i="75"/>
  <c r="B6" i="75"/>
  <c r="I5" i="75"/>
  <c r="E5" i="75"/>
  <c r="B5" i="75"/>
  <c r="E4" i="75"/>
  <c r="E3" i="75"/>
  <c r="C3" i="75"/>
  <c r="Q73" i="73"/>
  <c r="Q60" i="73"/>
  <c r="D60" i="73"/>
  <c r="Q59" i="73"/>
  <c r="K59" i="73"/>
  <c r="F58" i="73"/>
  <c r="Q52" i="73"/>
  <c r="J50" i="73"/>
  <c r="M47" i="73"/>
  <c r="F33" i="73"/>
  <c r="F60" i="73" s="1"/>
  <c r="F31" i="73"/>
  <c r="F23" i="73"/>
  <c r="F20" i="73"/>
  <c r="M19" i="73"/>
  <c r="F18" i="73"/>
  <c r="M17" i="73"/>
  <c r="F17" i="73"/>
  <c r="F15" i="73"/>
  <c r="F25" i="72"/>
  <c r="C25" i="72" s="1"/>
  <c r="F23" i="72"/>
  <c r="E22" i="72"/>
  <c r="E21" i="72"/>
  <c r="E19" i="72"/>
  <c r="F17" i="72"/>
  <c r="E16" i="72"/>
  <c r="F15" i="72"/>
  <c r="F14" i="72"/>
  <c r="K9" i="72"/>
  <c r="J9" i="72"/>
  <c r="I9" i="72"/>
  <c r="H9" i="72"/>
  <c r="G9" i="72"/>
  <c r="F9" i="72"/>
  <c r="E9" i="72"/>
  <c r="D9" i="72"/>
  <c r="Y7" i="1"/>
  <c r="K59" i="33"/>
  <c r="J59" i="33"/>
  <c r="I59" i="33"/>
  <c r="H59" i="33"/>
  <c r="G59" i="33"/>
  <c r="F59" i="33"/>
  <c r="E59" i="33"/>
  <c r="D59" i="33"/>
  <c r="I36" i="33"/>
  <c r="G36" i="33"/>
  <c r="I26" i="33"/>
  <c r="G26" i="33"/>
  <c r="E26" i="33"/>
  <c r="G89" i="33"/>
  <c r="F89" i="33"/>
  <c r="E89" i="33"/>
  <c r="D89" i="33"/>
  <c r="I5" i="33"/>
  <c r="G5" i="33"/>
  <c r="E5" i="33"/>
  <c r="L30" i="69"/>
  <c r="F113" i="68"/>
  <c r="N99" i="68"/>
  <c r="M99" i="68"/>
  <c r="M108" i="68" s="1"/>
  <c r="L99" i="68"/>
  <c r="K99" i="68"/>
  <c r="K108" i="68" s="1"/>
  <c r="J99" i="68"/>
  <c r="I99" i="68"/>
  <c r="I108" i="68" s="1"/>
  <c r="H99" i="68"/>
  <c r="G99" i="68"/>
  <c r="G108" i="68" s="1"/>
  <c r="F99" i="68"/>
  <c r="E99" i="68"/>
  <c r="E108" i="68" s="1"/>
  <c r="D99" i="68"/>
  <c r="D108" i="68" s="1"/>
  <c r="C99" i="68"/>
  <c r="C100" i="68" s="1"/>
  <c r="M87" i="68"/>
  <c r="N87" i="68" s="1"/>
  <c r="K87" i="68"/>
  <c r="J87" i="68" s="1"/>
  <c r="D87" i="68"/>
  <c r="N86" i="68"/>
  <c r="M86" i="68"/>
  <c r="K86" i="68"/>
  <c r="J86" i="68" s="1"/>
  <c r="D86" i="68"/>
  <c r="N85" i="68"/>
  <c r="M85" i="68"/>
  <c r="K85" i="68"/>
  <c r="J85" i="68" s="1"/>
  <c r="D85" i="68"/>
  <c r="N84" i="68"/>
  <c r="M84" i="68"/>
  <c r="K84" i="68"/>
  <c r="J84" i="68" s="1"/>
  <c r="D84" i="68"/>
  <c r="N83" i="68"/>
  <c r="M83" i="68"/>
  <c r="K83" i="68"/>
  <c r="J83" i="68" s="1"/>
  <c r="D83" i="68"/>
  <c r="B83" i="68"/>
  <c r="M82" i="68"/>
  <c r="N82" i="68" s="1"/>
  <c r="K82" i="68"/>
  <c r="J82" i="68" s="1"/>
  <c r="D82" i="68"/>
  <c r="B82" i="68"/>
  <c r="N81" i="68"/>
  <c r="M81" i="68"/>
  <c r="K81" i="68"/>
  <c r="J81" i="68" s="1"/>
  <c r="D81" i="68"/>
  <c r="N80" i="68"/>
  <c r="M80" i="68"/>
  <c r="K80" i="68"/>
  <c r="J80" i="68" s="1"/>
  <c r="F80" i="68"/>
  <c r="H86" i="68" s="1"/>
  <c r="D80" i="68"/>
  <c r="E80" i="68" s="1"/>
  <c r="B78" i="68" s="1"/>
  <c r="M77" i="68"/>
  <c r="N77" i="68" s="1"/>
  <c r="K77" i="68"/>
  <c r="J77" i="68" s="1"/>
  <c r="D77" i="68"/>
  <c r="M76" i="68"/>
  <c r="N76" i="68" s="1"/>
  <c r="K76" i="68"/>
  <c r="J76" i="68" s="1"/>
  <c r="D76" i="68"/>
  <c r="N75" i="68"/>
  <c r="M75" i="68"/>
  <c r="K75" i="68"/>
  <c r="J75" i="68" s="1"/>
  <c r="D75" i="68"/>
  <c r="N74" i="68"/>
  <c r="M74" i="68"/>
  <c r="K74" i="68"/>
  <c r="J74" i="68" s="1"/>
  <c r="D74" i="68"/>
  <c r="M73" i="68"/>
  <c r="N73" i="68" s="1"/>
  <c r="K73" i="68"/>
  <c r="J73" i="68" s="1"/>
  <c r="D73" i="68"/>
  <c r="M72" i="68"/>
  <c r="N72" i="68" s="1"/>
  <c r="K72" i="68"/>
  <c r="J72" i="68" s="1"/>
  <c r="D72" i="68"/>
  <c r="M71" i="68"/>
  <c r="N71" i="68" s="1"/>
  <c r="K71" i="68"/>
  <c r="J71" i="68" s="1"/>
  <c r="D71" i="68"/>
  <c r="B71" i="68"/>
  <c r="M70" i="68"/>
  <c r="N70" i="68" s="1"/>
  <c r="K70" i="68"/>
  <c r="J70" i="68" s="1"/>
  <c r="D70" i="68"/>
  <c r="M69" i="68"/>
  <c r="N69" i="68" s="1"/>
  <c r="K69" i="68"/>
  <c r="J69" i="68" s="1"/>
  <c r="F69" i="68"/>
  <c r="H75" i="68" s="1"/>
  <c r="D69" i="68"/>
  <c r="E69" i="68" s="1"/>
  <c r="B67" i="68" s="1"/>
  <c r="M66" i="68"/>
  <c r="N66" i="68" s="1"/>
  <c r="K66" i="68"/>
  <c r="J66" i="68" s="1"/>
  <c r="D66" i="68"/>
  <c r="M65" i="68"/>
  <c r="N65" i="68" s="1"/>
  <c r="K65" i="68"/>
  <c r="J65" i="68" s="1"/>
  <c r="D65" i="68" s="1"/>
  <c r="M64" i="68"/>
  <c r="N64" i="68" s="1"/>
  <c r="K64" i="68"/>
  <c r="J64" i="68" s="1"/>
  <c r="D64" i="68"/>
  <c r="M63" i="68"/>
  <c r="N63" i="68" s="1"/>
  <c r="K63" i="68"/>
  <c r="J63" i="68" s="1"/>
  <c r="M62" i="68"/>
  <c r="N62" i="68" s="1"/>
  <c r="K62" i="68"/>
  <c r="J62" i="68" s="1"/>
  <c r="M61" i="68"/>
  <c r="N61" i="68" s="1"/>
  <c r="K61" i="68"/>
  <c r="J61" i="68" s="1"/>
  <c r="M60" i="68"/>
  <c r="N60" i="68" s="1"/>
  <c r="K60" i="68"/>
  <c r="J60" i="68"/>
  <c r="D60" i="68"/>
  <c r="B60" i="68"/>
  <c r="M59" i="68"/>
  <c r="N59" i="68" s="1"/>
  <c r="K59" i="68"/>
  <c r="J59" i="68" s="1"/>
  <c r="D59" i="68"/>
  <c r="M58" i="68"/>
  <c r="N58" i="68" s="1"/>
  <c r="K58" i="68"/>
  <c r="J58" i="68"/>
  <c r="D58" i="68"/>
  <c r="M55" i="68"/>
  <c r="N55" i="68" s="1"/>
  <c r="K55" i="68"/>
  <c r="J55" i="68"/>
  <c r="D55" i="68"/>
  <c r="M54" i="68"/>
  <c r="N54" i="68" s="1"/>
  <c r="K54" i="68"/>
  <c r="J54" i="68" s="1"/>
  <c r="D54" i="68"/>
  <c r="M53" i="68"/>
  <c r="N53" i="68" s="1"/>
  <c r="K53" i="68"/>
  <c r="J53" i="68" s="1"/>
  <c r="D53" i="68"/>
  <c r="M52" i="68"/>
  <c r="N52" i="68" s="1"/>
  <c r="K52" i="68"/>
  <c r="M51" i="68"/>
  <c r="N51" i="68" s="1"/>
  <c r="K51" i="68"/>
  <c r="J51" i="68" s="1"/>
  <c r="M50" i="68"/>
  <c r="N50" i="68" s="1"/>
  <c r="K50" i="68"/>
  <c r="J50" i="68" s="1"/>
  <c r="D50" i="68"/>
  <c r="M49" i="68"/>
  <c r="N49" i="68" s="1"/>
  <c r="K49" i="68"/>
  <c r="J49" i="68" s="1"/>
  <c r="D49" i="68"/>
  <c r="B49" i="68"/>
  <c r="M48" i="68"/>
  <c r="N48" i="68" s="1"/>
  <c r="K48" i="68"/>
  <c r="J48" i="68" s="1"/>
  <c r="D48" i="68"/>
  <c r="M47" i="68"/>
  <c r="N47" i="68" s="1"/>
  <c r="K47" i="68"/>
  <c r="J47" i="68" s="1"/>
  <c r="D47" i="68"/>
  <c r="H39" i="68"/>
  <c r="H38" i="68"/>
  <c r="H37" i="68"/>
  <c r="H36" i="68"/>
  <c r="H35" i="68"/>
  <c r="H34" i="68"/>
  <c r="H33" i="68"/>
  <c r="J20" i="68"/>
  <c r="E20" i="68"/>
  <c r="O28" i="68" s="1"/>
  <c r="I19" i="68"/>
  <c r="C18" i="68"/>
  <c r="F15" i="68"/>
  <c r="E15" i="68"/>
  <c r="D15" i="68"/>
  <c r="C15" i="68"/>
  <c r="C12" i="68" s="1"/>
  <c r="Y12" i="68"/>
  <c r="Y10" i="68"/>
  <c r="C10" i="68"/>
  <c r="C11" i="68" s="1"/>
  <c r="AJ9" i="68"/>
  <c r="AJ12" i="68" s="1"/>
  <c r="AI9" i="68"/>
  <c r="AI10" i="68" s="1"/>
  <c r="AH9" i="68"/>
  <c r="AH12" i="68" s="1"/>
  <c r="AG9" i="68"/>
  <c r="AG10" i="68" s="1"/>
  <c r="AF9" i="68"/>
  <c r="AF12" i="68" s="1"/>
  <c r="AE9" i="68"/>
  <c r="AE10" i="68" s="1"/>
  <c r="AD9" i="68"/>
  <c r="AD12" i="68" s="1"/>
  <c r="AC9" i="68"/>
  <c r="AC10" i="68" s="1"/>
  <c r="AB9" i="68"/>
  <c r="AB12" i="68" s="1"/>
  <c r="AA9" i="68"/>
  <c r="AA10" i="68" s="1"/>
  <c r="Z9" i="68"/>
  <c r="Z12" i="68" s="1"/>
  <c r="C9" i="68"/>
  <c r="C7" i="68"/>
  <c r="A7" i="68"/>
  <c r="G3" i="68"/>
  <c r="AJ11" i="68" s="1"/>
  <c r="I2" i="68"/>
  <c r="N12" i="68" s="1"/>
  <c r="G2" i="68"/>
  <c r="H113" i="68" s="1"/>
  <c r="N1" i="68"/>
  <c r="F1" i="68"/>
  <c r="D29" i="46"/>
  <c r="F1" i="46"/>
  <c r="D63" i="68" l="1"/>
  <c r="AC12" i="68"/>
  <c r="AG12" i="68"/>
  <c r="AA12" i="68"/>
  <c r="AE12" i="68"/>
  <c r="AI12" i="68"/>
  <c r="D61" i="68"/>
  <c r="E58" i="68" s="1"/>
  <c r="B56" i="68" s="1"/>
  <c r="D62" i="68"/>
  <c r="AJ13" i="68"/>
  <c r="D23" i="73"/>
  <c r="D22" i="73"/>
  <c r="D24" i="73"/>
  <c r="P75" i="73"/>
  <c r="P62" i="73"/>
  <c r="N5" i="68"/>
  <c r="M1" i="68"/>
  <c r="M2" i="68"/>
  <c r="N3" i="68"/>
  <c r="M7" i="68"/>
  <c r="N10" i="68"/>
  <c r="N11" i="68"/>
  <c r="M4" i="68"/>
  <c r="N6" i="68"/>
  <c r="M8" i="68"/>
  <c r="C6" i="68" s="1"/>
  <c r="B4" i="75" s="1"/>
  <c r="M9" i="68"/>
  <c r="M12" i="68"/>
  <c r="H69" i="68"/>
  <c r="H80" i="68"/>
  <c r="E9" i="68"/>
  <c r="E8" i="68"/>
  <c r="E11" i="68"/>
  <c r="E10" i="68"/>
  <c r="S7" i="68"/>
  <c r="Z7" i="68"/>
  <c r="Z11" i="68"/>
  <c r="Z13" i="68" s="1"/>
  <c r="AB11" i="68"/>
  <c r="AB13" i="68" s="1"/>
  <c r="AD11" i="68"/>
  <c r="AD13" i="68" s="1"/>
  <c r="AF11" i="68"/>
  <c r="AF13" i="68" s="1"/>
  <c r="AH11" i="68"/>
  <c r="AH13" i="68" s="1"/>
  <c r="D17" i="68"/>
  <c r="I17" i="68"/>
  <c r="K17" i="68"/>
  <c r="M17" i="68"/>
  <c r="O17" i="68"/>
  <c r="N28" i="68"/>
  <c r="P28" i="68"/>
  <c r="F33" i="68"/>
  <c r="F34" i="68"/>
  <c r="F35" i="68"/>
  <c r="F36" i="68"/>
  <c r="F37" i="68"/>
  <c r="F38" i="68"/>
  <c r="F39" i="68"/>
  <c r="S2" i="68"/>
  <c r="N101" i="68"/>
  <c r="L101" i="68"/>
  <c r="J101" i="68"/>
  <c r="H101" i="68"/>
  <c r="F101" i="68"/>
  <c r="D101" i="68"/>
  <c r="M101" i="68"/>
  <c r="I101" i="68"/>
  <c r="E101" i="68"/>
  <c r="B113" i="68"/>
  <c r="K101" i="68"/>
  <c r="G101" i="68"/>
  <c r="G109" i="68" s="1"/>
  <c r="C101" i="68"/>
  <c r="S4" i="68"/>
  <c r="Z10" i="68"/>
  <c r="AB10" i="68"/>
  <c r="AD10" i="68"/>
  <c r="AF10" i="68"/>
  <c r="AH10" i="68"/>
  <c r="AJ10" i="68"/>
  <c r="E22" i="68"/>
  <c r="G22" i="68"/>
  <c r="J22" i="68"/>
  <c r="J52" i="68"/>
  <c r="D52" i="68"/>
  <c r="N2" i="68"/>
  <c r="M3" i="68"/>
  <c r="S3" i="68"/>
  <c r="N4" i="68"/>
  <c r="M5" i="68"/>
  <c r="S5" i="68"/>
  <c r="M6" i="68"/>
  <c r="S6" i="68"/>
  <c r="N7" i="68"/>
  <c r="X7" i="68"/>
  <c r="N8" i="68"/>
  <c r="F47" i="68" s="1"/>
  <c r="N9" i="68"/>
  <c r="M10" i="68"/>
  <c r="M11" i="68"/>
  <c r="Y11" i="68"/>
  <c r="Y13" i="68" s="1"/>
  <c r="AA11" i="68"/>
  <c r="AA13" i="68" s="1"/>
  <c r="AC11" i="68"/>
  <c r="AC13" i="68" s="1"/>
  <c r="AE11" i="68"/>
  <c r="AE13" i="68" s="1"/>
  <c r="AG11" i="68"/>
  <c r="AG13" i="68" s="1"/>
  <c r="AI11" i="68"/>
  <c r="AI13" i="68" s="1"/>
  <c r="C17" i="68"/>
  <c r="H17" i="68"/>
  <c r="J17" i="68"/>
  <c r="L17" i="68"/>
  <c r="N17" i="68"/>
  <c r="F22" i="68"/>
  <c r="H22" i="68"/>
  <c r="M28" i="68"/>
  <c r="G20" i="68" s="1"/>
  <c r="D51" i="68"/>
  <c r="E47" i="68" s="1"/>
  <c r="B45" i="68" s="1"/>
  <c r="E109" i="68"/>
  <c r="I109" i="68"/>
  <c r="K109" i="68"/>
  <c r="M109" i="68"/>
  <c r="H71" i="68"/>
  <c r="H73" i="68"/>
  <c r="H76" i="68"/>
  <c r="H77" i="68"/>
  <c r="H82" i="68"/>
  <c r="H84" i="68"/>
  <c r="H87" i="68"/>
  <c r="D109" i="68"/>
  <c r="F108" i="68"/>
  <c r="F109" i="68" s="1"/>
  <c r="F100" i="68"/>
  <c r="H108" i="68"/>
  <c r="H100" i="68"/>
  <c r="J108" i="68"/>
  <c r="J109" i="68" s="1"/>
  <c r="J100" i="68"/>
  <c r="C23" i="68" s="1"/>
  <c r="L108" i="68"/>
  <c r="L100" i="68"/>
  <c r="N108" i="68"/>
  <c r="N109" i="68" s="1"/>
  <c r="N100" i="68"/>
  <c r="D100" i="68"/>
  <c r="G100" i="68"/>
  <c r="K100" i="68"/>
  <c r="C108" i="68"/>
  <c r="C109" i="68" s="1"/>
  <c r="H70" i="68"/>
  <c r="H72" i="68"/>
  <c r="H74" i="68"/>
  <c r="H81" i="68"/>
  <c r="H83" i="68"/>
  <c r="H85" i="68"/>
  <c r="E100" i="68"/>
  <c r="I100" i="68"/>
  <c r="M100" i="68"/>
  <c r="L109" i="68" l="1"/>
  <c r="H109" i="68"/>
  <c r="C24" i="68"/>
  <c r="I4" i="75" s="1"/>
  <c r="F58" i="68"/>
  <c r="H55" i="68"/>
  <c r="H53" i="68"/>
  <c r="H52" i="68"/>
  <c r="H50" i="68"/>
  <c r="H49" i="68"/>
  <c r="H47" i="68"/>
  <c r="H54" i="68"/>
  <c r="H51" i="68"/>
  <c r="H48" i="68"/>
  <c r="E41" i="68"/>
  <c r="C41" i="68" s="1"/>
  <c r="D22" i="68"/>
  <c r="C21" i="68" s="1"/>
  <c r="H4" i="75" s="1"/>
  <c r="G107" i="68"/>
  <c r="G106" i="68"/>
  <c r="G105" i="68"/>
  <c r="G104" i="68"/>
  <c r="G103" i="68"/>
  <c r="G102" i="68"/>
  <c r="I118" i="68"/>
  <c r="J118" i="68" s="1"/>
  <c r="K118" i="68" s="1"/>
  <c r="L118" i="68" s="1"/>
  <c r="M118" i="68" s="1"/>
  <c r="G118" i="68"/>
  <c r="H118" i="68" s="1"/>
  <c r="I117" i="68"/>
  <c r="J117" i="68" s="1"/>
  <c r="K117" i="68" s="1"/>
  <c r="L117" i="68" s="1"/>
  <c r="M117" i="68" s="1"/>
  <c r="I116" i="68"/>
  <c r="J116" i="68" s="1"/>
  <c r="K116" i="68" s="1"/>
  <c r="L116" i="68" s="1"/>
  <c r="M116" i="68" s="1"/>
  <c r="I115" i="68"/>
  <c r="J115" i="68" s="1"/>
  <c r="K115" i="68" s="1"/>
  <c r="L115" i="68" s="1"/>
  <c r="M115" i="68" s="1"/>
  <c r="D118" i="68"/>
  <c r="E118" i="68" s="1"/>
  <c r="F118" i="68" s="1"/>
  <c r="D117" i="68"/>
  <c r="E117" i="68" s="1"/>
  <c r="F117" i="68" s="1"/>
  <c r="G117" i="68" s="1"/>
  <c r="H117" i="68" s="1"/>
  <c r="D116" i="68"/>
  <c r="E116" i="68" s="1"/>
  <c r="F116" i="68" s="1"/>
  <c r="G116" i="68" s="1"/>
  <c r="H116" i="68" s="1"/>
  <c r="D115" i="68"/>
  <c r="E115" i="68" s="1"/>
  <c r="F115" i="68" s="1"/>
  <c r="G115" i="68" s="1"/>
  <c r="H115" i="68" s="1"/>
  <c r="B118" i="68"/>
  <c r="C118" i="68" s="1"/>
  <c r="B117" i="68"/>
  <c r="C117" i="68" s="1"/>
  <c r="B116" i="68"/>
  <c r="C116" i="68" s="1"/>
  <c r="B115" i="68"/>
  <c r="I107" i="68"/>
  <c r="I106" i="68"/>
  <c r="I105" i="68"/>
  <c r="I104" i="68"/>
  <c r="I103" i="68"/>
  <c r="I102" i="68"/>
  <c r="D107" i="68"/>
  <c r="D106" i="68"/>
  <c r="D105" i="68"/>
  <c r="D104" i="68"/>
  <c r="D103" i="68"/>
  <c r="D102" i="68"/>
  <c r="H107" i="68"/>
  <c r="H106" i="68"/>
  <c r="H105" i="68"/>
  <c r="H104" i="68"/>
  <c r="H103" i="68"/>
  <c r="H102" i="68"/>
  <c r="L107" i="68"/>
  <c r="L106" i="68"/>
  <c r="L105" i="68"/>
  <c r="L104" i="68"/>
  <c r="L103" i="68"/>
  <c r="L102" i="68"/>
  <c r="G17" i="68"/>
  <c r="C107" i="68"/>
  <c r="C106" i="68"/>
  <c r="C105" i="68"/>
  <c r="C104" i="68"/>
  <c r="C103" i="68"/>
  <c r="C102" i="68"/>
  <c r="K107" i="68"/>
  <c r="K106" i="68"/>
  <c r="K105" i="68"/>
  <c r="K104" i="68"/>
  <c r="K103" i="68"/>
  <c r="K102" i="68"/>
  <c r="E107" i="68"/>
  <c r="E106" i="68"/>
  <c r="E105" i="68"/>
  <c r="E104" i="68"/>
  <c r="E103" i="68"/>
  <c r="E102" i="68"/>
  <c r="M107" i="68"/>
  <c r="M106" i="68"/>
  <c r="M105" i="68"/>
  <c r="M104" i="68"/>
  <c r="M103" i="68"/>
  <c r="M102" i="68"/>
  <c r="F107" i="68"/>
  <c r="F106" i="68"/>
  <c r="F105" i="68"/>
  <c r="F104" i="68"/>
  <c r="F103" i="68"/>
  <c r="F102" i="68"/>
  <c r="J107" i="68"/>
  <c r="J106" i="68"/>
  <c r="J105" i="68"/>
  <c r="J104" i="68"/>
  <c r="J103" i="68"/>
  <c r="J102" i="68"/>
  <c r="N107" i="68"/>
  <c r="N106" i="68"/>
  <c r="N105" i="68"/>
  <c r="N104" i="68"/>
  <c r="N103" i="68"/>
  <c r="N102" i="68"/>
  <c r="H65" i="68" l="1"/>
  <c r="H60" i="68"/>
  <c r="H64" i="68"/>
  <c r="H59" i="68"/>
  <c r="H63" i="68"/>
  <c r="H58" i="68"/>
  <c r="H61" i="68"/>
  <c r="H66" i="68"/>
  <c r="H62" i="68"/>
  <c r="C115" i="68"/>
  <c r="D113" i="68"/>
  <c r="D3" i="4" l="1"/>
  <c r="F19" i="6"/>
  <c r="K13" i="3"/>
  <c r="D29" i="68" s="1"/>
  <c r="D1" i="68" s="1"/>
  <c r="F20" i="6" l="1"/>
  <c r="AH7" i="1" s="1"/>
  <c r="C34" i="34"/>
  <c r="C12" i="75"/>
  <c r="H12" i="75" s="1"/>
  <c r="H18" i="75" s="1"/>
  <c r="AH6" i="1"/>
  <c r="C33" i="33"/>
  <c r="G5" i="75"/>
  <c r="G4" i="75"/>
  <c r="G7" i="75" l="1"/>
  <c r="J7" i="75" s="1"/>
  <c r="J5" i="75"/>
  <c r="B19" i="75" l="1"/>
  <c r="K5" i="75"/>
  <c r="G3" i="75"/>
  <c r="G6" i="75"/>
  <c r="J6" i="75" s="1"/>
  <c r="B21" i="75"/>
  <c r="K7" i="75"/>
  <c r="B20" i="75" l="1"/>
  <c r="K6" i="75"/>
  <c r="B13" i="75" l="1"/>
  <c r="I13" i="75" s="1"/>
  <c r="J13" i="75" l="1"/>
  <c r="K13" i="75" l="1"/>
  <c r="D19" i="75"/>
  <c r="J19" i="75" s="1"/>
  <c r="K19" i="75" s="1"/>
  <c r="AH5" i="59" l="1"/>
  <c r="AG5" i="59"/>
  <c r="AE5" i="59"/>
  <c r="AF5" i="59" s="1"/>
  <c r="AD5" i="59"/>
  <c r="Q5" i="59"/>
  <c r="P5" i="59"/>
  <c r="O5" i="59"/>
  <c r="N5" i="59"/>
  <c r="E20" i="46" l="1"/>
  <c r="AH6" i="59" l="1"/>
  <c r="AG6" i="59"/>
  <c r="AE6" i="59"/>
  <c r="AF6" i="59" s="1"/>
  <c r="AD6" i="59"/>
  <c r="Q6" i="59"/>
  <c r="P6" i="59"/>
  <c r="O6" i="59"/>
  <c r="N6" i="59"/>
  <c r="AH7" i="59" l="1"/>
  <c r="AG7" i="59"/>
  <c r="AE7" i="59"/>
  <c r="AF7" i="59" s="1"/>
  <c r="AD7" i="59"/>
  <c r="Q7" i="59"/>
  <c r="P7" i="59"/>
  <c r="O7" i="59"/>
  <c r="N7" i="59"/>
  <c r="AH8" i="59" l="1"/>
  <c r="AG8" i="59"/>
  <c r="AE8" i="59"/>
  <c r="AF8" i="59" s="1"/>
  <c r="AD8" i="59"/>
  <c r="Q8" i="59"/>
  <c r="P8" i="59"/>
  <c r="O8" i="59"/>
  <c r="N8" i="59"/>
  <c r="C16" i="11" l="1"/>
  <c r="C15" i="11"/>
  <c r="C14" i="11"/>
  <c r="C9" i="11"/>
  <c r="C8" i="11"/>
  <c r="K36" i="36" l="1"/>
  <c r="K38" i="35"/>
  <c r="K42" i="37"/>
  <c r="K49" i="34"/>
  <c r="K48" i="33" l="1"/>
  <c r="K48" i="21"/>
  <c r="K44" i="40" l="1"/>
  <c r="K49" i="39"/>
  <c r="E77" i="9"/>
  <c r="F77" i="9"/>
  <c r="AH9" i="59" l="1"/>
  <c r="AG9" i="59"/>
  <c r="AE9" i="59"/>
  <c r="AF9" i="59" s="1"/>
  <c r="AD9" i="59"/>
  <c r="Q9" i="59"/>
  <c r="P9" i="59"/>
  <c r="O9" i="59"/>
  <c r="N9" i="59"/>
  <c r="A21" i="31" l="1"/>
  <c r="C109" i="9" l="1"/>
  <c r="AH10" i="59" l="1"/>
  <c r="AG10" i="59"/>
  <c r="AE10" i="59"/>
  <c r="AF10" i="59" s="1"/>
  <c r="AD10" i="59"/>
  <c r="Q10" i="59"/>
  <c r="P10" i="59"/>
  <c r="O10" i="59"/>
  <c r="N10" i="59"/>
  <c r="Q12" i="59" l="1"/>
  <c r="P12" i="59"/>
  <c r="O12" i="59"/>
  <c r="N12" i="59"/>
  <c r="AH11" i="59"/>
  <c r="AG11" i="59"/>
  <c r="AE11" i="59"/>
  <c r="AF11" i="59" s="1"/>
  <c r="AD11" i="59"/>
  <c r="Q11" i="59"/>
  <c r="P11" i="59"/>
  <c r="O11" i="59"/>
  <c r="N11" i="59"/>
  <c r="AH12" i="59"/>
  <c r="AG12" i="59"/>
  <c r="AE12" i="59"/>
  <c r="AF12" i="59" s="1"/>
  <c r="AD12" i="59"/>
  <c r="Q13" i="59"/>
  <c r="Q14" i="59"/>
  <c r="P13" i="59"/>
  <c r="P14" i="59"/>
  <c r="O13" i="59"/>
  <c r="O14" i="59"/>
  <c r="N13" i="59"/>
  <c r="N14" i="59"/>
  <c r="AH13" i="59"/>
  <c r="AG13" i="59"/>
  <c r="AE13" i="59"/>
  <c r="AF13" i="59" s="1"/>
  <c r="AD13" i="59"/>
  <c r="F25" i="12"/>
  <c r="C25" i="12" s="1"/>
  <c r="AH14" i="59"/>
  <c r="AG14" i="59"/>
  <c r="AE14" i="59"/>
  <c r="AF14" i="59" s="1"/>
  <c r="AD14" i="59"/>
  <c r="M15" i="49"/>
  <c r="L15" i="49"/>
  <c r="K15" i="49"/>
  <c r="J15" i="49"/>
  <c r="I15" i="49"/>
  <c r="H15" i="49"/>
  <c r="G15" i="49"/>
  <c r="F15" i="49"/>
  <c r="E15" i="49"/>
  <c r="D15" i="49"/>
  <c r="C15" i="49"/>
  <c r="B15" i="49"/>
  <c r="AH15" i="59"/>
  <c r="AG15" i="59"/>
  <c r="AE15" i="59"/>
  <c r="AF15" i="59" s="1"/>
  <c r="AD15" i="59"/>
  <c r="Q15" i="59"/>
  <c r="P15" i="59"/>
  <c r="O15" i="59"/>
  <c r="N15" i="59"/>
  <c r="L3" i="59"/>
  <c r="AH3" i="59" s="1"/>
  <c r="K3" i="59"/>
  <c r="AG3" i="59" s="1"/>
  <c r="J3" i="59"/>
  <c r="AE3" i="59" s="1"/>
  <c r="AF3" i="59" s="1"/>
  <c r="I3" i="59"/>
  <c r="AD3" i="59" s="1"/>
  <c r="AH16" i="59"/>
  <c r="AG16" i="59"/>
  <c r="AE16" i="59"/>
  <c r="AF16" i="59" s="1"/>
  <c r="AD16" i="59"/>
  <c r="Q16" i="59"/>
  <c r="Q17" i="59"/>
  <c r="P16" i="59"/>
  <c r="P17" i="59"/>
  <c r="O16" i="59"/>
  <c r="O17" i="59"/>
  <c r="N16" i="59"/>
  <c r="N17" i="59"/>
  <c r="AH17" i="59"/>
  <c r="AG17" i="59"/>
  <c r="AE17" i="59"/>
  <c r="AF17" i="59" s="1"/>
  <c r="AD17" i="59"/>
  <c r="Q18" i="59"/>
  <c r="P18" i="59"/>
  <c r="O18" i="59"/>
  <c r="N18" i="59"/>
  <c r="J50" i="15"/>
  <c r="D20" i="59"/>
  <c r="AH18" i="59"/>
  <c r="AG18" i="59"/>
  <c r="AE18" i="59"/>
  <c r="AF18" i="59" s="1"/>
  <c r="AD18" i="59"/>
  <c r="AE19" i="59"/>
  <c r="AF19" i="59" s="1"/>
  <c r="AG19" i="59"/>
  <c r="AH19" i="59"/>
  <c r="AD19" i="59"/>
  <c r="Q19" i="59"/>
  <c r="P19" i="59"/>
  <c r="O19" i="59"/>
  <c r="N19" i="59"/>
  <c r="N20" i="59"/>
  <c r="Q20" i="59"/>
  <c r="P20" i="59"/>
  <c r="O20" i="59"/>
  <c r="K59" i="15"/>
  <c r="P62" i="15" s="1"/>
  <c r="P75" i="15"/>
  <c r="Q74" i="44"/>
  <c r="Q61" i="44"/>
  <c r="Q60" i="44"/>
  <c r="Q53" i="44"/>
  <c r="J51" i="44"/>
  <c r="J52" i="44" s="1"/>
  <c r="M48" i="44"/>
  <c r="A16" i="55"/>
  <c r="B67" i="63" s="1"/>
  <c r="A15" i="55"/>
  <c r="B66" i="63" s="1"/>
  <c r="A10" i="55"/>
  <c r="B61" i="63" s="1"/>
  <c r="A9" i="55"/>
  <c r="B60" i="63" s="1"/>
  <c r="A8" i="55"/>
  <c r="B59" i="63" s="1"/>
  <c r="A6" i="54"/>
  <c r="A8" i="54"/>
  <c r="B53" i="63" s="1"/>
  <c r="A7" i="54"/>
  <c r="A28" i="51"/>
  <c r="B21" i="63" s="1"/>
  <c r="A27" i="51"/>
  <c r="B20" i="63" s="1"/>
  <c r="Q21" i="59"/>
  <c r="O21" i="59"/>
  <c r="N22" i="59"/>
  <c r="O22" i="59"/>
  <c r="P22" i="59"/>
  <c r="Q22" i="59"/>
  <c r="N21" i="59"/>
  <c r="P21" i="59"/>
  <c r="K75" i="9"/>
  <c r="K6" i="4"/>
  <c r="O76" i="9" s="1"/>
  <c r="B22" i="31"/>
  <c r="E15" i="66"/>
  <c r="F15" i="66"/>
  <c r="E16" i="66"/>
  <c r="F16" i="66"/>
  <c r="E17" i="66"/>
  <c r="F17" i="66"/>
  <c r="E18" i="66"/>
  <c r="F18" i="66"/>
  <c r="E19" i="66"/>
  <c r="F19" i="66"/>
  <c r="E20" i="66"/>
  <c r="F20" i="66"/>
  <c r="E21" i="66"/>
  <c r="F21" i="66"/>
  <c r="E22" i="66"/>
  <c r="F22" i="66"/>
  <c r="E23" i="66"/>
  <c r="F23" i="66"/>
  <c r="B3" i="66"/>
  <c r="B19" i="59"/>
  <c r="B18" i="59" s="1"/>
  <c r="B17" i="59" s="1"/>
  <c r="E19" i="59"/>
  <c r="F19" i="59"/>
  <c r="V19" i="59" s="1"/>
  <c r="S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H34" i="59"/>
  <c r="AG34" i="59"/>
  <c r="AE34" i="59"/>
  <c r="AF34" i="59" s="1"/>
  <c r="AD34" i="59"/>
  <c r="AD35" i="59"/>
  <c r="AE35" i="59"/>
  <c r="AF35" i="59" s="1"/>
  <c r="AG35" i="59"/>
  <c r="AH35" i="59"/>
  <c r="S2" i="31"/>
  <c r="M2" i="31"/>
  <c r="N2" i="31"/>
  <c r="O2" i="31"/>
  <c r="P2" i="31"/>
  <c r="Q2" i="31"/>
  <c r="R2" i="31"/>
  <c r="C19" i="59"/>
  <c r="C18" i="59" s="1"/>
  <c r="C3" i="65"/>
  <c r="C1" i="65"/>
  <c r="N1" i="65" s="1"/>
  <c r="T19" i="59"/>
  <c r="B76" i="63"/>
  <c r="M5" i="54"/>
  <c r="A23" i="51"/>
  <c r="B17" i="63" s="1"/>
  <c r="Y12" i="46"/>
  <c r="AA9" i="46"/>
  <c r="AA10" i="46" s="1"/>
  <c r="AB9" i="46"/>
  <c r="AB10" i="46" s="1"/>
  <c r="AC9" i="46"/>
  <c r="AC10" i="46" s="1"/>
  <c r="AD9" i="46"/>
  <c r="AD10" i="46"/>
  <c r="AE9" i="46"/>
  <c r="AF9" i="46"/>
  <c r="AF10" i="46" s="1"/>
  <c r="AG9" i="46"/>
  <c r="AG10" i="46" s="1"/>
  <c r="AH9" i="46"/>
  <c r="AH10" i="46" s="1"/>
  <c r="AI9" i="46"/>
  <c r="AI10" i="46" s="1"/>
  <c r="AJ9" i="46"/>
  <c r="AJ10" i="46" s="1"/>
  <c r="Z9" i="46"/>
  <c r="Z10" i="46" s="1"/>
  <c r="AE10" i="46"/>
  <c r="Y10" i="46"/>
  <c r="AI12" i="46"/>
  <c r="AG12" i="46"/>
  <c r="AE12" i="46"/>
  <c r="AA12" i="46"/>
  <c r="B73" i="63"/>
  <c r="A21" i="64"/>
  <c r="B75" i="63" s="1"/>
  <c r="A27" i="64"/>
  <c r="A15" i="64"/>
  <c r="A14" i="64"/>
  <c r="A11" i="64"/>
  <c r="A3" i="64"/>
  <c r="A45" i="9"/>
  <c r="K40" i="9" s="1"/>
  <c r="A44" i="9"/>
  <c r="C57" i="10"/>
  <c r="A28" i="64" s="1"/>
  <c r="C56" i="10"/>
  <c r="A26" i="51" s="1"/>
  <c r="B19" i="63" s="1"/>
  <c r="C55" i="10"/>
  <c r="C54" i="10"/>
  <c r="B49" i="63"/>
  <c r="B44" i="63"/>
  <c r="B40" i="63"/>
  <c r="B30" i="63"/>
  <c r="B27" i="63"/>
  <c r="B25" i="63"/>
  <c r="A11" i="51"/>
  <c r="B10" i="63" s="1"/>
  <c r="A26" i="64"/>
  <c r="K39" i="9"/>
  <c r="B58" i="63"/>
  <c r="B51"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B41" i="63"/>
  <c r="G5" i="54"/>
  <c r="B34" i="63" s="1"/>
  <c r="E5" i="54"/>
  <c r="B32" i="63" s="1"/>
  <c r="R2" i="54"/>
  <c r="B24" i="63" s="1"/>
  <c r="B49" i="50"/>
  <c r="B5" i="63" s="1"/>
  <c r="B40" i="50"/>
  <c r="B3" i="63" s="1"/>
  <c r="N4" i="63"/>
  <c r="I19" i="46"/>
  <c r="Q23" i="59"/>
  <c r="P23" i="59"/>
  <c r="E23" i="59" s="1"/>
  <c r="O23" i="59"/>
  <c r="N23" i="59"/>
  <c r="B23" i="59" s="1"/>
  <c r="D84" i="59"/>
  <c r="F83" i="59"/>
  <c r="E83" i="59"/>
  <c r="E82" i="59" s="1"/>
  <c r="E81" i="59" s="1"/>
  <c r="C83" i="59"/>
  <c r="D83" i="59"/>
  <c r="B83" i="59"/>
  <c r="F82" i="59"/>
  <c r="F81" i="59" s="1"/>
  <c r="B82" i="59"/>
  <c r="B81" i="59" s="1"/>
  <c r="D80" i="59"/>
  <c r="F79" i="59"/>
  <c r="E79" i="59"/>
  <c r="E78" i="59" s="1"/>
  <c r="E77" i="59" s="1"/>
  <c r="C79" i="59"/>
  <c r="D79" i="59" s="1"/>
  <c r="B79" i="59"/>
  <c r="F78" i="59"/>
  <c r="F77" i="59" s="1"/>
  <c r="B78" i="59"/>
  <c r="B77" i="59" s="1"/>
  <c r="D76" i="59"/>
  <c r="Q75" i="59"/>
  <c r="P75" i="59"/>
  <c r="O75" i="59"/>
  <c r="N75" i="59"/>
  <c r="F75" i="59"/>
  <c r="V75" i="59" s="1"/>
  <c r="E75" i="59"/>
  <c r="U75" i="59" s="1"/>
  <c r="C75" i="59"/>
  <c r="T75" i="59" s="1"/>
  <c r="B75" i="59"/>
  <c r="S75" i="59" s="1"/>
  <c r="Q74" i="59"/>
  <c r="P74" i="59"/>
  <c r="O74" i="59"/>
  <c r="N74" i="59"/>
  <c r="F74" i="59"/>
  <c r="F73" i="59" s="1"/>
  <c r="B74" i="59"/>
  <c r="B73" i="59" s="1"/>
  <c r="Q73" i="59"/>
  <c r="P73" i="59"/>
  <c r="O73" i="59"/>
  <c r="N73" i="59"/>
  <c r="Q72" i="59"/>
  <c r="P72" i="59"/>
  <c r="O72" i="59"/>
  <c r="N72" i="59"/>
  <c r="D72" i="59"/>
  <c r="Q71" i="59"/>
  <c r="P71" i="59"/>
  <c r="O71" i="59"/>
  <c r="N71" i="59"/>
  <c r="F71" i="59"/>
  <c r="V71" i="59" s="1"/>
  <c r="E71" i="59"/>
  <c r="U71" i="59" s="1"/>
  <c r="C71" i="59"/>
  <c r="T71" i="59" s="1"/>
  <c r="B71" i="59"/>
  <c r="S71" i="59" s="1"/>
  <c r="Q70" i="59"/>
  <c r="P70" i="59"/>
  <c r="O70" i="59"/>
  <c r="N70" i="59"/>
  <c r="F70" i="59"/>
  <c r="F69" i="59" s="1"/>
  <c r="B70" i="59"/>
  <c r="B69" i="59" s="1"/>
  <c r="Q69" i="59"/>
  <c r="P69" i="59"/>
  <c r="O69" i="59"/>
  <c r="N69" i="59"/>
  <c r="Q68" i="59"/>
  <c r="P68" i="59"/>
  <c r="O68" i="59"/>
  <c r="N68" i="59"/>
  <c r="D68" i="59"/>
  <c r="Q67" i="59"/>
  <c r="P67" i="59"/>
  <c r="O67" i="59"/>
  <c r="N67" i="59"/>
  <c r="F67" i="59"/>
  <c r="V67" i="59" s="1"/>
  <c r="E67" i="59"/>
  <c r="U67" i="59" s="1"/>
  <c r="C67" i="59"/>
  <c r="T67" i="59" s="1"/>
  <c r="B67" i="59"/>
  <c r="S67" i="59" s="1"/>
  <c r="Q66" i="59"/>
  <c r="P66" i="59"/>
  <c r="O66" i="59"/>
  <c r="N66" i="59"/>
  <c r="F66" i="59"/>
  <c r="F65" i="59" s="1"/>
  <c r="B66" i="59"/>
  <c r="B65" i="59" s="1"/>
  <c r="Q65" i="59"/>
  <c r="P65" i="59"/>
  <c r="O65" i="59"/>
  <c r="N65" i="59"/>
  <c r="Q64" i="59"/>
  <c r="P64" i="59"/>
  <c r="O64" i="59"/>
  <c r="N64" i="59"/>
  <c r="D64" i="59"/>
  <c r="F63" i="59"/>
  <c r="E63" i="59"/>
  <c r="C63" i="59"/>
  <c r="B63" i="59"/>
  <c r="D60" i="59"/>
  <c r="Q59" i="59"/>
  <c r="P59" i="59"/>
  <c r="O59" i="59"/>
  <c r="N59" i="59"/>
  <c r="Q58" i="59"/>
  <c r="P58" i="59"/>
  <c r="O58" i="59"/>
  <c r="N58" i="59"/>
  <c r="Q57" i="59"/>
  <c r="P57" i="59"/>
  <c r="O57" i="59"/>
  <c r="N57" i="59"/>
  <c r="Q56" i="59"/>
  <c r="F57" i="59" s="1"/>
  <c r="F58" i="59" s="1"/>
  <c r="F59" i="59" s="1"/>
  <c r="V59" i="59" s="1"/>
  <c r="P56" i="59"/>
  <c r="E57" i="59" s="1"/>
  <c r="E58" i="59" s="1"/>
  <c r="E59" i="59" s="1"/>
  <c r="U59" i="59" s="1"/>
  <c r="O56" i="59"/>
  <c r="C57" i="59" s="1"/>
  <c r="N56" i="59"/>
  <c r="B57" i="59" s="1"/>
  <c r="B58" i="59" s="1"/>
  <c r="B59" i="59" s="1"/>
  <c r="S59" i="59" s="1"/>
  <c r="D56" i="59"/>
  <c r="Q55" i="59"/>
  <c r="P55" i="59"/>
  <c r="O55" i="59"/>
  <c r="N55" i="59"/>
  <c r="Q54" i="59"/>
  <c r="P54" i="59"/>
  <c r="O54" i="59"/>
  <c r="N54" i="59"/>
  <c r="Q53" i="59"/>
  <c r="P53" i="59"/>
  <c r="O53" i="59"/>
  <c r="N53" i="59"/>
  <c r="Q52" i="59"/>
  <c r="F53" i="59"/>
  <c r="F54" i="59" s="1"/>
  <c r="F55" i="59" s="1"/>
  <c r="V55" i="59" s="1"/>
  <c r="P52" i="59"/>
  <c r="E53" i="59"/>
  <c r="E54" i="59" s="1"/>
  <c r="E55" i="59" s="1"/>
  <c r="U55" i="59" s="1"/>
  <c r="O52" i="59"/>
  <c r="C53" i="59" s="1"/>
  <c r="C54" i="59" s="1"/>
  <c r="D54" i="59" s="1"/>
  <c r="N52" i="59"/>
  <c r="B53" i="59" s="1"/>
  <c r="B54" i="59" s="1"/>
  <c r="B55" i="59" s="1"/>
  <c r="S55" i="59" s="1"/>
  <c r="D52" i="59"/>
  <c r="Q51" i="59"/>
  <c r="P51" i="59"/>
  <c r="O51" i="59"/>
  <c r="N51" i="59"/>
  <c r="Q50" i="59"/>
  <c r="P50" i="59"/>
  <c r="O50" i="59"/>
  <c r="N50" i="59"/>
  <c r="Q49" i="59"/>
  <c r="P49" i="59"/>
  <c r="O49" i="59"/>
  <c r="N49" i="59"/>
  <c r="Q48" i="59"/>
  <c r="F49" i="59" s="1"/>
  <c r="F50" i="59" s="1"/>
  <c r="F51" i="59" s="1"/>
  <c r="V51" i="59" s="1"/>
  <c r="P48" i="59"/>
  <c r="E49" i="59" s="1"/>
  <c r="E50" i="59" s="1"/>
  <c r="E51" i="59" s="1"/>
  <c r="U51" i="59" s="1"/>
  <c r="O48" i="59"/>
  <c r="C49" i="59" s="1"/>
  <c r="N48" i="59"/>
  <c r="B49" i="59" s="1"/>
  <c r="B50" i="59" s="1"/>
  <c r="B51" i="59" s="1"/>
  <c r="S51" i="59" s="1"/>
  <c r="D48" i="59"/>
  <c r="Q47" i="59"/>
  <c r="P47" i="59"/>
  <c r="O47" i="59"/>
  <c r="N47" i="59"/>
  <c r="Q46" i="59"/>
  <c r="P46" i="59"/>
  <c r="O46" i="59"/>
  <c r="N46" i="59"/>
  <c r="Q45" i="59"/>
  <c r="P45" i="59"/>
  <c r="O45" i="59"/>
  <c r="N45" i="59"/>
  <c r="Q44" i="59"/>
  <c r="F45" i="59" s="1"/>
  <c r="F46" i="59" s="1"/>
  <c r="F47" i="59" s="1"/>
  <c r="V47" i="59" s="1"/>
  <c r="P44" i="59"/>
  <c r="E45" i="59" s="1"/>
  <c r="E46" i="59" s="1"/>
  <c r="E47" i="59" s="1"/>
  <c r="U47" i="59" s="1"/>
  <c r="O44" i="59"/>
  <c r="C45" i="59" s="1"/>
  <c r="N44" i="59"/>
  <c r="B45" i="59" s="1"/>
  <c r="B46" i="59" s="1"/>
  <c r="B47" i="59" s="1"/>
  <c r="S47" i="59" s="1"/>
  <c r="D44" i="59"/>
  <c r="T43" i="59"/>
  <c r="Q43" i="59"/>
  <c r="P43" i="59"/>
  <c r="O43" i="59"/>
  <c r="N43" i="59"/>
  <c r="D43" i="59"/>
  <c r="Q42" i="59"/>
  <c r="P42" i="59"/>
  <c r="O42" i="59"/>
  <c r="N42" i="59"/>
  <c r="Q41" i="59"/>
  <c r="P41" i="59"/>
  <c r="O41" i="59"/>
  <c r="N41" i="59"/>
  <c r="Q40" i="59"/>
  <c r="F41" i="59" s="1"/>
  <c r="F42" i="59" s="1"/>
  <c r="F43" i="59" s="1"/>
  <c r="V43" i="59" s="1"/>
  <c r="P40" i="59"/>
  <c r="E41" i="59" s="1"/>
  <c r="E42" i="59" s="1"/>
  <c r="E43" i="59" s="1"/>
  <c r="U43" i="59" s="1"/>
  <c r="O40" i="59"/>
  <c r="C41" i="59" s="1"/>
  <c r="D41" i="59" s="1"/>
  <c r="N40" i="59"/>
  <c r="B41" i="59" s="1"/>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E38" i="59" s="1"/>
  <c r="E39" i="59" s="1"/>
  <c r="U39" i="59" s="1"/>
  <c r="O36" i="59"/>
  <c r="C37" i="59" s="1"/>
  <c r="N36" i="59"/>
  <c r="B37" i="59" s="1"/>
  <c r="B38" i="59" s="1"/>
  <c r="B39" i="59" s="1"/>
  <c r="S39" i="59" s="1"/>
  <c r="D36" i="59"/>
  <c r="Q35" i="59"/>
  <c r="P35" i="59"/>
  <c r="O35" i="59"/>
  <c r="N35" i="59"/>
  <c r="Q34" i="59"/>
  <c r="AB34" i="59"/>
  <c r="P34" i="59"/>
  <c r="O34" i="59"/>
  <c r="N34" i="59"/>
  <c r="X34" i="59"/>
  <c r="Q33" i="59"/>
  <c r="AB33" i="59" s="1"/>
  <c r="P33" i="59"/>
  <c r="O33" i="59"/>
  <c r="N33" i="59"/>
  <c r="X33" i="59" s="1"/>
  <c r="Q32" i="59"/>
  <c r="AB32" i="59" s="1"/>
  <c r="F33" i="59"/>
  <c r="F34" i="59" s="1"/>
  <c r="F35" i="59" s="1"/>
  <c r="V35" i="59" s="1"/>
  <c r="P32" i="59"/>
  <c r="E33" i="59"/>
  <c r="E34" i="59" s="1"/>
  <c r="E35" i="59" s="1"/>
  <c r="U35" i="59" s="1"/>
  <c r="O32" i="59"/>
  <c r="N32" i="59"/>
  <c r="D32" i="59"/>
  <c r="Q31" i="59"/>
  <c r="AB31" i="59" s="1"/>
  <c r="P31" i="59"/>
  <c r="O31" i="59"/>
  <c r="N31" i="59"/>
  <c r="Q30" i="59"/>
  <c r="AB30" i="59" s="1"/>
  <c r="P30" i="59"/>
  <c r="O30" i="59"/>
  <c r="N30" i="59"/>
  <c r="Q29" i="59"/>
  <c r="AB29" i="59" s="1"/>
  <c r="P29" i="59"/>
  <c r="O29" i="59"/>
  <c r="Y29" i="59" s="1"/>
  <c r="Z29" i="59" s="1"/>
  <c r="N29" i="59"/>
  <c r="Q28" i="59"/>
  <c r="AB26" i="59" s="1"/>
  <c r="P28" i="59"/>
  <c r="O28" i="59"/>
  <c r="C29" i="59" s="1"/>
  <c r="C30" i="59" s="1"/>
  <c r="N28" i="59"/>
  <c r="B29" i="59" s="1"/>
  <c r="B30" i="59" s="1"/>
  <c r="B31" i="59" s="1"/>
  <c r="S31" i="59" s="1"/>
  <c r="D28" i="59"/>
  <c r="Q27" i="59"/>
  <c r="P27" i="59"/>
  <c r="AA27" i="59" s="1"/>
  <c r="O27" i="59"/>
  <c r="N27" i="59"/>
  <c r="X27" i="59" s="1"/>
  <c r="Q26" i="59"/>
  <c r="P26" i="59"/>
  <c r="AA26" i="59" s="1"/>
  <c r="O26" i="59"/>
  <c r="N26" i="59"/>
  <c r="X26" i="59" s="1"/>
  <c r="Q25" i="59"/>
  <c r="P25" i="59"/>
  <c r="AA21" i="59" s="1"/>
  <c r="O25" i="59"/>
  <c r="N25" i="59"/>
  <c r="X25" i="59" s="1"/>
  <c r="Q24" i="59"/>
  <c r="F25" i="59"/>
  <c r="P24" i="59"/>
  <c r="O24" i="59"/>
  <c r="N24" i="59"/>
  <c r="D24" i="59"/>
  <c r="E25" i="59"/>
  <c r="AA34" i="59"/>
  <c r="F26" i="59"/>
  <c r="F27" i="59" s="1"/>
  <c r="V27" i="59" s="1"/>
  <c r="D45" i="59"/>
  <c r="T63" i="59"/>
  <c r="O63" i="59"/>
  <c r="D63" i="59"/>
  <c r="C62" i="59"/>
  <c r="U63" i="59"/>
  <c r="E66" i="59"/>
  <c r="E65" i="59" s="1"/>
  <c r="E70" i="59"/>
  <c r="E69" i="59" s="1"/>
  <c r="D71" i="59"/>
  <c r="C74" i="59"/>
  <c r="C73" i="59" s="1"/>
  <c r="D73" i="59" s="1"/>
  <c r="D75" i="59"/>
  <c r="C82" i="59"/>
  <c r="D82" i="59" s="1"/>
  <c r="U16" i="4"/>
  <c r="S16" i="4"/>
  <c r="Q16" i="4"/>
  <c r="O16" i="4"/>
  <c r="P16" i="4" s="1"/>
  <c r="M16" i="4"/>
  <c r="K16" i="4"/>
  <c r="L16" i="4" s="1"/>
  <c r="C61" i="59"/>
  <c r="O61" i="59" s="1"/>
  <c r="O62" i="59"/>
  <c r="D62" i="59"/>
  <c r="C55" i="59"/>
  <c r="T55" i="59" s="1"/>
  <c r="D55" i="59"/>
  <c r="D61"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AA21" i="34" s="1"/>
  <c r="Q21" i="33"/>
  <c r="Z21" i="33" s="1"/>
  <c r="C21" i="33"/>
  <c r="D83" i="33"/>
  <c r="E83" i="33" s="1"/>
  <c r="F83" i="33" s="1"/>
  <c r="G83" i="33" s="1"/>
  <c r="Q21" i="21"/>
  <c r="Z21" i="21" s="1"/>
  <c r="D83" i="21"/>
  <c r="E83" i="21" s="1"/>
  <c r="F83" i="21" s="1"/>
  <c r="G83" i="21" s="1"/>
  <c r="F21" i="21"/>
  <c r="AA21" i="21" s="1"/>
  <c r="C21" i="21"/>
  <c r="Q27" i="40"/>
  <c r="Z27" i="40" s="1"/>
  <c r="D96" i="40"/>
  <c r="E96" i="40"/>
  <c r="F96" i="40" s="1"/>
  <c r="F27" i="40"/>
  <c r="AA27" i="40"/>
  <c r="Q31" i="39"/>
  <c r="Z31" i="39" s="1"/>
  <c r="D105" i="39"/>
  <c r="E105" i="39" s="1"/>
  <c r="F105" i="39" s="1"/>
  <c r="F31" i="39"/>
  <c r="AA31" i="39" s="1"/>
  <c r="G20" i="20"/>
  <c r="B85" i="68" s="1"/>
  <c r="C22" i="20"/>
  <c r="B65" i="46" s="1"/>
  <c r="S18" i="36"/>
  <c r="S18" i="35"/>
  <c r="S27" i="40"/>
  <c r="C27" i="40"/>
  <c r="E66" i="36"/>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c r="K87" i="46"/>
  <c r="J87" i="46"/>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80" i="46"/>
  <c r="D81" i="46"/>
  <c r="N73" i="46"/>
  <c r="D75" i="46"/>
  <c r="J66" i="46"/>
  <c r="D66" i="46"/>
  <c r="J50" i="46"/>
  <c r="D50" i="46"/>
  <c r="J54" i="46"/>
  <c r="D54" i="46"/>
  <c r="Q73" i="15"/>
  <c r="Q60" i="15"/>
  <c r="Q59" i="15"/>
  <c r="Q52" i="15"/>
  <c r="AE9" i="1"/>
  <c r="AE10" i="1"/>
  <c r="AE11" i="1"/>
  <c r="AE12" i="1"/>
  <c r="AE13" i="1"/>
  <c r="M47" i="15"/>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A12" i="1"/>
  <c r="R12" i="1" s="1"/>
  <c r="A13" i="1"/>
  <c r="B13" i="1" s="1"/>
  <c r="E13" i="1" s="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H17" i="46" s="1"/>
  <c r="G19" i="46"/>
  <c r="O19" i="46" s="1"/>
  <c r="R26" i="31"/>
  <c r="S26" i="31" s="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7" i="1" s="1"/>
  <c r="F8" i="1"/>
  <c r="AP8" i="1" s="1"/>
  <c r="E19" i="4"/>
  <c r="B2" i="52"/>
  <c r="I2" i="46"/>
  <c r="N12" i="46" s="1"/>
  <c r="A7" i="46"/>
  <c r="F41" i="4"/>
  <c r="J52" i="40" s="1"/>
  <c r="H61" i="49"/>
  <c r="H39" i="46"/>
  <c r="H38" i="46"/>
  <c r="H37" i="46"/>
  <c r="H36" i="46"/>
  <c r="H35" i="46"/>
  <c r="H34" i="46"/>
  <c r="H33" i="46"/>
  <c r="J20" i="46"/>
  <c r="C18" i="46"/>
  <c r="F15" i="46"/>
  <c r="E15" i="46"/>
  <c r="D15" i="46"/>
  <c r="C15" i="46"/>
  <c r="C10" i="46"/>
  <c r="C11" i="46" s="1"/>
  <c r="C9" i="46"/>
  <c r="E19" i="6"/>
  <c r="E32" i="6"/>
  <c r="E20" i="6"/>
  <c r="C9" i="72" s="1"/>
  <c r="E21" i="6"/>
  <c r="K8" i="1"/>
  <c r="M8" i="1" s="1"/>
  <c r="E22" i="6"/>
  <c r="E23" i="6"/>
  <c r="E24" i="6"/>
  <c r="E25" i="6"/>
  <c r="E26" i="6"/>
  <c r="D38" i="4"/>
  <c r="C39" i="4" s="1"/>
  <c r="C35" i="4"/>
  <c r="E16" i="12"/>
  <c r="F14" i="12"/>
  <c r="F15" i="12"/>
  <c r="F17"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c r="C26" i="35"/>
  <c r="C79" i="35"/>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W38" i="34" s="1"/>
  <c r="D114" i="34"/>
  <c r="F38" i="34"/>
  <c r="D112" i="34"/>
  <c r="E112" i="34" s="1"/>
  <c r="F112" i="34" s="1"/>
  <c r="F40" i="33"/>
  <c r="J41" i="33"/>
  <c r="AC41" i="33" s="1"/>
  <c r="D113" i="33"/>
  <c r="F37" i="33"/>
  <c r="AA37" i="33" s="1"/>
  <c r="D111" i="33"/>
  <c r="E111" i="33" s="1"/>
  <c r="F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AA16" i="40" s="1"/>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B108" i="37"/>
  <c r="C23" i="37"/>
  <c r="C19" i="37"/>
  <c r="C17" i="37"/>
  <c r="C15" i="37"/>
  <c r="B112" i="37"/>
  <c r="D107" i="37"/>
  <c r="E107" i="37" s="1"/>
  <c r="F107" i="37" s="1"/>
  <c r="G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H26" i="37" s="1"/>
  <c r="AB26" i="37" s="1"/>
  <c r="D79" i="37"/>
  <c r="E79" i="37" s="1"/>
  <c r="F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Q29" i="37"/>
  <c r="Z29" i="37" s="1"/>
  <c r="H29" i="37"/>
  <c r="U29" i="37" s="1"/>
  <c r="Q28" i="37"/>
  <c r="Z28" i="37" s="1"/>
  <c r="Q27" i="37"/>
  <c r="Z27" i="37" s="1"/>
  <c r="Q26" i="37"/>
  <c r="Z26" i="37" s="1"/>
  <c r="J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B71" i="36"/>
  <c r="D70" i="36"/>
  <c r="H22" i="36"/>
  <c r="D68" i="36"/>
  <c r="E68" i="36" s="1"/>
  <c r="D64" i="36"/>
  <c r="E64" i="36" s="1"/>
  <c r="F64" i="36" s="1"/>
  <c r="G64" i="36" s="1"/>
  <c r="J16" i="36"/>
  <c r="D62" i="36"/>
  <c r="E62" i="36" s="1"/>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B99" i="35"/>
  <c r="B97" i="35"/>
  <c r="J34" i="35" s="1"/>
  <c r="AC34" i="35" s="1"/>
  <c r="B77" i="35"/>
  <c r="B75" i="35"/>
  <c r="J24" i="35" s="1"/>
  <c r="B73" i="35"/>
  <c r="J23" i="35" s="1"/>
  <c r="B57" i="35"/>
  <c r="B61" i="35"/>
  <c r="B59" i="35"/>
  <c r="H12" i="35" s="1"/>
  <c r="B131" i="34"/>
  <c r="B129" i="34"/>
  <c r="B127" i="34"/>
  <c r="B99" i="34"/>
  <c r="B97" i="34"/>
  <c r="B95" i="34"/>
  <c r="B93" i="34"/>
  <c r="B75" i="34"/>
  <c r="B73" i="34"/>
  <c r="B71" i="34"/>
  <c r="B130" i="33"/>
  <c r="B128" i="33"/>
  <c r="H45" i="33"/>
  <c r="U45" i="33" s="1"/>
  <c r="B126" i="33"/>
  <c r="B98" i="33"/>
  <c r="F31" i="33" s="1"/>
  <c r="AA31" i="33" s="1"/>
  <c r="B96" i="33"/>
  <c r="B94" i="33"/>
  <c r="J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AA10" i="34" s="1"/>
  <c r="Q9" i="34"/>
  <c r="Z9" i="34" s="1"/>
  <c r="J9" i="34"/>
  <c r="AC9" i="34" s="1"/>
  <c r="J8" i="34"/>
  <c r="AC8" i="34" s="1"/>
  <c r="H8" i="34"/>
  <c r="U8" i="34" s="1"/>
  <c r="F8" i="34"/>
  <c r="AA8" i="34" s="1"/>
  <c r="C7" i="34"/>
  <c r="C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B92" i="33"/>
  <c r="B90" i="33"/>
  <c r="H27" i="33" s="1"/>
  <c r="D87" i="33"/>
  <c r="E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H9" i="33"/>
  <c r="AB9" i="33" s="1"/>
  <c r="J8" i="33"/>
  <c r="W8" i="33" s="1"/>
  <c r="H8" i="33"/>
  <c r="F8" i="33"/>
  <c r="S8" i="33" s="1"/>
  <c r="C7" i="33"/>
  <c r="C58" i="33" s="1"/>
  <c r="D58" i="33" s="1"/>
  <c r="E58" i="33" s="1"/>
  <c r="F58" i="33" s="1"/>
  <c r="M102" i="21"/>
  <c r="D102" i="21"/>
  <c r="E102" i="21"/>
  <c r="F102" i="21"/>
  <c r="G102" i="21"/>
  <c r="H102" i="21"/>
  <c r="I102" i="21"/>
  <c r="J102" i="21"/>
  <c r="K102" i="21"/>
  <c r="L102" i="21"/>
  <c r="C102" i="21"/>
  <c r="C63" i="21"/>
  <c r="F9" i="21" s="1"/>
  <c r="S9" i="21" s="1"/>
  <c r="G18" i="20"/>
  <c r="C25" i="40"/>
  <c r="G16" i="20"/>
  <c r="G15" i="20"/>
  <c r="C24" i="20"/>
  <c r="B51" i="46" s="1"/>
  <c r="C21" i="20"/>
  <c r="B64" i="46" s="1"/>
  <c r="C20" i="20"/>
  <c r="C18" i="20"/>
  <c r="C17" i="20"/>
  <c r="C16" i="20"/>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0" i="21"/>
  <c r="AA10" i="21" s="1"/>
  <c r="C7" i="21"/>
  <c r="C58" i="21" s="1"/>
  <c r="D58" i="21" s="1"/>
  <c r="E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10" i="21"/>
  <c r="U10" i="21"/>
  <c r="H39" i="21"/>
  <c r="AB39" i="21"/>
  <c r="J34" i="21"/>
  <c r="W34" i="21"/>
  <c r="H36" i="21"/>
  <c r="U36" i="21"/>
  <c r="F35" i="21"/>
  <c r="AA35" i="21"/>
  <c r="J33" i="21"/>
  <c r="W33" i="21"/>
  <c r="H33" i="21"/>
  <c r="U33" i="21"/>
  <c r="F33" i="21"/>
  <c r="J10" i="21"/>
  <c r="AC10" i="21" s="1"/>
  <c r="H26" i="21"/>
  <c r="F19" i="21"/>
  <c r="AA19" i="21" s="1"/>
  <c r="H19" i="21"/>
  <c r="AB19" i="21" s="1"/>
  <c r="J19" i="21"/>
  <c r="W19" i="21" s="1"/>
  <c r="J12" i="21"/>
  <c r="J26" i="21"/>
  <c r="W26" i="21" s="1"/>
  <c r="F26" i="21"/>
  <c r="AA26" i="21" s="1"/>
  <c r="AB41" i="21"/>
  <c r="AA41" i="21"/>
  <c r="W41" i="21"/>
  <c r="S10" i="39"/>
  <c r="E103" i="37"/>
  <c r="F103" i="37" s="1"/>
  <c r="F29" i="36"/>
  <c r="AA29" i="36"/>
  <c r="F16" i="36"/>
  <c r="AA16" i="36"/>
  <c r="W22" i="36"/>
  <c r="U26" i="36"/>
  <c r="AC31" i="36"/>
  <c r="J33" i="36"/>
  <c r="W33" i="36" s="1"/>
  <c r="U31" i="35"/>
  <c r="W36" i="35"/>
  <c r="S31" i="35"/>
  <c r="W31" i="35"/>
  <c r="F36" i="34"/>
  <c r="S36" i="34" s="1"/>
  <c r="S34" i="34"/>
  <c r="W39" i="34"/>
  <c r="H39" i="33"/>
  <c r="AB39" i="33" s="1"/>
  <c r="F26" i="33"/>
  <c r="AA26" i="33" s="1"/>
  <c r="U33" i="33"/>
  <c r="W38" i="33"/>
  <c r="S40" i="33"/>
  <c r="S33" i="33"/>
  <c r="W33" i="33"/>
  <c r="U38" i="33"/>
  <c r="S8" i="21"/>
  <c r="H39" i="37"/>
  <c r="AB39" i="37" s="1"/>
  <c r="AB27" i="35"/>
  <c r="S10" i="40"/>
  <c r="W10" i="40"/>
  <c r="S11" i="40"/>
  <c r="U11" i="40"/>
  <c r="S36" i="40"/>
  <c r="U36" i="40"/>
  <c r="S40" i="39"/>
  <c r="S36" i="39"/>
  <c r="F11" i="21"/>
  <c r="S11" i="21"/>
  <c r="AA38" i="21"/>
  <c r="AB36" i="21"/>
  <c r="AC35" i="21"/>
  <c r="C23" i="39"/>
  <c r="U36" i="39"/>
  <c r="S42" i="39"/>
  <c r="H11" i="21"/>
  <c r="U11" i="21"/>
  <c r="J11" i="21"/>
  <c r="W11" i="21"/>
  <c r="F100" i="40"/>
  <c r="F86" i="40"/>
  <c r="G86" i="40" s="1"/>
  <c r="J27" i="36"/>
  <c r="W27" i="36"/>
  <c r="J34" i="36"/>
  <c r="W34" i="36"/>
  <c r="J30" i="35"/>
  <c r="W30" i="35"/>
  <c r="F22" i="35"/>
  <c r="AA22" i="35"/>
  <c r="H10" i="35"/>
  <c r="U10" i="35"/>
  <c r="U29" i="36"/>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s="1"/>
  <c r="H101" i="37" s="1"/>
  <c r="I101" i="37" s="1"/>
  <c r="J101" i="37" s="1"/>
  <c r="K101" i="37" s="1"/>
  <c r="L101" i="37" s="1"/>
  <c r="M101" i="37" s="1"/>
  <c r="J34" i="37"/>
  <c r="W34" i="37"/>
  <c r="U42" i="34"/>
  <c r="E114" i="34"/>
  <c r="H36" i="34"/>
  <c r="U36" i="34" s="1"/>
  <c r="F33" i="34"/>
  <c r="S33" i="34" s="1"/>
  <c r="AA28" i="34"/>
  <c r="F19" i="34"/>
  <c r="AA19" i="34" s="1"/>
  <c r="J10" i="34"/>
  <c r="AC10" i="34" s="1"/>
  <c r="U9" i="34"/>
  <c r="W8" i="34"/>
  <c r="J28" i="34"/>
  <c r="W28" i="34" s="1"/>
  <c r="S38" i="33"/>
  <c r="E113" i="33"/>
  <c r="F113" i="33" s="1"/>
  <c r="G113" i="33" s="1"/>
  <c r="H113" i="33" s="1"/>
  <c r="I113" i="33" s="1"/>
  <c r="J113" i="33" s="1"/>
  <c r="K113" i="33" s="1"/>
  <c r="L113" i="33" s="1"/>
  <c r="M113" i="33" s="1"/>
  <c r="S10" i="21"/>
  <c r="W40" i="33"/>
  <c r="AB30" i="36"/>
  <c r="AC34" i="36"/>
  <c r="S22" i="35"/>
  <c r="H29" i="35"/>
  <c r="U34" i="37"/>
  <c r="S34" i="37"/>
  <c r="AA34" i="37"/>
  <c r="AB42" i="34"/>
  <c r="J19" i="34"/>
  <c r="AC19" i="34" s="1"/>
  <c r="H37" i="33"/>
  <c r="AB37" i="33" s="1"/>
  <c r="S37" i="33"/>
  <c r="AC42" i="34"/>
  <c r="W42" i="34"/>
  <c r="AA42" i="34"/>
  <c r="S42" i="34"/>
  <c r="AC38" i="34"/>
  <c r="AA38" i="34"/>
  <c r="S38" i="34"/>
  <c r="J37" i="33"/>
  <c r="W37" i="33" s="1"/>
  <c r="J42" i="21"/>
  <c r="AC42" i="21" s="1"/>
  <c r="J44" i="34"/>
  <c r="AC44" i="34" s="1"/>
  <c r="F44" i="34"/>
  <c r="S44" i="34" s="1"/>
  <c r="J10" i="35"/>
  <c r="W10" i="35" s="1"/>
  <c r="AL5" i="3"/>
  <c r="BQ13" i="3"/>
  <c r="BL13" i="3" s="1"/>
  <c r="BL572" i="3"/>
  <c r="J14" i="21"/>
  <c r="W14" i="21" s="1"/>
  <c r="F14" i="21"/>
  <c r="AA14" i="21" s="1"/>
  <c r="H14" i="21"/>
  <c r="U14" i="21" s="1"/>
  <c r="H28" i="21"/>
  <c r="AB28" i="21" s="1"/>
  <c r="F28" i="21"/>
  <c r="AA28" i="21" s="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AB28" i="33" s="1"/>
  <c r="F28" i="33"/>
  <c r="AA28" i="33" s="1"/>
  <c r="J28" i="33"/>
  <c r="W28" i="33" s="1"/>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AB28" i="36"/>
  <c r="AB13" i="21"/>
  <c r="S46" i="21"/>
  <c r="U46" i="21"/>
  <c r="AC30" i="21"/>
  <c r="W30" i="21"/>
  <c r="AB30" i="21"/>
  <c r="S28" i="21"/>
  <c r="AB14" i="21"/>
  <c r="AC14" i="21"/>
  <c r="W42" i="21"/>
  <c r="S46" i="33"/>
  <c r="U36" i="37"/>
  <c r="AC13" i="36"/>
  <c r="AB45" i="33"/>
  <c r="AB31"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BA551" i="3"/>
  <c r="AZ551" i="3" s="1"/>
  <c r="BA545" i="3"/>
  <c r="AZ545" i="3" s="1"/>
  <c r="BA543" i="3"/>
  <c r="BA541" i="3"/>
  <c r="BA531" i="3"/>
  <c r="BA521" i="3"/>
  <c r="BA509" i="3"/>
  <c r="BA505" i="3"/>
  <c r="BA501" i="3"/>
  <c r="AZ501" i="3" s="1"/>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Q564" i="3"/>
  <c r="BL564" i="3"/>
  <c r="BQ562" i="3"/>
  <c r="BL562" i="3"/>
  <c r="BQ560" i="3"/>
  <c r="BL560" i="3" s="1"/>
  <c r="BQ558" i="3"/>
  <c r="BL558" i="3" s="1"/>
  <c r="BQ556" i="3"/>
  <c r="BL556" i="3" s="1"/>
  <c r="AZ556" i="3" s="1"/>
  <c r="BQ554" i="3"/>
  <c r="BQ552" i="3"/>
  <c r="BL552" i="3" s="1"/>
  <c r="BQ550" i="3"/>
  <c r="BL550" i="3" s="1"/>
  <c r="AZ550" i="3" s="1"/>
  <c r="BQ548" i="3"/>
  <c r="BQ546" i="3"/>
  <c r="BL546" i="3" s="1"/>
  <c r="AZ546" i="3" s="1"/>
  <c r="BQ544" i="3"/>
  <c r="BL544" i="3" s="1"/>
  <c r="G544" i="3"/>
  <c r="G538" i="3"/>
  <c r="G534" i="3"/>
  <c r="G530" i="3"/>
  <c r="G526" i="3"/>
  <c r="G522" i="3"/>
  <c r="BQ540" i="3"/>
  <c r="BL540" i="3" s="1"/>
  <c r="BQ538" i="3"/>
  <c r="BL538" i="3" s="1"/>
  <c r="BQ536" i="3"/>
  <c r="BQ534" i="3"/>
  <c r="BL534" i="3"/>
  <c r="BQ532" i="3"/>
  <c r="BL532" i="3"/>
  <c r="BQ530" i="3"/>
  <c r="BQ528" i="3"/>
  <c r="BQ526" i="3"/>
  <c r="BL526" i="3"/>
  <c r="BQ524" i="3"/>
  <c r="BL524" i="3"/>
  <c r="BQ522" i="3"/>
  <c r="BQ520" i="3"/>
  <c r="BL520" i="3" s="1"/>
  <c r="BQ518" i="3"/>
  <c r="BQ516" i="3"/>
  <c r="BL516" i="3" s="1"/>
  <c r="AZ516" i="3" s="1"/>
  <c r="BQ514" i="3"/>
  <c r="BL514" i="3" s="1"/>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Q484" i="3"/>
  <c r="BL484" i="3" s="1"/>
  <c r="AZ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39" i="33"/>
  <c r="AA39" i="33" s="1"/>
  <c r="E123" i="33"/>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J43" i="33"/>
  <c r="AC43" i="33" s="1"/>
  <c r="G79" i="37"/>
  <c r="J23" i="37"/>
  <c r="W23" i="37" s="1"/>
  <c r="F17" i="37"/>
  <c r="AA17" i="37" s="1"/>
  <c r="AB43" i="33"/>
  <c r="D3" i="21"/>
  <c r="AC33" i="36"/>
  <c r="AC12" i="35"/>
  <c r="S27" i="37"/>
  <c r="U39" i="37"/>
  <c r="AC8" i="37"/>
  <c r="AC36" i="34"/>
  <c r="AB8" i="34"/>
  <c r="AA13" i="33"/>
  <c r="AC45" i="33"/>
  <c r="U19" i="21"/>
  <c r="AC33" i="21"/>
  <c r="AA36" i="21"/>
  <c r="F43" i="33"/>
  <c r="AA43" i="33" s="1"/>
  <c r="AB44" i="33"/>
  <c r="H107" i="37"/>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AB31" i="37" s="1"/>
  <c r="J15" i="37"/>
  <c r="W15" i="37" s="1"/>
  <c r="AB10" i="37"/>
  <c r="J11" i="37"/>
  <c r="W11" i="37" s="1"/>
  <c r="E90" i="40"/>
  <c r="F90" i="40" s="1"/>
  <c r="G90" i="40" s="1"/>
  <c r="F21" i="40"/>
  <c r="S21" i="40"/>
  <c r="W36" i="40"/>
  <c r="U40" i="39"/>
  <c r="J21" i="40"/>
  <c r="AC21" i="40" s="1"/>
  <c r="S27" i="31"/>
  <c r="AZ558" i="3"/>
  <c r="AZ540" i="3"/>
  <c r="AZ560" i="3"/>
  <c r="G483" i="3"/>
  <c r="G515" i="3"/>
  <c r="G507" i="3"/>
  <c r="G501" i="3"/>
  <c r="BA15" i="3"/>
  <c r="BL17" i="3"/>
  <c r="BL15" i="3"/>
  <c r="BA14" i="3"/>
  <c r="AZ14" i="3" s="1"/>
  <c r="J57" i="39"/>
  <c r="H13" i="40"/>
  <c r="U13" i="40"/>
  <c r="H12" i="48"/>
  <c r="I4" i="4"/>
  <c r="K141" i="21"/>
  <c r="K143" i="21"/>
  <c r="K144" i="21"/>
  <c r="I59" i="40"/>
  <c r="C59" i="40" s="1"/>
  <c r="I60" i="40"/>
  <c r="C60" i="40" s="1"/>
  <c r="G297" i="3"/>
  <c r="BL298" i="3"/>
  <c r="G299" i="3"/>
  <c r="BL300" i="3"/>
  <c r="BA302" i="3"/>
  <c r="BA303" i="3"/>
  <c r="BL303" i="3"/>
  <c r="G304" i="3"/>
  <c r="BA305" i="3"/>
  <c r="G321" i="3"/>
  <c r="BL322" i="3"/>
  <c r="G323" i="3"/>
  <c r="BL324" i="3"/>
  <c r="BA326" i="3"/>
  <c r="AZ326" i="3" s="1"/>
  <c r="BA327" i="3"/>
  <c r="BL327" i="3"/>
  <c r="AZ327" i="3" s="1"/>
  <c r="G328" i="3"/>
  <c r="BA329" i="3"/>
  <c r="G337" i="3"/>
  <c r="BL338" i="3"/>
  <c r="G339" i="3"/>
  <c r="BL340" i="3"/>
  <c r="BA342" i="3"/>
  <c r="BA343" i="3"/>
  <c r="BL343" i="3"/>
  <c r="G344" i="3"/>
  <c r="BA345" i="3"/>
  <c r="G353" i="3"/>
  <c r="BL354" i="3"/>
  <c r="G355" i="3"/>
  <c r="BL356" i="3"/>
  <c r="G357" i="3"/>
  <c r="BL358" i="3"/>
  <c r="G359" i="3"/>
  <c r="BA360" i="3"/>
  <c r="AZ360" i="3" s="1"/>
  <c r="BA361" i="3"/>
  <c r="BL361" i="3"/>
  <c r="G362" i="3"/>
  <c r="BA363" i="3"/>
  <c r="G371" i="3"/>
  <c r="BL372" i="3"/>
  <c r="G373" i="3"/>
  <c r="BL374" i="3"/>
  <c r="BA376" i="3"/>
  <c r="BA377" i="3"/>
  <c r="AZ377" i="3" s="1"/>
  <c r="BL377" i="3"/>
  <c r="G378" i="3"/>
  <c r="BA379" i="3"/>
  <c r="BA114" i="3"/>
  <c r="BL115" i="3"/>
  <c r="G116" i="3"/>
  <c r="BA118" i="3"/>
  <c r="BL119" i="3"/>
  <c r="AZ119" i="3" s="1"/>
  <c r="G120" i="3"/>
  <c r="BA122" i="3"/>
  <c r="BL123" i="3"/>
  <c r="AZ123" i="3" s="1"/>
  <c r="G124" i="3"/>
  <c r="BA126" i="3"/>
  <c r="BL127" i="3"/>
  <c r="AZ127" i="3" s="1"/>
  <c r="G128" i="3"/>
  <c r="BA130" i="3"/>
  <c r="BL131" i="3"/>
  <c r="AZ131" i="3" s="1"/>
  <c r="G132" i="3"/>
  <c r="BA134" i="3"/>
  <c r="AZ134" i="3"/>
  <c r="BL135" i="3"/>
  <c r="AZ135" i="3"/>
  <c r="G136" i="3"/>
  <c r="BA138" i="3"/>
  <c r="BL139" i="3"/>
  <c r="G140" i="3"/>
  <c r="BA142" i="3"/>
  <c r="BL143" i="3"/>
  <c r="G144" i="3"/>
  <c r="BA146" i="3"/>
  <c r="BL147" i="3"/>
  <c r="G148" i="3"/>
  <c r="BA150" i="3"/>
  <c r="AZ150" i="3" s="1"/>
  <c r="BL151" i="3"/>
  <c r="BA153" i="3"/>
  <c r="BL154" i="3"/>
  <c r="G155" i="3"/>
  <c r="BA157" i="3"/>
  <c r="BL158" i="3"/>
  <c r="G159" i="3"/>
  <c r="BA161" i="3"/>
  <c r="AZ161" i="3" s="1"/>
  <c r="BL162" i="3"/>
  <c r="G163" i="3"/>
  <c r="BA165" i="3"/>
  <c r="BL166" i="3"/>
  <c r="G167" i="3"/>
  <c r="BA169" i="3"/>
  <c r="BL170" i="3"/>
  <c r="G171" i="3"/>
  <c r="BA173" i="3"/>
  <c r="BL174" i="3"/>
  <c r="G175" i="3"/>
  <c r="BA178" i="3"/>
  <c r="BL179" i="3"/>
  <c r="G180" i="3"/>
  <c r="AZ23" i="3"/>
  <c r="AZ31" i="3"/>
  <c r="AZ39" i="3"/>
  <c r="G537" i="3"/>
  <c r="BL181" i="3"/>
  <c r="G182" i="3"/>
  <c r="BA184" i="3"/>
  <c r="AZ184" i="3" s="1"/>
  <c r="BL185" i="3"/>
  <c r="G186" i="3"/>
  <c r="BA188" i="3"/>
  <c r="AZ188" i="3" s="1"/>
  <c r="BL189" i="3"/>
  <c r="AZ189" i="3" s="1"/>
  <c r="G190" i="3"/>
  <c r="BA192" i="3"/>
  <c r="BL193" i="3"/>
  <c r="G194" i="3"/>
  <c r="BA196" i="3"/>
  <c r="AZ196" i="3" s="1"/>
  <c r="BL197" i="3"/>
  <c r="G198" i="3"/>
  <c r="BA200" i="3"/>
  <c r="AZ200" i="3"/>
  <c r="BL201" i="3"/>
  <c r="AZ70" i="3"/>
  <c r="AZ94" i="3"/>
  <c r="G491" i="3"/>
  <c r="BA298" i="3"/>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AZ331" i="3" s="1"/>
  <c r="G332" i="3"/>
  <c r="G335" i="3"/>
  <c r="BL336" i="3"/>
  <c r="BA338" i="3"/>
  <c r="AZ338" i="3" s="1"/>
  <c r="BA339" i="3"/>
  <c r="BL339" i="3"/>
  <c r="AZ339" i="3" s="1"/>
  <c r="G340" i="3"/>
  <c r="G343" i="3"/>
  <c r="BL344" i="3"/>
  <c r="BA346" i="3"/>
  <c r="BA347" i="3"/>
  <c r="BL347" i="3"/>
  <c r="G348" i="3"/>
  <c r="G351" i="3"/>
  <c r="BL352" i="3"/>
  <c r="BA354" i="3"/>
  <c r="AZ354" i="3" s="1"/>
  <c r="BA355" i="3"/>
  <c r="BL355" i="3"/>
  <c r="G356" i="3"/>
  <c r="BA358" i="3"/>
  <c r="AZ358" i="3" s="1"/>
  <c r="BA359" i="3"/>
  <c r="BL359" i="3"/>
  <c r="AZ359" i="3" s="1"/>
  <c r="G360" i="3"/>
  <c r="G361" i="3"/>
  <c r="BL362" i="3"/>
  <c r="BA364" i="3"/>
  <c r="BA365" i="3"/>
  <c r="BL365" i="3"/>
  <c r="G366" i="3"/>
  <c r="G369" i="3"/>
  <c r="BL370" i="3"/>
  <c r="BA372" i="3"/>
  <c r="BA373" i="3"/>
  <c r="BL373" i="3"/>
  <c r="G374" i="3"/>
  <c r="G377" i="3"/>
  <c r="BL378" i="3"/>
  <c r="BA380" i="3"/>
  <c r="AZ380" i="3"/>
  <c r="BA381" i="3"/>
  <c r="AZ381" i="3"/>
  <c r="BL381" i="3"/>
  <c r="G382" i="3"/>
  <c r="G385" i="3"/>
  <c r="AZ187" i="3"/>
  <c r="G523" i="3"/>
  <c r="BL297" i="3"/>
  <c r="G298" i="3"/>
  <c r="BA300" i="3"/>
  <c r="BL301" i="3"/>
  <c r="G302" i="3"/>
  <c r="BA304" i="3"/>
  <c r="BL305" i="3"/>
  <c r="G306" i="3"/>
  <c r="BA308" i="3"/>
  <c r="BL309" i="3"/>
  <c r="G310" i="3"/>
  <c r="BA310" i="3"/>
  <c r="BL311" i="3"/>
  <c r="G312" i="3"/>
  <c r="BA312" i="3"/>
  <c r="AZ312" i="3" s="1"/>
  <c r="BL313" i="3"/>
  <c r="G314" i="3"/>
  <c r="BA314" i="3"/>
  <c r="AZ314" i="3" s="1"/>
  <c r="BL315" i="3"/>
  <c r="G316" i="3"/>
  <c r="BA316" i="3"/>
  <c r="AZ316" i="3" s="1"/>
  <c r="BL317" i="3"/>
  <c r="G318" i="3"/>
  <c r="BA320" i="3"/>
  <c r="AZ320" i="3" s="1"/>
  <c r="BL321" i="3"/>
  <c r="G322" i="3"/>
  <c r="BA324" i="3"/>
  <c r="AZ324" i="3" s="1"/>
  <c r="BL325" i="3"/>
  <c r="G326" i="3"/>
  <c r="BA328" i="3"/>
  <c r="BL329" i="3"/>
  <c r="G330" i="3"/>
  <c r="BA332" i="3"/>
  <c r="AZ332" i="3" s="1"/>
  <c r="BL333" i="3"/>
  <c r="G334" i="3"/>
  <c r="BA336" i="3"/>
  <c r="AZ336" i="3" s="1"/>
  <c r="BL337" i="3"/>
  <c r="AZ337" i="3" s="1"/>
  <c r="G338" i="3"/>
  <c r="BA340" i="3"/>
  <c r="AZ340" i="3" s="1"/>
  <c r="BL341" i="3"/>
  <c r="G342" i="3"/>
  <c r="BA344" i="3"/>
  <c r="AZ344" i="3" s="1"/>
  <c r="BL345" i="3"/>
  <c r="G346" i="3"/>
  <c r="BA348" i="3"/>
  <c r="BL349" i="3"/>
  <c r="AZ349" i="3" s="1"/>
  <c r="G350" i="3"/>
  <c r="BA352" i="3"/>
  <c r="AZ352" i="3" s="1"/>
  <c r="BL353" i="3"/>
  <c r="AZ353" i="3" s="1"/>
  <c r="G354" i="3"/>
  <c r="BA356" i="3"/>
  <c r="AZ356" i="3" s="1"/>
  <c r="BL357" i="3"/>
  <c r="AZ357" i="3" s="1"/>
  <c r="G358" i="3"/>
  <c r="BA362" i="3"/>
  <c r="BL363" i="3"/>
  <c r="G364" i="3"/>
  <c r="BA366" i="3"/>
  <c r="BL367" i="3"/>
  <c r="AZ229" i="3"/>
  <c r="AZ233" i="3"/>
  <c r="AZ309" i="3"/>
  <c r="AZ341" i="3"/>
  <c r="AZ363" i="3"/>
  <c r="G368" i="3"/>
  <c r="BA370" i="3"/>
  <c r="AZ370" i="3" s="1"/>
  <c r="BL371" i="3"/>
  <c r="AZ371" i="3" s="1"/>
  <c r="G372" i="3"/>
  <c r="BA374" i="3"/>
  <c r="BL375" i="3"/>
  <c r="G376" i="3"/>
  <c r="BA378" i="3"/>
  <c r="AZ378" i="3" s="1"/>
  <c r="BL379" i="3"/>
  <c r="G380" i="3"/>
  <c r="BA382" i="3"/>
  <c r="AZ382" i="3"/>
  <c r="BL383" i="3"/>
  <c r="G384" i="3"/>
  <c r="AZ261" i="3"/>
  <c r="AZ265" i="3"/>
  <c r="AZ375" i="3"/>
  <c r="AZ274" i="3"/>
  <c r="AZ282" i="3"/>
  <c r="AZ290" i="3"/>
  <c r="AZ351" i="3"/>
  <c r="AZ385" i="3"/>
  <c r="AZ390" i="3"/>
  <c r="AZ398" i="3"/>
  <c r="AZ414" i="3"/>
  <c r="AZ422" i="3"/>
  <c r="AZ450" i="3"/>
  <c r="AZ459" i="3"/>
  <c r="AZ463" i="3"/>
  <c r="H7" i="48"/>
  <c r="F33" i="46"/>
  <c r="H16" i="48"/>
  <c r="H9" i="48"/>
  <c r="H8" i="48"/>
  <c r="C12" i="46"/>
  <c r="AB16" i="35"/>
  <c r="AA43" i="21"/>
  <c r="U43" i="21"/>
  <c r="AA13" i="40"/>
  <c r="E78" i="40"/>
  <c r="F78" i="40" s="1"/>
  <c r="G78" i="40" s="1"/>
  <c r="H78" i="40" s="1"/>
  <c r="I78" i="40" s="1"/>
  <c r="J78" i="40" s="1"/>
  <c r="K78" i="40" s="1"/>
  <c r="L78" i="40" s="1"/>
  <c r="M78" i="40" s="1"/>
  <c r="BH5" i="3"/>
  <c r="R16" i="4"/>
  <c r="D3" i="35"/>
  <c r="G4" i="4"/>
  <c r="J16" i="35"/>
  <c r="W16" i="35" s="1"/>
  <c r="U42" i="21"/>
  <c r="AC26" i="36"/>
  <c r="W25" i="35"/>
  <c r="AZ300" i="3"/>
  <c r="AZ322" i="3"/>
  <c r="H13" i="39"/>
  <c r="AB13" i="39" s="1"/>
  <c r="F13" i="39"/>
  <c r="J13" i="39"/>
  <c r="AC13" i="39" s="1"/>
  <c r="H11" i="37"/>
  <c r="AB11" i="37" s="1"/>
  <c r="W37" i="37"/>
  <c r="AA30" i="33"/>
  <c r="AA36" i="37"/>
  <c r="AB17" i="37"/>
  <c r="AZ488" i="3"/>
  <c r="AZ508" i="3"/>
  <c r="AZ524" i="3"/>
  <c r="AZ532" i="3"/>
  <c r="AA45" i="33"/>
  <c r="AC11" i="36"/>
  <c r="AC10" i="36"/>
  <c r="AB45" i="34"/>
  <c r="AC14" i="37"/>
  <c r="AB35" i="35"/>
  <c r="S25" i="35"/>
  <c r="W44" i="33"/>
  <c r="AC30" i="33"/>
  <c r="W30" i="33"/>
  <c r="AC29" i="37"/>
  <c r="W32" i="36"/>
  <c r="AC32" i="36"/>
  <c r="U28" i="33"/>
  <c r="J33" i="34"/>
  <c r="AC33" i="34" s="1"/>
  <c r="AB36" i="34"/>
  <c r="J40" i="34"/>
  <c r="W40" i="34" s="1"/>
  <c r="F16" i="35"/>
  <c r="AA16" i="35" s="1"/>
  <c r="S24" i="36"/>
  <c r="J35" i="34"/>
  <c r="W35" i="34" s="1"/>
  <c r="S30" i="36"/>
  <c r="H16" i="36"/>
  <c r="AB16" i="36" s="1"/>
  <c r="G103" i="37"/>
  <c r="H103" i="37" s="1"/>
  <c r="I103" i="37" s="1"/>
  <c r="J103" i="37" s="1"/>
  <c r="K103" i="37" s="1"/>
  <c r="L103" i="37" s="1"/>
  <c r="M103" i="37" s="1"/>
  <c r="H35" i="37"/>
  <c r="AB35" i="37" s="1"/>
  <c r="S26"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H66" i="33"/>
  <c r="F10" i="33"/>
  <c r="AA10" i="33" s="1"/>
  <c r="F11" i="33"/>
  <c r="S11" i="33" s="1"/>
  <c r="F35" i="33"/>
  <c r="AA35" i="33" s="1"/>
  <c r="F11" i="34"/>
  <c r="S11" i="34" s="1"/>
  <c r="E80" i="34"/>
  <c r="F80" i="34" s="1"/>
  <c r="G80"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F99" i="37"/>
  <c r="AC27" i="37"/>
  <c r="U25" i="35"/>
  <c r="S45" i="34"/>
  <c r="U31" i="34"/>
  <c r="AC40" i="37"/>
  <c r="W40" i="37"/>
  <c r="AC45" i="21"/>
  <c r="S28" i="33"/>
  <c r="S14" i="21"/>
  <c r="AB29" i="35"/>
  <c r="U29" i="35"/>
  <c r="AC34" i="37"/>
  <c r="S35" i="37"/>
  <c r="AA35" i="37"/>
  <c r="AB10" i="35"/>
  <c r="AA32" i="21"/>
  <c r="S32" i="21"/>
  <c r="U38" i="21"/>
  <c r="AB34" i="21"/>
  <c r="BL571" i="3"/>
  <c r="BA571" i="3"/>
  <c r="AZ571" i="3" s="1"/>
  <c r="BL570" i="3"/>
  <c r="BE5" i="3"/>
  <c r="F42" i="21"/>
  <c r="AA42" i="21" s="1"/>
  <c r="AB40" i="33"/>
  <c r="U40" i="33"/>
  <c r="AA35" i="34"/>
  <c r="E90" i="34"/>
  <c r="H27" i="34"/>
  <c r="AB27" i="34" s="1"/>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s="1"/>
  <c r="G128" i="39" s="1"/>
  <c r="H128" i="39" s="1"/>
  <c r="I128" i="39" s="1"/>
  <c r="J128" i="39" s="1"/>
  <c r="K128" i="39" s="1"/>
  <c r="L128" i="39" s="1"/>
  <c r="M128" i="39" s="1"/>
  <c r="F46" i="39"/>
  <c r="S46" i="39"/>
  <c r="H46" i="39"/>
  <c r="U46" i="39"/>
  <c r="J46" i="39"/>
  <c r="W46" i="39"/>
  <c r="F29" i="39"/>
  <c r="AA29" i="39"/>
  <c r="E103" i="39"/>
  <c r="F103" i="39"/>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BL522" i="3"/>
  <c r="BA522" i="3"/>
  <c r="BL521" i="3"/>
  <c r="AZ521" i="3" s="1"/>
  <c r="BA519" i="3"/>
  <c r="AZ519" i="3" s="1"/>
  <c r="BL518" i="3"/>
  <c r="BA518" i="3"/>
  <c r="BL517" i="3"/>
  <c r="BA517" i="3"/>
  <c r="AZ517" i="3"/>
  <c r="BL515" i="3"/>
  <c r="BA515" i="3"/>
  <c r="BA514" i="3"/>
  <c r="BL513" i="3"/>
  <c r="BA513" i="3"/>
  <c r="BL512" i="3"/>
  <c r="AZ512" i="3" s="1"/>
  <c r="BA511" i="3"/>
  <c r="AZ511" i="3" s="1"/>
  <c r="BA510" i="3"/>
  <c r="AZ510" i="3" s="1"/>
  <c r="BL509" i="3"/>
  <c r="AZ509" i="3" s="1"/>
  <c r="BL507" i="3"/>
  <c r="BA507" i="3"/>
  <c r="BL506" i="3"/>
  <c r="BA506" i="3"/>
  <c r="BL505" i="3"/>
  <c r="AZ505" i="3" s="1"/>
  <c r="BL504" i="3"/>
  <c r="BA504" i="3"/>
  <c r="BA503" i="3"/>
  <c r="AZ503" i="3" s="1"/>
  <c r="BA500" i="3"/>
  <c r="AZ500" i="3" s="1"/>
  <c r="BL499" i="3"/>
  <c r="BA499" i="3"/>
  <c r="AZ499" i="3" s="1"/>
  <c r="BL498" i="3"/>
  <c r="AZ498" i="3" s="1"/>
  <c r="BL497" i="3"/>
  <c r="BA497" i="3"/>
  <c r="BL496" i="3"/>
  <c r="BA496" i="3"/>
  <c r="BA495" i="3"/>
  <c r="AZ495" i="3" s="1"/>
  <c r="BL494" i="3"/>
  <c r="BA494" i="3"/>
  <c r="AZ494" i="3" s="1"/>
  <c r="G494" i="3"/>
  <c r="BA491" i="3"/>
  <c r="AZ491" i="3" s="1"/>
  <c r="BL490" i="3"/>
  <c r="BA490" i="3"/>
  <c r="AZ490" i="3" s="1"/>
  <c r="BL489" i="3"/>
  <c r="BA489" i="3"/>
  <c r="BL487" i="3"/>
  <c r="AZ487" i="3" s="1"/>
  <c r="BL486" i="3"/>
  <c r="BA486" i="3"/>
  <c r="BA485" i="3"/>
  <c r="AZ485" i="3" s="1"/>
  <c r="BA483" i="3"/>
  <c r="AZ483" i="3" s="1"/>
  <c r="BA482" i="3"/>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E78" i="34"/>
  <c r="F15" i="34" s="1"/>
  <c r="S15" i="34" s="1"/>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AC41" i="40"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9" i="3"/>
  <c r="AZ403" i="3"/>
  <c r="AZ415" i="3"/>
  <c r="AZ454" i="3"/>
  <c r="B41" i="1"/>
  <c r="J42" i="40"/>
  <c r="AC42" i="40" s="1"/>
  <c r="J40" i="40"/>
  <c r="AC40" i="40" s="1"/>
  <c r="J34" i="40"/>
  <c r="AC34" i="40" s="1"/>
  <c r="H16" i="40"/>
  <c r="AB16" i="40" s="1"/>
  <c r="H14" i="40"/>
  <c r="U14" i="40" s="1"/>
  <c r="F32" i="40"/>
  <c r="AA32" i="40" s="1"/>
  <c r="AZ401" i="3"/>
  <c r="AZ452" i="3"/>
  <c r="M1" i="46"/>
  <c r="M6" i="46"/>
  <c r="M10" i="46"/>
  <c r="N2" i="46"/>
  <c r="N5" i="46"/>
  <c r="F58" i="46"/>
  <c r="H61" i="46" s="1"/>
  <c r="N7" i="46"/>
  <c r="AZ456" i="3"/>
  <c r="AZ458" i="3"/>
  <c r="AZ461" i="3"/>
  <c r="AZ228" i="3"/>
  <c r="AZ231" i="3"/>
  <c r="AZ260" i="3"/>
  <c r="AZ263" i="3"/>
  <c r="AZ121" i="3"/>
  <c r="M7" i="46"/>
  <c r="M11" i="46"/>
  <c r="N3" i="46"/>
  <c r="N6" i="46"/>
  <c r="N10" i="46"/>
  <c r="F69" i="46"/>
  <c r="H71" i="46" s="1"/>
  <c r="AZ32" i="3"/>
  <c r="AZ91" i="3"/>
  <c r="J13" i="40"/>
  <c r="W13" i="40" s="1"/>
  <c r="F34" i="44"/>
  <c r="F27" i="43"/>
  <c r="F66" i="9"/>
  <c r="P72" i="9" s="1"/>
  <c r="F71" i="9"/>
  <c r="F72" i="9"/>
  <c r="AC14" i="40"/>
  <c r="S33" i="40"/>
  <c r="AB32" i="40"/>
  <c r="AB25" i="39"/>
  <c r="W41" i="40"/>
  <c r="J23" i="40"/>
  <c r="AC23" i="40" s="1"/>
  <c r="F23" i="40"/>
  <c r="S23" i="40" s="1"/>
  <c r="W15" i="40"/>
  <c r="S23" i="39"/>
  <c r="AB16" i="39"/>
  <c r="W14" i="39"/>
  <c r="U23" i="35"/>
  <c r="AB23" i="35"/>
  <c r="H20" i="35"/>
  <c r="F20" i="35"/>
  <c r="S20" i="35" s="1"/>
  <c r="H15" i="34"/>
  <c r="AB15" i="34" s="1"/>
  <c r="F78" i="34"/>
  <c r="G78" i="34" s="1"/>
  <c r="J15" i="34"/>
  <c r="W15" i="34" s="1"/>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AB19" i="39"/>
  <c r="U19" i="39"/>
  <c r="U46" i="34"/>
  <c r="AC30" i="34"/>
  <c r="W12" i="34"/>
  <c r="AC13" i="33"/>
  <c r="AA11" i="34"/>
  <c r="AA40" i="21"/>
  <c r="U17" i="21"/>
  <c r="S13" i="39"/>
  <c r="AA13" i="39"/>
  <c r="U16" i="40"/>
  <c r="AB34" i="40"/>
  <c r="AB42" i="40"/>
  <c r="U42" i="40"/>
  <c r="AC16" i="40"/>
  <c r="W32" i="40"/>
  <c r="H25" i="40"/>
  <c r="AB25" i="40" s="1"/>
  <c r="F94" i="40"/>
  <c r="G94" i="40" s="1"/>
  <c r="U47" i="39"/>
  <c r="W15" i="39"/>
  <c r="S41" i="40"/>
  <c r="AB23" i="40"/>
  <c r="U27" i="39"/>
  <c r="H23" i="39"/>
  <c r="AB23" i="39" s="1"/>
  <c r="J23" i="39"/>
  <c r="AC23" i="39" s="1"/>
  <c r="F97" i="39"/>
  <c r="G97" i="39" s="1"/>
  <c r="S16" i="39"/>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H11" i="33"/>
  <c r="U11" i="33" s="1"/>
  <c r="H10" i="33"/>
  <c r="U10" i="33" s="1"/>
  <c r="I66" i="33"/>
  <c r="J10" i="33"/>
  <c r="AC10" i="33" s="1"/>
  <c r="U40" i="21"/>
  <c r="U11" i="37"/>
  <c r="U13" i="39"/>
  <c r="AC16" i="35"/>
  <c r="J11" i="34"/>
  <c r="W11" i="34" s="1"/>
  <c r="F25" i="40"/>
  <c r="AA25" i="40" s="1"/>
  <c r="J11" i="33"/>
  <c r="W11" i="33" s="1"/>
  <c r="H33" i="37"/>
  <c r="AB33" i="37" s="1"/>
  <c r="U20" i="35"/>
  <c r="AB20" i="35"/>
  <c r="W23" i="40"/>
  <c r="B11" i="1"/>
  <c r="E11" i="1"/>
  <c r="K11" i="1"/>
  <c r="M11" i="1" s="1"/>
  <c r="B9" i="1"/>
  <c r="E9" i="1" s="1"/>
  <c r="K9" i="1"/>
  <c r="M9" i="1" s="1"/>
  <c r="B7" i="1"/>
  <c r="E7" i="1" s="1"/>
  <c r="K7" i="1"/>
  <c r="M7" i="1" s="1"/>
  <c r="F6" i="1"/>
  <c r="AP6" i="1" s="1"/>
  <c r="G11" i="1"/>
  <c r="M22" i="44"/>
  <c r="F32" i="15"/>
  <c r="F59" i="15" s="1"/>
  <c r="F29" i="12"/>
  <c r="F70" i="9"/>
  <c r="D86" i="9"/>
  <c r="M20" i="44"/>
  <c r="F31" i="43"/>
  <c r="F30" i="44"/>
  <c r="AC25"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U30" i="34"/>
  <c r="S32" i="34"/>
  <c r="AB33" i="34"/>
  <c r="AA12" i="34"/>
  <c r="AA30" i="34"/>
  <c r="AC32" i="34"/>
  <c r="AA33" i="34"/>
  <c r="U44" i="34"/>
  <c r="U34" i="34"/>
  <c r="U28" i="34"/>
  <c r="J25" i="34"/>
  <c r="AC25" i="34" s="1"/>
  <c r="H25" i="34"/>
  <c r="U25" i="34" s="1"/>
  <c r="F25" i="34"/>
  <c r="AA25" i="34" s="1"/>
  <c r="J23" i="34"/>
  <c r="W23" i="34" s="1"/>
  <c r="F23" i="34"/>
  <c r="S23" i="34" s="1"/>
  <c r="H23" i="34"/>
  <c r="U23" i="34" s="1"/>
  <c r="W44" i="34"/>
  <c r="W19" i="34"/>
  <c r="W29" i="34"/>
  <c r="AC21" i="34"/>
  <c r="W21" i="34"/>
  <c r="AB21" i="34"/>
  <c r="U21" i="34"/>
  <c r="U27" i="34"/>
  <c r="AB41" i="34"/>
  <c r="S13" i="34"/>
  <c r="AA41" i="34"/>
  <c r="S10" i="34"/>
  <c r="AB11" i="33"/>
  <c r="S29" i="33"/>
  <c r="U46" i="33"/>
  <c r="U35" i="33"/>
  <c r="H25" i="33"/>
  <c r="AB25" i="33" s="1"/>
  <c r="J25" i="33"/>
  <c r="W25" i="33" s="1"/>
  <c r="F87" i="33"/>
  <c r="G87" i="33" s="1"/>
  <c r="H87" i="33" s="1"/>
  <c r="I87" i="33" s="1"/>
  <c r="J87" i="33" s="1"/>
  <c r="K87" i="33" s="1"/>
  <c r="L87" i="33" s="1"/>
  <c r="M87" i="33" s="1"/>
  <c r="F25" i="33"/>
  <c r="S25" i="33" s="1"/>
  <c r="S14" i="33"/>
  <c r="AC21" i="33"/>
  <c r="W21" i="33"/>
  <c r="W14" i="33"/>
  <c r="AB21" i="33"/>
  <c r="U21" i="33"/>
  <c r="AA21" i="33"/>
  <c r="S21" i="33"/>
  <c r="AA44"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M18" i="15"/>
  <c r="A18" i="64"/>
  <c r="B74" i="63" s="1"/>
  <c r="C53" i="10"/>
  <c r="A25" i="64" s="1"/>
  <c r="A18" i="51"/>
  <c r="B14" i="63" s="1"/>
  <c r="BA16" i="3"/>
  <c r="BA17" i="3"/>
  <c r="AZ17" i="3" s="1"/>
  <c r="F3" i="35"/>
  <c r="K1" i="43"/>
  <c r="K1" i="12"/>
  <c r="G1" i="44"/>
  <c r="I4" i="6"/>
  <c r="G3" i="46"/>
  <c r="AZ15" i="3"/>
  <c r="BK5" i="3"/>
  <c r="BO5" i="3"/>
  <c r="BP5" i="3"/>
  <c r="BN5" i="3"/>
  <c r="BL18" i="3"/>
  <c r="AZ18" i="3" s="1"/>
  <c r="BC5" i="3"/>
  <c r="E8" i="6" s="1"/>
  <c r="BD5" i="3"/>
  <c r="BR5" i="3"/>
  <c r="BS5" i="3"/>
  <c r="BQ5" i="3"/>
  <c r="BL16" i="3"/>
  <c r="BM5" i="3"/>
  <c r="BA13" i="3"/>
  <c r="G28" i="12"/>
  <c r="G22" i="43"/>
  <c r="G26" i="12"/>
  <c r="D24" i="44"/>
  <c r="D26" i="44"/>
  <c r="G27" i="12"/>
  <c r="G23" i="43"/>
  <c r="G21" i="43"/>
  <c r="N8" i="46"/>
  <c r="F47" i="46" s="1"/>
  <c r="N4" i="46"/>
  <c r="N1" i="46"/>
  <c r="M9" i="46"/>
  <c r="M2" i="46"/>
  <c r="N11" i="46"/>
  <c r="N9" i="46"/>
  <c r="M4" i="46"/>
  <c r="M12" i="46"/>
  <c r="M8" i="46"/>
  <c r="C6" i="46" s="1"/>
  <c r="B3" i="75" s="1"/>
  <c r="M3" i="46"/>
  <c r="M5" i="46"/>
  <c r="H6" i="48"/>
  <c r="H15" i="48"/>
  <c r="H5" i="48"/>
  <c r="H14" i="48"/>
  <c r="F36" i="46"/>
  <c r="K17" i="46"/>
  <c r="F39" i="46"/>
  <c r="H13" i="48"/>
  <c r="H11" i="48"/>
  <c r="D17" i="46"/>
  <c r="D71" i="46"/>
  <c r="D84" i="46"/>
  <c r="E80" i="46" s="1"/>
  <c r="B78" i="46" s="1"/>
  <c r="D69" i="46"/>
  <c r="E69" i="46" s="1"/>
  <c r="B67" i="46" s="1"/>
  <c r="E58" i="46"/>
  <c r="B56" i="46" s="1"/>
  <c r="A4" i="64"/>
  <c r="A4" i="51"/>
  <c r="B6" i="63" s="1"/>
  <c r="C51" i="10"/>
  <c r="I100" i="46"/>
  <c r="N100" i="46"/>
  <c r="H100" i="46"/>
  <c r="F108" i="46"/>
  <c r="H80" i="46"/>
  <c r="E100" i="46"/>
  <c r="G100" i="46"/>
  <c r="H84" i="46"/>
  <c r="C100" i="46"/>
  <c r="J100" i="46"/>
  <c r="M100" i="46"/>
  <c r="AA12" i="36"/>
  <c r="U12" i="35"/>
  <c r="AB12" i="35"/>
  <c r="W11" i="35"/>
  <c r="AA11" i="35"/>
  <c r="S14" i="37"/>
  <c r="U13" i="37"/>
  <c r="S13" i="21"/>
  <c r="C24" i="9"/>
  <c r="C25" i="9"/>
  <c r="G9" i="1"/>
  <c r="I20" i="46"/>
  <c r="L5" i="54"/>
  <c r="B39" i="63" s="1"/>
  <c r="K5" i="54"/>
  <c r="B38" i="63" s="1"/>
  <c r="T41" i="4"/>
  <c r="A17" i="64" s="1"/>
  <c r="B46" i="50"/>
  <c r="B4" i="63" s="1"/>
  <c r="C46" i="36"/>
  <c r="D46" i="36" s="1"/>
  <c r="E46" i="36" s="1"/>
  <c r="F46" i="36" s="1"/>
  <c r="G46" i="36" s="1"/>
  <c r="H46" i="36" s="1"/>
  <c r="H86" i="46"/>
  <c r="H82" i="46"/>
  <c r="H10" i="48"/>
  <c r="H87" i="46"/>
  <c r="H85" i="46"/>
  <c r="H83" i="46"/>
  <c r="K10" i="1"/>
  <c r="M10" i="1" s="1"/>
  <c r="S11" i="1"/>
  <c r="R11" i="1"/>
  <c r="S13" i="1"/>
  <c r="R13" i="1"/>
  <c r="B6" i="1"/>
  <c r="E6" i="1" s="1"/>
  <c r="B10" i="1"/>
  <c r="E10" i="1" s="1"/>
  <c r="S10" i="1"/>
  <c r="B8" i="1"/>
  <c r="E8" i="1" s="1"/>
  <c r="B12" i="1"/>
  <c r="E12" i="1" s="1"/>
  <c r="S12" i="1"/>
  <c r="K6" i="1"/>
  <c r="M6" i="1" s="1"/>
  <c r="G1" i="15"/>
  <c r="F66" i="36"/>
  <c r="G66" i="36" s="1"/>
  <c r="H18" i="36"/>
  <c r="AB18" i="36" s="1"/>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B14" i="33"/>
  <c r="S26" i="33"/>
  <c r="AB12"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5" i="46"/>
  <c r="B59" i="46"/>
  <c r="B62" i="46"/>
  <c r="B66" i="46"/>
  <c r="B53" i="46"/>
  <c r="D24" i="15"/>
  <c r="F29" i="6"/>
  <c r="F28" i="6"/>
  <c r="S14" i="36"/>
  <c r="AB20" i="36"/>
  <c r="AA20" i="36"/>
  <c r="AC14" i="36"/>
  <c r="W14" i="36"/>
  <c r="U14" i="36"/>
  <c r="AB14" i="36"/>
  <c r="U18" i="36"/>
  <c r="AA26" i="35"/>
  <c r="S26" i="35"/>
  <c r="U26" i="35"/>
  <c r="AB26" i="35"/>
  <c r="W26" i="35"/>
  <c r="AC26" i="35"/>
  <c r="S19" i="37"/>
  <c r="W19" i="37"/>
  <c r="AB19" i="37"/>
  <c r="U19" i="37"/>
  <c r="AC17" i="37"/>
  <c r="W17" i="37"/>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C31" i="39"/>
  <c r="B20" i="31"/>
  <c r="R22" i="31"/>
  <c r="B21" i="31" s="1"/>
  <c r="E5" i="6"/>
  <c r="D12" i="11" s="1"/>
  <c r="C12" i="11" s="1"/>
  <c r="AT6" i="3"/>
  <c r="AZ13" i="3"/>
  <c r="G29" i="6"/>
  <c r="AZ16" i="3"/>
  <c r="A9" i="64"/>
  <c r="A9" i="51"/>
  <c r="B9" i="63" s="1"/>
  <c r="A3" i="55"/>
  <c r="B56" i="63" s="1"/>
  <c r="J18" i="36"/>
  <c r="AC18" i="36" s="1"/>
  <c r="AE8" i="1"/>
  <c r="L20" i="6"/>
  <c r="L19" i="6"/>
  <c r="S8" i="1"/>
  <c r="S9" i="1"/>
  <c r="R9" i="1"/>
  <c r="R8" i="1"/>
  <c r="C45" i="9"/>
  <c r="C44" i="9"/>
  <c r="G14" i="66"/>
  <c r="B6" i="66" s="1"/>
  <c r="N69" i="9"/>
  <c r="M86" i="9" s="1"/>
  <c r="N86" i="9" s="1"/>
  <c r="O39" i="9"/>
  <c r="R6" i="54" s="1"/>
  <c r="B50" i="63" s="1"/>
  <c r="K29" i="9"/>
  <c r="K30" i="9" s="1"/>
  <c r="M84" i="9"/>
  <c r="N84" i="9" s="1"/>
  <c r="M87" i="9"/>
  <c r="N87" i="9" s="1"/>
  <c r="M83" i="9"/>
  <c r="N83" i="9" s="1"/>
  <c r="N89" i="9" s="1"/>
  <c r="O89" i="9" s="1"/>
  <c r="N76" i="9"/>
  <c r="C46" i="9"/>
  <c r="O41" i="9" s="1"/>
  <c r="R8" i="54" s="1"/>
  <c r="B54" i="63" s="1"/>
  <c r="H58" i="46"/>
  <c r="J17" i="46"/>
  <c r="C17" i="46"/>
  <c r="F34" i="46"/>
  <c r="F38" i="46"/>
  <c r="F37" i="46"/>
  <c r="H113" i="46"/>
  <c r="D18" i="59"/>
  <c r="C17" i="59"/>
  <c r="D17" i="59" s="1"/>
  <c r="F18" i="59"/>
  <c r="F17" i="59" s="1"/>
  <c r="F16" i="59" s="1"/>
  <c r="F15" i="59" s="1"/>
  <c r="Y17" i="59"/>
  <c r="Z17" i="59" s="1"/>
  <c r="AA17" i="59"/>
  <c r="AB17" i="59"/>
  <c r="Y16" i="59"/>
  <c r="Z16" i="59" s="1"/>
  <c r="Y15" i="59"/>
  <c r="Z15" i="59" s="1"/>
  <c r="Y14" i="59"/>
  <c r="Z14" i="59" s="1"/>
  <c r="AB16" i="59"/>
  <c r="AB15" i="59"/>
  <c r="AB14" i="59"/>
  <c r="AA19" i="59"/>
  <c r="X17" i="59"/>
  <c r="X15" i="59"/>
  <c r="X14" i="59"/>
  <c r="AA15" i="59"/>
  <c r="AA14" i="59"/>
  <c r="H1" i="65"/>
  <c r="X7" i="46"/>
  <c r="E17" i="46"/>
  <c r="N17" i="46"/>
  <c r="O17" i="46"/>
  <c r="M17" i="46"/>
  <c r="L17" i="46"/>
  <c r="H22" i="46"/>
  <c r="Y11" i="46"/>
  <c r="Y13" i="46" s="1"/>
  <c r="H101" i="46"/>
  <c r="H102" i="46" s="1"/>
  <c r="G22" i="46"/>
  <c r="J22" i="46"/>
  <c r="F101" i="46"/>
  <c r="F106" i="46" s="1"/>
  <c r="D101" i="46"/>
  <c r="D106" i="46" s="1"/>
  <c r="O12" i="1"/>
  <c r="P12" i="1" s="1"/>
  <c r="H70" i="46"/>
  <c r="H73" i="46"/>
  <c r="F35" i="46"/>
  <c r="I17" i="46"/>
  <c r="H63" i="46"/>
  <c r="I101" i="46"/>
  <c r="I105" i="46" s="1"/>
  <c r="M101" i="46"/>
  <c r="M104" i="46" s="1"/>
  <c r="N101" i="46"/>
  <c r="N105" i="46" s="1"/>
  <c r="AC11" i="46"/>
  <c r="AD11" i="46"/>
  <c r="AJ11" i="46"/>
  <c r="H64" i="46"/>
  <c r="H66" i="46"/>
  <c r="D100" i="46"/>
  <c r="H62" i="46"/>
  <c r="AF12" i="46"/>
  <c r="K100" i="46"/>
  <c r="AB12" i="46"/>
  <c r="AJ12" i="46"/>
  <c r="C101" i="46"/>
  <c r="C109" i="46" s="1"/>
  <c r="G101" i="46"/>
  <c r="G103" i="46" s="1"/>
  <c r="J101" i="46"/>
  <c r="J107" i="46" s="1"/>
  <c r="B113" i="46"/>
  <c r="I115" i="46" s="1"/>
  <c r="J115" i="46" s="1"/>
  <c r="K115" i="46" s="1"/>
  <c r="L115" i="46" s="1"/>
  <c r="M115" i="46" s="1"/>
  <c r="N104" i="45"/>
  <c r="L101" i="46"/>
  <c r="L105" i="46" s="1"/>
  <c r="F22" i="46"/>
  <c r="E101" i="46"/>
  <c r="E106" i="46" s="1"/>
  <c r="Z7" i="46"/>
  <c r="K101" i="46"/>
  <c r="K103" i="46" s="1"/>
  <c r="E22" i="46"/>
  <c r="AG11" i="46"/>
  <c r="AG13" i="46" s="1"/>
  <c r="Z11" i="46"/>
  <c r="AH11" i="46"/>
  <c r="AA11" i="46"/>
  <c r="AA13" i="46" s="1"/>
  <c r="AI11" i="46"/>
  <c r="AI13" i="46" s="1"/>
  <c r="AF11" i="46"/>
  <c r="AF13" i="46" s="1"/>
  <c r="AE11" i="46"/>
  <c r="AE13" i="46" s="1"/>
  <c r="H60" i="46"/>
  <c r="H59" i="46"/>
  <c r="H74" i="46"/>
  <c r="H65" i="46"/>
  <c r="AB11" i="46"/>
  <c r="AB13" i="46" s="1"/>
  <c r="H75" i="46"/>
  <c r="E10" i="46"/>
  <c r="E9" i="46"/>
  <c r="E11" i="46"/>
  <c r="E8" i="46"/>
  <c r="H103" i="46"/>
  <c r="H72" i="46"/>
  <c r="H69" i="46"/>
  <c r="H77" i="46"/>
  <c r="H76" i="46"/>
  <c r="AD12" i="46"/>
  <c r="AH12" i="46"/>
  <c r="AH13" i="46" s="1"/>
  <c r="C16" i="59"/>
  <c r="C15" i="59" s="1"/>
  <c r="B16" i="59"/>
  <c r="B15" i="59" s="1"/>
  <c r="B14" i="59" s="1"/>
  <c r="B13" i="59" s="1"/>
  <c r="B12" i="59" s="1"/>
  <c r="D16" i="59"/>
  <c r="D107" i="46"/>
  <c r="K107" i="46"/>
  <c r="K102" i="46"/>
  <c r="K104" i="46"/>
  <c r="E104" i="46"/>
  <c r="E105" i="46"/>
  <c r="E102" i="46"/>
  <c r="L102" i="46"/>
  <c r="L104" i="46"/>
  <c r="L109" i="46"/>
  <c r="C23" i="46"/>
  <c r="L107"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8" i="46"/>
  <c r="H118" i="46" s="1"/>
  <c r="B118" i="46"/>
  <c r="C118" i="46" s="1"/>
  <c r="G106" i="46"/>
  <c r="G104" i="46"/>
  <c r="G107" i="46"/>
  <c r="K109" i="46"/>
  <c r="E109" i="46"/>
  <c r="C7" i="46"/>
  <c r="S5" i="46"/>
  <c r="S2" i="46"/>
  <c r="S3" i="46"/>
  <c r="S7" i="46"/>
  <c r="S6" i="46"/>
  <c r="S4" i="46"/>
  <c r="J36" i="15"/>
  <c r="I5" i="65"/>
  <c r="M29" i="44"/>
  <c r="M31" i="44"/>
  <c r="M23" i="44"/>
  <c r="F8" i="15"/>
  <c r="F46" i="44"/>
  <c r="F40" i="44"/>
  <c r="F37" i="44"/>
  <c r="M8" i="44"/>
  <c r="M22" i="15"/>
  <c r="J17" i="44"/>
  <c r="B13" i="67"/>
  <c r="F36" i="15"/>
  <c r="M10" i="44"/>
  <c r="F9" i="67"/>
  <c r="B10" i="67"/>
  <c r="F43" i="15"/>
  <c r="M26" i="15"/>
  <c r="F42" i="15"/>
  <c r="F12" i="67"/>
  <c r="M28" i="44"/>
  <c r="N5" i="65"/>
  <c r="E9" i="67"/>
  <c r="B9" i="67"/>
  <c r="E13" i="67"/>
  <c r="F43" i="44"/>
  <c r="F8" i="67"/>
  <c r="F37" i="15"/>
  <c r="M26" i="44"/>
  <c r="M24" i="15"/>
  <c r="M11" i="44"/>
  <c r="E8" i="67"/>
  <c r="F9" i="44"/>
  <c r="F45" i="44"/>
  <c r="F14" i="67"/>
  <c r="F10" i="44"/>
  <c r="N6" i="65"/>
  <c r="M28" i="15"/>
  <c r="M29" i="15"/>
  <c r="F11" i="67"/>
  <c r="F9" i="15"/>
  <c r="M9" i="15"/>
  <c r="F40" i="15"/>
  <c r="M6" i="15"/>
  <c r="F7" i="15"/>
  <c r="J15" i="15"/>
  <c r="I6" i="65"/>
  <c r="J3" i="65"/>
  <c r="I7" i="65"/>
  <c r="F28" i="44"/>
  <c r="J7" i="65"/>
  <c r="M30" i="44"/>
  <c r="I3" i="65"/>
  <c r="I4" i="65"/>
  <c r="E12" i="67"/>
  <c r="E11" i="67"/>
  <c r="F38" i="44"/>
  <c r="F15" i="44"/>
  <c r="F39" i="44"/>
  <c r="F13" i="67"/>
  <c r="B8" i="67"/>
  <c r="E10" i="67"/>
  <c r="F26" i="15"/>
  <c r="F38" i="15"/>
  <c r="J6" i="65"/>
  <c r="J4" i="65"/>
  <c r="F18" i="44"/>
  <c r="F11" i="44"/>
  <c r="B11" i="67"/>
  <c r="B12" i="67"/>
  <c r="M24" i="44"/>
  <c r="N3" i="65"/>
  <c r="M8" i="15"/>
  <c r="N7" i="65"/>
  <c r="F8" i="44"/>
  <c r="L48" i="15"/>
  <c r="F10" i="67"/>
  <c r="J5" i="65"/>
  <c r="E14" i="67"/>
  <c r="L48" i="44"/>
  <c r="M25" i="44"/>
  <c r="B14" i="67"/>
  <c r="L47" i="15"/>
  <c r="N4" i="65"/>
  <c r="L49" i="44"/>
  <c r="F13" i="15"/>
  <c r="M23" i="15"/>
  <c r="C19" i="44"/>
  <c r="F16" i="15"/>
  <c r="AD13" i="46" l="1"/>
  <c r="AC23" i="35"/>
  <c r="W23" i="35"/>
  <c r="W35" i="40"/>
  <c r="AZ489" i="3"/>
  <c r="AZ507" i="3"/>
  <c r="AZ513" i="3"/>
  <c r="AZ522" i="3"/>
  <c r="AZ523" i="3"/>
  <c r="AZ567" i="3"/>
  <c r="AZ362" i="3"/>
  <c r="AZ328" i="3"/>
  <c r="AZ310" i="3"/>
  <c r="AZ304" i="3"/>
  <c r="AZ372" i="3"/>
  <c r="AZ355" i="3"/>
  <c r="AZ298" i="3"/>
  <c r="AZ343" i="3"/>
  <c r="AZ514" i="3"/>
  <c r="AZ543" i="3"/>
  <c r="AZ541" i="3"/>
  <c r="AZ555" i="3"/>
  <c r="U30" i="33"/>
  <c r="AA38" i="37"/>
  <c r="J9" i="35"/>
  <c r="F26" i="37"/>
  <c r="G555" i="3"/>
  <c r="G553" i="3"/>
  <c r="G548" i="3"/>
  <c r="G535" i="3"/>
  <c r="G533" i="3"/>
  <c r="G528" i="3"/>
  <c r="G527" i="3"/>
  <c r="G511" i="3"/>
  <c r="G509" i="3"/>
  <c r="G496" i="3"/>
  <c r="G495" i="3"/>
  <c r="G19" i="3"/>
  <c r="C18" i="9"/>
  <c r="G390" i="3"/>
  <c r="G392" i="3"/>
  <c r="BA393" i="3"/>
  <c r="BL393" i="3"/>
  <c r="BL395" i="3"/>
  <c r="G396" i="3"/>
  <c r="G401" i="3"/>
  <c r="G405" i="3"/>
  <c r="C50" i="59"/>
  <c r="C51" i="59" s="1"/>
  <c r="D49" i="59"/>
  <c r="AZ311" i="3"/>
  <c r="AZ138" i="3"/>
  <c r="G408" i="3"/>
  <c r="BA409" i="3"/>
  <c r="BL409" i="3"/>
  <c r="BL411" i="3"/>
  <c r="G412" i="3"/>
  <c r="G417" i="3"/>
  <c r="BL418" i="3"/>
  <c r="G419" i="3"/>
  <c r="G422" i="3"/>
  <c r="G424" i="3"/>
  <c r="BA425" i="3"/>
  <c r="BL425" i="3"/>
  <c r="BL427" i="3"/>
  <c r="G428" i="3"/>
  <c r="BA429" i="3"/>
  <c r="BL429" i="3"/>
  <c r="BA431" i="3"/>
  <c r="AZ431" i="3" s="1"/>
  <c r="BL431" i="3"/>
  <c r="BA432" i="3"/>
  <c r="AZ432" i="3" s="1"/>
  <c r="BA433" i="3"/>
  <c r="AZ433" i="3" s="1"/>
  <c r="BA434" i="3"/>
  <c r="AZ434" i="3" s="1"/>
  <c r="BA436" i="3"/>
  <c r="BL436" i="3"/>
  <c r="BA437" i="3"/>
  <c r="AZ437" i="3" s="1"/>
  <c r="BA438" i="3"/>
  <c r="AZ438" i="3" s="1"/>
  <c r="BA439" i="3"/>
  <c r="AZ439" i="3" s="1"/>
  <c r="BA441" i="3"/>
  <c r="AZ441" i="3" s="1"/>
  <c r="BL441" i="3"/>
  <c r="BL443" i="3"/>
  <c r="G444" i="3"/>
  <c r="BA445" i="3"/>
  <c r="BL445" i="3"/>
  <c r="BL447" i="3"/>
  <c r="G448" i="3"/>
  <c r="G450" i="3"/>
  <c r="G454" i="3"/>
  <c r="G456" i="3"/>
  <c r="G461" i="3"/>
  <c r="G465" i="3"/>
  <c r="BL466" i="3"/>
  <c r="G467" i="3"/>
  <c r="BA468" i="3"/>
  <c r="BL468" i="3"/>
  <c r="BL470" i="3"/>
  <c r="G471" i="3"/>
  <c r="BA472" i="3"/>
  <c r="BL472" i="3"/>
  <c r="BA473" i="3"/>
  <c r="AZ473" i="3" s="1"/>
  <c r="BA474" i="3"/>
  <c r="AZ474" i="3" s="1"/>
  <c r="BA475" i="3"/>
  <c r="AZ475" i="3" s="1"/>
  <c r="BA477" i="3"/>
  <c r="AZ477" i="3" s="1"/>
  <c r="BL477" i="3"/>
  <c r="BA478" i="3"/>
  <c r="AZ478" i="3" s="1"/>
  <c r="BA479" i="3"/>
  <c r="AZ479" i="3" s="1"/>
  <c r="BA297" i="3"/>
  <c r="AZ297" i="3" s="1"/>
  <c r="BA301" i="3"/>
  <c r="AZ301" i="3" s="1"/>
  <c r="G309" i="3"/>
  <c r="BA311" i="3"/>
  <c r="BA313" i="3"/>
  <c r="AZ313" i="3" s="1"/>
  <c r="BA315" i="3"/>
  <c r="AZ315" i="3" s="1"/>
  <c r="BA317" i="3"/>
  <c r="AZ317" i="3" s="1"/>
  <c r="BA319" i="3"/>
  <c r="BL319" i="3"/>
  <c r="G320" i="3"/>
  <c r="BA321" i="3"/>
  <c r="AZ321" i="3" s="1"/>
  <c r="BA325" i="3"/>
  <c r="AZ325" i="3" s="1"/>
  <c r="BA333" i="3"/>
  <c r="AZ333" i="3" s="1"/>
  <c r="G341" i="3"/>
  <c r="BL342" i="3"/>
  <c r="AZ342" i="3" s="1"/>
  <c r="G345" i="3"/>
  <c r="BL346" i="3"/>
  <c r="AZ346" i="3" s="1"/>
  <c r="G347" i="3"/>
  <c r="BL348" i="3"/>
  <c r="AZ348" i="3" s="1"/>
  <c r="G349" i="3"/>
  <c r="BA350" i="3"/>
  <c r="BL350" i="3"/>
  <c r="G363" i="3"/>
  <c r="BL364" i="3"/>
  <c r="AZ364" i="3" s="1"/>
  <c r="G365" i="3"/>
  <c r="BL366" i="3"/>
  <c r="AZ366" i="3" s="1"/>
  <c r="G367" i="3"/>
  <c r="BA369" i="3"/>
  <c r="AZ369" i="3" s="1"/>
  <c r="G375" i="3"/>
  <c r="BL376" i="3"/>
  <c r="AZ376" i="3" s="1"/>
  <c r="G379" i="3"/>
  <c r="G387" i="3"/>
  <c r="BL388" i="3"/>
  <c r="G205" i="3"/>
  <c r="BA206" i="3"/>
  <c r="BL206" i="3"/>
  <c r="BL208" i="3"/>
  <c r="G209" i="3"/>
  <c r="BA210" i="3"/>
  <c r="BL210" i="3"/>
  <c r="BA211" i="3"/>
  <c r="AZ211" i="3" s="1"/>
  <c r="BA212" i="3"/>
  <c r="AZ212" i="3" s="1"/>
  <c r="BA213" i="3"/>
  <c r="AZ213" i="3" s="1"/>
  <c r="BA215" i="3"/>
  <c r="BL215" i="3"/>
  <c r="BA216" i="3"/>
  <c r="AZ216" i="3" s="1"/>
  <c r="BA217" i="3"/>
  <c r="AZ217" i="3" s="1"/>
  <c r="BL219" i="3"/>
  <c r="G220" i="3"/>
  <c r="BL221" i="3"/>
  <c r="G222" i="3"/>
  <c r="G224" i="3"/>
  <c r="BL225" i="3"/>
  <c r="G226" i="3"/>
  <c r="G231" i="3"/>
  <c r="G235" i="3"/>
  <c r="BL236" i="3"/>
  <c r="G237" i="3"/>
  <c r="BA238" i="3"/>
  <c r="BL238" i="3"/>
  <c r="BL240" i="3"/>
  <c r="G241" i="3"/>
  <c r="BA242" i="3"/>
  <c r="BL242" i="3"/>
  <c r="BA243" i="3"/>
  <c r="AZ243" i="3" s="1"/>
  <c r="BA244" i="3"/>
  <c r="AZ244" i="3" s="1"/>
  <c r="BA245" i="3"/>
  <c r="AZ245" i="3" s="1"/>
  <c r="BA247" i="3"/>
  <c r="BL247" i="3"/>
  <c r="BA248" i="3"/>
  <c r="AZ248" i="3" s="1"/>
  <c r="BA249" i="3"/>
  <c r="AZ249" i="3" s="1"/>
  <c r="BL251" i="3"/>
  <c r="G252" i="3"/>
  <c r="BL253" i="3"/>
  <c r="G254" i="3"/>
  <c r="G256" i="3"/>
  <c r="BL257" i="3"/>
  <c r="G258" i="3"/>
  <c r="G263" i="3"/>
  <c r="G267" i="3"/>
  <c r="BL268" i="3"/>
  <c r="G269" i="3"/>
  <c r="G271" i="3"/>
  <c r="BA272" i="3"/>
  <c r="BL272" i="3"/>
  <c r="BL275" i="3"/>
  <c r="G276" i="3"/>
  <c r="BL279" i="3"/>
  <c r="G280" i="3"/>
  <c r="G281" i="3"/>
  <c r="G282" i="3"/>
  <c r="BL283" i="3"/>
  <c r="G284" i="3"/>
  <c r="BL287" i="3"/>
  <c r="G288" i="3"/>
  <c r="BA289" i="3"/>
  <c r="BL289" i="3"/>
  <c r="G290" i="3"/>
  <c r="BA291" i="3"/>
  <c r="AZ291" i="3" s="1"/>
  <c r="BA292" i="3"/>
  <c r="AZ292" i="3" s="1"/>
  <c r="BL294" i="3"/>
  <c r="G295" i="3"/>
  <c r="BL113" i="3"/>
  <c r="G114" i="3"/>
  <c r="BA115" i="3"/>
  <c r="AZ115" i="3" s="1"/>
  <c r="BL118" i="3"/>
  <c r="AZ118" i="3" s="1"/>
  <c r="G119" i="3"/>
  <c r="BL122" i="3"/>
  <c r="AZ122" i="3" s="1"/>
  <c r="G123" i="3"/>
  <c r="BL124" i="3"/>
  <c r="G125" i="3"/>
  <c r="BL126" i="3"/>
  <c r="AZ126" i="3" s="1"/>
  <c r="G127" i="3"/>
  <c r="BA128" i="3"/>
  <c r="BL128" i="3"/>
  <c r="G129" i="3"/>
  <c r="G131" i="3"/>
  <c r="BL132" i="3"/>
  <c r="G133" i="3"/>
  <c r="BA136" i="3"/>
  <c r="BL136" i="3"/>
  <c r="BL138" i="3"/>
  <c r="G139" i="3"/>
  <c r="BA140" i="3"/>
  <c r="AZ140" i="3" s="1"/>
  <c r="BL142" i="3"/>
  <c r="AZ142" i="3" s="1"/>
  <c r="G143" i="3"/>
  <c r="BL145" i="3"/>
  <c r="G146" i="3"/>
  <c r="BA147" i="3"/>
  <c r="AZ147" i="3" s="1"/>
  <c r="BA149" i="3"/>
  <c r="BL149" i="3"/>
  <c r="BA151" i="3"/>
  <c r="AZ151" i="3" s="1"/>
  <c r="BL153" i="3"/>
  <c r="AZ153" i="3" s="1"/>
  <c r="G154" i="3"/>
  <c r="BL156" i="3"/>
  <c r="G157" i="3"/>
  <c r="BA158" i="3"/>
  <c r="AZ158" i="3" s="1"/>
  <c r="BA160" i="3"/>
  <c r="BL160" i="3"/>
  <c r="BA162" i="3"/>
  <c r="AZ162" i="3" s="1"/>
  <c r="G165" i="3"/>
  <c r="BL165" i="3"/>
  <c r="AZ165" i="3" s="1"/>
  <c r="G166" i="3"/>
  <c r="BA167" i="3"/>
  <c r="AZ167" i="3" s="1"/>
  <c r="BL169" i="3"/>
  <c r="AZ169" i="3" s="1"/>
  <c r="G170" i="3"/>
  <c r="BL172" i="3"/>
  <c r="G173" i="3"/>
  <c r="BA174" i="3"/>
  <c r="AZ174" i="3" s="1"/>
  <c r="BA176" i="3"/>
  <c r="BL176" i="3"/>
  <c r="BL178" i="3"/>
  <c r="AZ178" i="3" s="1"/>
  <c r="G179" i="3"/>
  <c r="BA180" i="3"/>
  <c r="AZ180" i="3" s="1"/>
  <c r="BA181" i="3"/>
  <c r="AZ181" i="3" s="1"/>
  <c r="G184" i="3"/>
  <c r="G187" i="3"/>
  <c r="BA190" i="3"/>
  <c r="BL190" i="3"/>
  <c r="BL192" i="3"/>
  <c r="AZ192" i="3" s="1"/>
  <c r="G193" i="3"/>
  <c r="BA195" i="3"/>
  <c r="BL195" i="3"/>
  <c r="BA197" i="3"/>
  <c r="AZ197" i="3" s="1"/>
  <c r="G200" i="3"/>
  <c r="G202" i="3"/>
  <c r="BL203" i="3"/>
  <c r="G204" i="3"/>
  <c r="G23" i="3"/>
  <c r="G25" i="3"/>
  <c r="BA26" i="3"/>
  <c r="AZ26" i="3" s="1"/>
  <c r="BL26" i="3"/>
  <c r="BL28" i="3"/>
  <c r="G29" i="3"/>
  <c r="G34" i="3"/>
  <c r="BL35" i="3"/>
  <c r="G36" i="3"/>
  <c r="G39" i="3"/>
  <c r="G41" i="3"/>
  <c r="BA42" i="3"/>
  <c r="BL42" i="3"/>
  <c r="BA44" i="3"/>
  <c r="AZ44" i="3" s="1"/>
  <c r="BA46" i="3"/>
  <c r="AZ46" i="3" s="1"/>
  <c r="BA47" i="3"/>
  <c r="AZ47" i="3" s="1"/>
  <c r="BA48" i="3"/>
  <c r="AZ48" i="3" s="1"/>
  <c r="BA50" i="3"/>
  <c r="AZ50" i="3" s="1"/>
  <c r="BA51" i="3"/>
  <c r="AZ51" i="3" s="1"/>
  <c r="BA53" i="3"/>
  <c r="AZ53" i="3" s="1"/>
  <c r="BA55" i="3"/>
  <c r="AZ55" i="3" s="1"/>
  <c r="BL55" i="3"/>
  <c r="BA57" i="3"/>
  <c r="AZ57" i="3" s="1"/>
  <c r="BA59" i="3"/>
  <c r="BL59" i="3"/>
  <c r="BA60" i="3"/>
  <c r="AZ60" i="3" s="1"/>
  <c r="D37" i="59"/>
  <c r="C38" i="59"/>
  <c r="E22" i="59"/>
  <c r="E21" i="59" s="1"/>
  <c r="U23" i="59"/>
  <c r="BL62" i="3"/>
  <c r="G63" i="3"/>
  <c r="BA64" i="3"/>
  <c r="AZ64" i="3" s="1"/>
  <c r="BL64" i="3"/>
  <c r="G65" i="3"/>
  <c r="BL66" i="3"/>
  <c r="G67" i="3"/>
  <c r="G70" i="3"/>
  <c r="G72" i="3"/>
  <c r="BA73" i="3"/>
  <c r="BL73" i="3"/>
  <c r="BA75" i="3"/>
  <c r="AZ75" i="3" s="1"/>
  <c r="BA77" i="3"/>
  <c r="AZ77" i="3" s="1"/>
  <c r="BA78" i="3"/>
  <c r="AZ78" i="3" s="1"/>
  <c r="BA79" i="3"/>
  <c r="AZ79" i="3" s="1"/>
  <c r="BA81" i="3"/>
  <c r="AZ81" i="3" s="1"/>
  <c r="BA82" i="3"/>
  <c r="AZ82" i="3" s="1"/>
  <c r="BA84" i="3"/>
  <c r="BL84" i="3"/>
  <c r="BA85" i="3"/>
  <c r="AZ85" i="3" s="1"/>
  <c r="BA86" i="3"/>
  <c r="AZ86" i="3" s="1"/>
  <c r="BL88" i="3"/>
  <c r="G89" i="3"/>
  <c r="G91" i="3"/>
  <c r="G94" i="3"/>
  <c r="BA96" i="3"/>
  <c r="BL96" i="3"/>
  <c r="BL97" i="3"/>
  <c r="G98" i="3"/>
  <c r="BL99" i="3"/>
  <c r="G100" i="3"/>
  <c r="BL102" i="3"/>
  <c r="G103" i="3"/>
  <c r="BA105" i="3"/>
  <c r="BL105" i="3"/>
  <c r="BA107" i="3"/>
  <c r="BL107" i="3"/>
  <c r="BL108" i="3"/>
  <c r="G109" i="3"/>
  <c r="G111" i="3"/>
  <c r="BL112" i="3"/>
  <c r="B54" i="46"/>
  <c r="C42" i="59"/>
  <c r="D42" i="59" s="1"/>
  <c r="AB3" i="59"/>
  <c r="L76" i="9"/>
  <c r="D55" i="46"/>
  <c r="D74" i="59"/>
  <c r="F14" i="59"/>
  <c r="F13" i="59" s="1"/>
  <c r="F12" i="59" s="1"/>
  <c r="F11" i="59" s="1"/>
  <c r="V15" i="59"/>
  <c r="E58" i="39"/>
  <c r="E53" i="40"/>
  <c r="H51" i="46"/>
  <c r="H49" i="46"/>
  <c r="H50" i="46"/>
  <c r="H55" i="46"/>
  <c r="H52" i="46"/>
  <c r="H53" i="46"/>
  <c r="H48" i="46"/>
  <c r="H54" i="46"/>
  <c r="H47" i="46"/>
  <c r="W18" i="36"/>
  <c r="J106" i="46"/>
  <c r="S15" i="59"/>
  <c r="F105" i="46"/>
  <c r="F104" i="46"/>
  <c r="AJ13" i="46"/>
  <c r="F107" i="46"/>
  <c r="F30" i="6"/>
  <c r="AA27" i="34"/>
  <c r="AA32" i="37"/>
  <c r="AC13" i="40"/>
  <c r="W34" i="40"/>
  <c r="W27" i="39"/>
  <c r="U41" i="40"/>
  <c r="S47" i="39"/>
  <c r="AB14" i="40"/>
  <c r="M18" i="73"/>
  <c r="F29" i="72"/>
  <c r="F32" i="73"/>
  <c r="F59" i="73" s="1"/>
  <c r="F28" i="73"/>
  <c r="AZ496" i="3"/>
  <c r="AZ506" i="3"/>
  <c r="AZ518" i="3"/>
  <c r="H17" i="34"/>
  <c r="AB17" i="34" s="1"/>
  <c r="AA36" i="35"/>
  <c r="AB15" i="37"/>
  <c r="AZ374" i="3"/>
  <c r="AZ373" i="3"/>
  <c r="AZ365" i="3"/>
  <c r="AZ347" i="3"/>
  <c r="AZ379" i="3"/>
  <c r="AZ361" i="3"/>
  <c r="AZ345" i="3"/>
  <c r="AZ329" i="3"/>
  <c r="AZ305" i="3"/>
  <c r="AZ303" i="3"/>
  <c r="U31" i="37"/>
  <c r="AA23" i="37"/>
  <c r="AC23" i="37"/>
  <c r="H42" i="33"/>
  <c r="U42" i="33" s="1"/>
  <c r="AZ492" i="3"/>
  <c r="AZ544" i="3"/>
  <c r="AZ493" i="3"/>
  <c r="AB31" i="21"/>
  <c r="G571" i="3"/>
  <c r="F12" i="21"/>
  <c r="H12" i="21"/>
  <c r="B47" i="46"/>
  <c r="B47" i="68"/>
  <c r="B70" i="46"/>
  <c r="B70" i="68"/>
  <c r="B59" i="68"/>
  <c r="B48" i="68"/>
  <c r="B73" i="46"/>
  <c r="B73" i="68"/>
  <c r="B64" i="68"/>
  <c r="B53" i="68"/>
  <c r="B80" i="46"/>
  <c r="B80" i="68"/>
  <c r="J9" i="33"/>
  <c r="AC9" i="33" s="1"/>
  <c r="F9" i="33"/>
  <c r="F9" i="34"/>
  <c r="J24" i="36"/>
  <c r="H24" i="36"/>
  <c r="J39" i="37"/>
  <c r="F39" i="37"/>
  <c r="AZ482" i="3"/>
  <c r="AZ562" i="3"/>
  <c r="H5" i="3"/>
  <c r="BI5" i="3"/>
  <c r="BA570" i="3"/>
  <c r="AZ570" i="3" s="1"/>
  <c r="BT5" i="3"/>
  <c r="G28" i="6" s="1"/>
  <c r="BG5" i="3"/>
  <c r="B87" i="68"/>
  <c r="B87" i="46"/>
  <c r="J12" i="33"/>
  <c r="F12" i="33"/>
  <c r="S12" i="33" s="1"/>
  <c r="W27" i="35"/>
  <c r="AC27" i="35"/>
  <c r="AB22" i="36"/>
  <c r="U22" i="36"/>
  <c r="J23" i="36"/>
  <c r="F23" i="36"/>
  <c r="AB30" i="37"/>
  <c r="U30" i="37"/>
  <c r="BF5" i="3"/>
  <c r="B69" i="46"/>
  <c r="B69" i="68"/>
  <c r="B58" i="46"/>
  <c r="B58" i="68"/>
  <c r="B76" i="46"/>
  <c r="B76" i="68"/>
  <c r="B55" i="68"/>
  <c r="B66" i="68"/>
  <c r="B72" i="46"/>
  <c r="B72" i="68"/>
  <c r="B62" i="68"/>
  <c r="B51" i="68"/>
  <c r="B81" i="46"/>
  <c r="B81" i="68"/>
  <c r="G559" i="3"/>
  <c r="G551" i="3"/>
  <c r="G547" i="3"/>
  <c r="G532" i="3"/>
  <c r="G505" i="3"/>
  <c r="G497" i="3"/>
  <c r="F34" i="15"/>
  <c r="F61" i="15" s="1"/>
  <c r="F34" i="73"/>
  <c r="F61" i="73" s="1"/>
  <c r="M20" i="73"/>
  <c r="G7" i="1"/>
  <c r="I20" i="68"/>
  <c r="C20" i="68" s="1"/>
  <c r="K145" i="21"/>
  <c r="AZ334" i="3"/>
  <c r="BA275" i="3"/>
  <c r="AZ275" i="3" s="1"/>
  <c r="BA276" i="3"/>
  <c r="AZ276" i="3" s="1"/>
  <c r="BL278" i="3"/>
  <c r="AZ278" i="3" s="1"/>
  <c r="BA279" i="3"/>
  <c r="AZ279" i="3" s="1"/>
  <c r="BL281" i="3"/>
  <c r="AZ281" i="3" s="1"/>
  <c r="BL285" i="3"/>
  <c r="BL296" i="3"/>
  <c r="BA113" i="3"/>
  <c r="AZ113" i="3" s="1"/>
  <c r="BL114" i="3"/>
  <c r="AZ114" i="3" s="1"/>
  <c r="BA116" i="3"/>
  <c r="AZ116" i="3" s="1"/>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AZ416" i="3" s="1"/>
  <c r="BA417" i="3"/>
  <c r="AZ417" i="3" s="1"/>
  <c r="BA418" i="3"/>
  <c r="AZ418" i="3" s="1"/>
  <c r="G421" i="3"/>
  <c r="BL421" i="3"/>
  <c r="AZ421" i="3" s="1"/>
  <c r="BL423" i="3"/>
  <c r="AZ423" i="3" s="1"/>
  <c r="BA424" i="3"/>
  <c r="AZ424" i="3" s="1"/>
  <c r="BL426" i="3"/>
  <c r="AZ426" i="3" s="1"/>
  <c r="BA427" i="3"/>
  <c r="AZ427" i="3" s="1"/>
  <c r="BA428" i="3"/>
  <c r="AZ428" i="3" s="1"/>
  <c r="BL430" i="3"/>
  <c r="AZ430" i="3" s="1"/>
  <c r="G433" i="3"/>
  <c r="G434" i="3"/>
  <c r="G435" i="3"/>
  <c r="BL435" i="3"/>
  <c r="AZ435" i="3" s="1"/>
  <c r="G438" i="3"/>
  <c r="G439" i="3"/>
  <c r="G440" i="3"/>
  <c r="BL440" i="3"/>
  <c r="AZ440" i="3" s="1"/>
  <c r="BL442" i="3"/>
  <c r="AZ442" i="3" s="1"/>
  <c r="BA443" i="3"/>
  <c r="AZ443" i="3" s="1"/>
  <c r="BA444" i="3"/>
  <c r="AZ444" i="3" s="1"/>
  <c r="BL446" i="3"/>
  <c r="AZ446" i="3" s="1"/>
  <c r="BA447" i="3"/>
  <c r="AZ447" i="3" s="1"/>
  <c r="BL449" i="3"/>
  <c r="AZ449" i="3" s="1"/>
  <c r="G452" i="3"/>
  <c r="G453" i="3"/>
  <c r="BL453" i="3"/>
  <c r="AZ453" i="3" s="1"/>
  <c r="BL455" i="3"/>
  <c r="AZ455" i="3" s="1"/>
  <c r="G458" i="3"/>
  <c r="G459" i="3"/>
  <c r="G460" i="3"/>
  <c r="BL460" i="3"/>
  <c r="AZ460" i="3" s="1"/>
  <c r="G463" i="3"/>
  <c r="G464" i="3"/>
  <c r="BL464" i="3"/>
  <c r="BA465" i="3"/>
  <c r="AZ465" i="3" s="1"/>
  <c r="BA466" i="3"/>
  <c r="AZ466" i="3" s="1"/>
  <c r="BA467" i="3"/>
  <c r="AZ467" i="3" s="1"/>
  <c r="BL469" i="3"/>
  <c r="AZ469" i="3" s="1"/>
  <c r="BA470" i="3"/>
  <c r="AZ470" i="3" s="1"/>
  <c r="BA471" i="3"/>
  <c r="AZ471" i="3" s="1"/>
  <c r="G474" i="3"/>
  <c r="G475" i="3"/>
  <c r="G476" i="3"/>
  <c r="BL476" i="3"/>
  <c r="AZ476" i="3" s="1"/>
  <c r="G479" i="3"/>
  <c r="G480" i="3"/>
  <c r="BL480" i="3"/>
  <c r="AZ480" i="3" s="1"/>
  <c r="G301" i="3"/>
  <c r="BL302" i="3"/>
  <c r="AZ302" i="3" s="1"/>
  <c r="BL308" i="3"/>
  <c r="AZ308" i="3" s="1"/>
  <c r="AZ318" i="3"/>
  <c r="BL335" i="3"/>
  <c r="AZ335" i="3" s="1"/>
  <c r="AZ350" i="3"/>
  <c r="BA367" i="3"/>
  <c r="AZ367" i="3" s="1"/>
  <c r="BL368" i="3"/>
  <c r="G370" i="3"/>
  <c r="G381" i="3"/>
  <c r="BA383" i="3"/>
  <c r="AZ383" i="3" s="1"/>
  <c r="BL384" i="3"/>
  <c r="G386" i="3"/>
  <c r="BL386" i="3"/>
  <c r="BA387" i="3"/>
  <c r="AZ387" i="3" s="1"/>
  <c r="BA388" i="3"/>
  <c r="AZ388" i="3" s="1"/>
  <c r="BA205" i="3"/>
  <c r="AZ205" i="3" s="1"/>
  <c r="BL207" i="3"/>
  <c r="AZ207" i="3" s="1"/>
  <c r="BA208" i="3"/>
  <c r="AZ208" i="3" s="1"/>
  <c r="BA209" i="3"/>
  <c r="AZ209" i="3" s="1"/>
  <c r="G212" i="3"/>
  <c r="G213" i="3"/>
  <c r="G214" i="3"/>
  <c r="BL214" i="3"/>
  <c r="AZ214" i="3" s="1"/>
  <c r="G217" i="3"/>
  <c r="G218" i="3"/>
  <c r="BL218" i="3"/>
  <c r="AZ218" i="3" s="1"/>
  <c r="BA219" i="3"/>
  <c r="AZ219" i="3" s="1"/>
  <c r="BA220" i="3"/>
  <c r="AZ220" i="3" s="1"/>
  <c r="BA221" i="3"/>
  <c r="AZ221" i="3" s="1"/>
  <c r="BL223" i="3"/>
  <c r="AZ223" i="3" s="1"/>
  <c r="BA224" i="3"/>
  <c r="AZ224" i="3" s="1"/>
  <c r="BA225" i="3"/>
  <c r="AZ225" i="3" s="1"/>
  <c r="G228" i="3"/>
  <c r="G229" i="3"/>
  <c r="G230" i="3"/>
  <c r="BL230" i="3"/>
  <c r="AZ230" i="3" s="1"/>
  <c r="G233" i="3"/>
  <c r="G234" i="3"/>
  <c r="BL234" i="3"/>
  <c r="AZ234" i="3" s="1"/>
  <c r="BA235" i="3"/>
  <c r="AZ235" i="3" s="1"/>
  <c r="BA236" i="3"/>
  <c r="AZ236" i="3" s="1"/>
  <c r="BA237" i="3"/>
  <c r="AZ237" i="3" s="1"/>
  <c r="BL239" i="3"/>
  <c r="AZ239" i="3" s="1"/>
  <c r="BA240" i="3"/>
  <c r="AZ240" i="3" s="1"/>
  <c r="BA241" i="3"/>
  <c r="AZ241" i="3" s="1"/>
  <c r="G244" i="3"/>
  <c r="G245" i="3"/>
  <c r="G246" i="3"/>
  <c r="BL246" i="3"/>
  <c r="AZ246" i="3" s="1"/>
  <c r="G249" i="3"/>
  <c r="G250" i="3"/>
  <c r="BL250" i="3"/>
  <c r="AZ250" i="3" s="1"/>
  <c r="BA251" i="3"/>
  <c r="AZ251" i="3" s="1"/>
  <c r="BA252" i="3"/>
  <c r="AZ252" i="3" s="1"/>
  <c r="BA253" i="3"/>
  <c r="AZ253" i="3" s="1"/>
  <c r="BL255" i="3"/>
  <c r="AZ255" i="3" s="1"/>
  <c r="BA256" i="3"/>
  <c r="AZ256" i="3" s="1"/>
  <c r="BA257" i="3"/>
  <c r="AZ257" i="3" s="1"/>
  <c r="G260" i="3"/>
  <c r="G261" i="3"/>
  <c r="G262" i="3"/>
  <c r="BL262" i="3"/>
  <c r="AZ262" i="3" s="1"/>
  <c r="G265" i="3"/>
  <c r="G266" i="3"/>
  <c r="BL266" i="3"/>
  <c r="AZ266" i="3" s="1"/>
  <c r="BA267" i="3"/>
  <c r="AZ267" i="3" s="1"/>
  <c r="BA268" i="3"/>
  <c r="AZ268" i="3" s="1"/>
  <c r="BL270" i="3"/>
  <c r="AZ270" i="3" s="1"/>
  <c r="BA271" i="3"/>
  <c r="AZ271" i="3" s="1"/>
  <c r="BL273" i="3"/>
  <c r="AZ273" i="3" s="1"/>
  <c r="BL277" i="3"/>
  <c r="AZ277" i="3" s="1"/>
  <c r="BL280" i="3"/>
  <c r="AZ280" i="3" s="1"/>
  <c r="BA283" i="3"/>
  <c r="AZ283" i="3" s="1"/>
  <c r="BA284" i="3"/>
  <c r="AZ284" i="3" s="1"/>
  <c r="BL286" i="3"/>
  <c r="AZ286" i="3" s="1"/>
  <c r="BA287" i="3"/>
  <c r="AZ287" i="3" s="1"/>
  <c r="G292" i="3"/>
  <c r="G293" i="3"/>
  <c r="BL293" i="3"/>
  <c r="AZ293" i="3" s="1"/>
  <c r="BA294" i="3"/>
  <c r="AZ294" i="3" s="1"/>
  <c r="BA295" i="3"/>
  <c r="AZ295" i="3" s="1"/>
  <c r="BL120" i="3"/>
  <c r="AZ120" i="3" s="1"/>
  <c r="BA124" i="3"/>
  <c r="AZ124" i="3" s="1"/>
  <c r="BA129" i="3"/>
  <c r="AZ129" i="3" s="1"/>
  <c r="BL130" i="3"/>
  <c r="AZ130" i="3" s="1"/>
  <c r="BA132" i="3"/>
  <c r="AZ132" i="3" s="1"/>
  <c r="G135" i="3"/>
  <c r="BL137" i="3"/>
  <c r="AZ137" i="3" s="1"/>
  <c r="BA139" i="3"/>
  <c r="AZ139" i="3" s="1"/>
  <c r="G141" i="3"/>
  <c r="BL141" i="3"/>
  <c r="BA143" i="3"/>
  <c r="AZ143" i="3" s="1"/>
  <c r="BL144" i="3"/>
  <c r="BA145" i="3"/>
  <c r="AZ145" i="3" s="1"/>
  <c r="BL146" i="3"/>
  <c r="AZ146" i="3" s="1"/>
  <c r="BA148" i="3"/>
  <c r="AZ148" i="3" s="1"/>
  <c r="G151" i="3"/>
  <c r="BL152" i="3"/>
  <c r="AZ152" i="3" s="1"/>
  <c r="BA154" i="3"/>
  <c r="AZ154" i="3" s="1"/>
  <c r="BL155" i="3"/>
  <c r="BA156" i="3"/>
  <c r="AZ156" i="3" s="1"/>
  <c r="BL157" i="3"/>
  <c r="AZ157" i="3" s="1"/>
  <c r="BA159" i="3"/>
  <c r="AZ159" i="3" s="1"/>
  <c r="G162" i="3"/>
  <c r="BL164" i="3"/>
  <c r="AZ164" i="3" s="1"/>
  <c r="BA166" i="3"/>
  <c r="AZ166" i="3" s="1"/>
  <c r="G168" i="3"/>
  <c r="BL168" i="3"/>
  <c r="BA170" i="3"/>
  <c r="AZ170" i="3" s="1"/>
  <c r="BL171" i="3"/>
  <c r="BA172" i="3"/>
  <c r="AZ172" i="3" s="1"/>
  <c r="BL173" i="3"/>
  <c r="AZ173" i="3" s="1"/>
  <c r="BA175" i="3"/>
  <c r="AZ175" i="3" s="1"/>
  <c r="BL177" i="3"/>
  <c r="AZ177" i="3" s="1"/>
  <c r="BA179" i="3"/>
  <c r="AZ179" i="3" s="1"/>
  <c r="G181" i="3"/>
  <c r="BL183" i="3"/>
  <c r="AZ183" i="3" s="1"/>
  <c r="BA185" i="3"/>
  <c r="AZ185" i="3" s="1"/>
  <c r="BL186" i="3"/>
  <c r="AZ186" i="3" s="1"/>
  <c r="G189" i="3"/>
  <c r="BL191" i="3"/>
  <c r="AZ191" i="3" s="1"/>
  <c r="BA193" i="3"/>
  <c r="AZ193" i="3" s="1"/>
  <c r="BL194" i="3"/>
  <c r="G197" i="3"/>
  <c r="BL199" i="3"/>
  <c r="AZ199" i="3" s="1"/>
  <c r="BA201" i="3"/>
  <c r="AZ201" i="3" s="1"/>
  <c r="BA202" i="3"/>
  <c r="AZ202" i="3" s="1"/>
  <c r="BA203" i="3"/>
  <c r="AZ203" i="3" s="1"/>
  <c r="G22" i="3"/>
  <c r="BL22" i="3"/>
  <c r="BL24" i="3"/>
  <c r="AZ24" i="3" s="1"/>
  <c r="BA25" i="3"/>
  <c r="BL27" i="3"/>
  <c r="AZ27" i="3" s="1"/>
  <c r="BA28" i="3"/>
  <c r="AZ28" i="3" s="1"/>
  <c r="G31" i="3"/>
  <c r="G32" i="3"/>
  <c r="G33" i="3"/>
  <c r="BL33" i="3"/>
  <c r="AZ33" i="3" s="1"/>
  <c r="BA34" i="3"/>
  <c r="AZ34" i="3" s="1"/>
  <c r="BA35" i="3"/>
  <c r="AZ35" i="3" s="1"/>
  <c r="G38" i="3"/>
  <c r="BL38" i="3"/>
  <c r="AZ38" i="3" s="1"/>
  <c r="BL40" i="3"/>
  <c r="AZ40" i="3" s="1"/>
  <c r="BA41" i="3"/>
  <c r="AZ41" i="3" s="1"/>
  <c r="BL43" i="3"/>
  <c r="AZ43" i="3" s="1"/>
  <c r="G45" i="3"/>
  <c r="BL45" i="3"/>
  <c r="G47" i="3"/>
  <c r="G48" i="3"/>
  <c r="G49" i="3"/>
  <c r="BL49" i="3"/>
  <c r="G51" i="3"/>
  <c r="G52" i="3"/>
  <c r="BL52" i="3"/>
  <c r="G54" i="3"/>
  <c r="BL54" i="3"/>
  <c r="BL56" i="3"/>
  <c r="AZ56" i="3" s="1"/>
  <c r="G58" i="3"/>
  <c r="BL58" i="3"/>
  <c r="G61" i="3"/>
  <c r="BL61" i="3"/>
  <c r="AZ61" i="3" s="1"/>
  <c r="BA62" i="3"/>
  <c r="AZ62" i="3" s="1"/>
  <c r="BA63" i="3"/>
  <c r="AZ63" i="3" s="1"/>
  <c r="BA65" i="3"/>
  <c r="AZ65" i="3" s="1"/>
  <c r="BA66" i="3"/>
  <c r="AZ66" i="3" s="1"/>
  <c r="G69" i="3"/>
  <c r="BL69" i="3"/>
  <c r="AZ69" i="3" s="1"/>
  <c r="BL71" i="3"/>
  <c r="AZ71" i="3" s="1"/>
  <c r="BA72" i="3"/>
  <c r="AZ72" i="3" s="1"/>
  <c r="BL74" i="3"/>
  <c r="AZ74" i="3" s="1"/>
  <c r="G76" i="3"/>
  <c r="BL76" i="3"/>
  <c r="G78" i="3"/>
  <c r="G79" i="3"/>
  <c r="G80" i="3"/>
  <c r="BL80" i="3"/>
  <c r="G82" i="3"/>
  <c r="G83" i="3"/>
  <c r="BL83" i="3"/>
  <c r="G86" i="3"/>
  <c r="G87" i="3"/>
  <c r="BL87" i="3"/>
  <c r="AZ87" i="3" s="1"/>
  <c r="BA88" i="3"/>
  <c r="AZ88" i="3" s="1"/>
  <c r="BL90" i="3"/>
  <c r="AZ90" i="3" s="1"/>
  <c r="G93" i="3"/>
  <c r="BL93" i="3"/>
  <c r="BA95" i="3"/>
  <c r="AZ95" i="3" s="1"/>
  <c r="BA97" i="3"/>
  <c r="AZ97" i="3" s="1"/>
  <c r="BA98" i="3"/>
  <c r="AZ98" i="3" s="1"/>
  <c r="BA99" i="3"/>
  <c r="AZ99" i="3" s="1"/>
  <c r="BA101" i="3"/>
  <c r="AZ101" i="3" s="1"/>
  <c r="BA102" i="3"/>
  <c r="AZ102" i="3" s="1"/>
  <c r="BA104" i="3"/>
  <c r="AZ104" i="3" s="1"/>
  <c r="BL106" i="3"/>
  <c r="AZ106" i="3" s="1"/>
  <c r="BA108" i="3"/>
  <c r="AZ108" i="3" s="1"/>
  <c r="BL110" i="3"/>
  <c r="AZ110" i="3" s="1"/>
  <c r="BA111" i="3"/>
  <c r="AZ111" i="3" s="1"/>
  <c r="BA112" i="3"/>
  <c r="AZ112" i="3" s="1"/>
  <c r="K13" i="1"/>
  <c r="M13" i="1" s="1"/>
  <c r="O13" i="1" s="1"/>
  <c r="P13" i="1" s="1"/>
  <c r="C42" i="1"/>
  <c r="G19" i="68"/>
  <c r="J51" i="73"/>
  <c r="D51" i="46"/>
  <c r="E47" i="46" s="1"/>
  <c r="B45" i="46" s="1"/>
  <c r="C24" i="46" s="1"/>
  <c r="I3" i="75" s="1"/>
  <c r="C31" i="59"/>
  <c r="D30" i="59"/>
  <c r="C58" i="59"/>
  <c r="D57" i="59"/>
  <c r="AZ93" i="3"/>
  <c r="B84" i="46"/>
  <c r="B84" i="68"/>
  <c r="G1" i="73"/>
  <c r="K1" i="72"/>
  <c r="AA5" i="59"/>
  <c r="J51" i="15"/>
  <c r="I10" i="57"/>
  <c r="B74" i="46"/>
  <c r="C31" i="39"/>
  <c r="S31" i="39"/>
  <c r="B85" i="46"/>
  <c r="D50" i="59"/>
  <c r="C81" i="59"/>
  <c r="D81" i="59" s="1"/>
  <c r="C78" i="59"/>
  <c r="E74" i="59"/>
  <c r="E73" i="59" s="1"/>
  <c r="D67" i="59"/>
  <c r="C66" i="59"/>
  <c r="X22" i="59"/>
  <c r="AB24" i="59"/>
  <c r="AA29" i="59"/>
  <c r="Y33" i="59"/>
  <c r="Z33" i="59" s="1"/>
  <c r="C46" i="59"/>
  <c r="B22" i="59"/>
  <c r="B21" i="59" s="1"/>
  <c r="AC12" i="46"/>
  <c r="AC13" i="46" s="1"/>
  <c r="Z12" i="46"/>
  <c r="Z13" i="46" s="1"/>
  <c r="D19" i="59"/>
  <c r="K76" i="9"/>
  <c r="E17" i="68"/>
  <c r="C16" i="68" s="1"/>
  <c r="O7" i="1"/>
  <c r="P7" i="1" s="1"/>
  <c r="G109" i="46"/>
  <c r="G105" i="46"/>
  <c r="G102" i="46"/>
  <c r="B117" i="46"/>
  <c r="C117" i="46" s="1"/>
  <c r="I117" i="46"/>
  <c r="J117" i="46" s="1"/>
  <c r="K117" i="46" s="1"/>
  <c r="L117" i="46" s="1"/>
  <c r="M117" i="46" s="1"/>
  <c r="D118" i="46"/>
  <c r="E118" i="46" s="1"/>
  <c r="F118" i="46" s="1"/>
  <c r="B116" i="46"/>
  <c r="C116" i="46" s="1"/>
  <c r="B115" i="46"/>
  <c r="C115" i="46" s="1"/>
  <c r="L103" i="46"/>
  <c r="L106" i="46"/>
  <c r="E107" i="46"/>
  <c r="E103" i="46"/>
  <c r="K105" i="46"/>
  <c r="K106" i="46"/>
  <c r="C2" i="65"/>
  <c r="G28" i="72"/>
  <c r="G26" i="72"/>
  <c r="G27" i="72"/>
  <c r="AA15" i="34"/>
  <c r="AA44" i="34"/>
  <c r="F124" i="34"/>
  <c r="G124" i="34" s="1"/>
  <c r="H124" i="34" s="1"/>
  <c r="I124" i="34" s="1"/>
  <c r="J124" i="34" s="1"/>
  <c r="K124" i="34" s="1"/>
  <c r="L124" i="34" s="1"/>
  <c r="M124" i="34" s="1"/>
  <c r="H43" i="34"/>
  <c r="J43" i="34"/>
  <c r="F43" i="34"/>
  <c r="AB39" i="34"/>
  <c r="G112" i="34"/>
  <c r="F37" i="34" s="1"/>
  <c r="AC23" i="34"/>
  <c r="AB23" i="34"/>
  <c r="S21" i="34"/>
  <c r="S17" i="34"/>
  <c r="U15" i="34"/>
  <c r="W25" i="34"/>
  <c r="AB25" i="34"/>
  <c r="AC40" i="34"/>
  <c r="AA40" i="34"/>
  <c r="AB40" i="34"/>
  <c r="AC35" i="34"/>
  <c r="W33" i="34"/>
  <c r="AC28" i="34"/>
  <c r="S25" i="34"/>
  <c r="AA23" i="34"/>
  <c r="U19" i="34"/>
  <c r="W17" i="34"/>
  <c r="AC15" i="34"/>
  <c r="AA14" i="34"/>
  <c r="AC11" i="34"/>
  <c r="U11" i="34"/>
  <c r="W9" i="34"/>
  <c r="W10" i="34"/>
  <c r="U10" i="34"/>
  <c r="D18" i="9"/>
  <c r="M44" i="9" s="1"/>
  <c r="M43" i="9"/>
  <c r="F42" i="33"/>
  <c r="AA42" i="33" s="1"/>
  <c r="J42" i="33"/>
  <c r="AC42" i="33" s="1"/>
  <c r="G111" i="33"/>
  <c r="H111" i="33" s="1"/>
  <c r="I111" i="33" s="1"/>
  <c r="J111" i="33" s="1"/>
  <c r="K111" i="33" s="1"/>
  <c r="L111" i="33" s="1"/>
  <c r="M111" i="33" s="1"/>
  <c r="H36" i="33"/>
  <c r="AB36" i="33" s="1"/>
  <c r="AB42" i="33"/>
  <c r="AB41" i="33"/>
  <c r="W41" i="33"/>
  <c r="U37" i="33"/>
  <c r="AB34" i="33"/>
  <c r="G101" i="33"/>
  <c r="J32" i="33"/>
  <c r="AC32" i="33" s="1"/>
  <c r="W29" i="33"/>
  <c r="AC29" i="33"/>
  <c r="W31" i="33"/>
  <c r="U29" i="33"/>
  <c r="W27" i="33"/>
  <c r="W26" i="33"/>
  <c r="AB26" i="33"/>
  <c r="AA25" i="33"/>
  <c r="AC25" i="33"/>
  <c r="F23" i="33"/>
  <c r="S23" i="33" s="1"/>
  <c r="F85" i="33"/>
  <c r="G85" i="33" s="1"/>
  <c r="J23" i="33"/>
  <c r="AC23" i="33" s="1"/>
  <c r="H23" i="33"/>
  <c r="AB23" i="33" s="1"/>
  <c r="W23" i="33"/>
  <c r="U23" i="33"/>
  <c r="AA23" i="33"/>
  <c r="U25" i="33"/>
  <c r="AC28" i="33"/>
  <c r="AA34" i="33"/>
  <c r="W34" i="33"/>
  <c r="AC35" i="33"/>
  <c r="S35" i="33"/>
  <c r="AC37" i="33"/>
  <c r="W39" i="33"/>
  <c r="U39" i="33"/>
  <c r="S39" i="33"/>
  <c r="AA41" i="33"/>
  <c r="W43" i="33"/>
  <c r="S43" i="33"/>
  <c r="B74" i="68"/>
  <c r="B54" i="68"/>
  <c r="B65" i="68"/>
  <c r="F81" i="33"/>
  <c r="G81" i="33" s="1"/>
  <c r="F19" i="33"/>
  <c r="J19" i="33"/>
  <c r="H19" i="33"/>
  <c r="AB19" i="33" s="1"/>
  <c r="H17" i="33"/>
  <c r="U17" i="33" s="1"/>
  <c r="F79" i="33"/>
  <c r="G79" i="33" s="1"/>
  <c r="F17" i="33"/>
  <c r="S17" i="33" s="1"/>
  <c r="J17" i="33"/>
  <c r="AC17" i="33" s="1"/>
  <c r="F77" i="33"/>
  <c r="G77" i="33" s="1"/>
  <c r="J15" i="33"/>
  <c r="W15" i="33" s="1"/>
  <c r="F15" i="33"/>
  <c r="H15" i="33"/>
  <c r="U15" i="33" s="1"/>
  <c r="AB17" i="33"/>
  <c r="AC15" i="33"/>
  <c r="W17" i="33"/>
  <c r="AC11" i="33"/>
  <c r="AA11" i="33"/>
  <c r="AB10" i="33"/>
  <c r="S10" i="33"/>
  <c r="W10" i="33"/>
  <c r="W9" i="33"/>
  <c r="AC8" i="33"/>
  <c r="G17" i="46"/>
  <c r="C16" i="46" s="1"/>
  <c r="D22" i="46"/>
  <c r="C21" i="46" s="1"/>
  <c r="H3" i="75" s="1"/>
  <c r="G6" i="1"/>
  <c r="AP7" i="1"/>
  <c r="AP16" i="1" s="1"/>
  <c r="F22" i="11" s="1"/>
  <c r="G8" i="1"/>
  <c r="N16" i="4"/>
  <c r="K17" i="4" s="1"/>
  <c r="A22" i="51" s="1"/>
  <c r="B16" i="63" s="1"/>
  <c r="I107" i="46"/>
  <c r="D105" i="46"/>
  <c r="N107" i="46"/>
  <c r="D103" i="46"/>
  <c r="L27" i="6"/>
  <c r="J109" i="46"/>
  <c r="C105" i="46"/>
  <c r="N106" i="46"/>
  <c r="D104" i="46"/>
  <c r="H104" i="46"/>
  <c r="H105" i="46"/>
  <c r="C107" i="46"/>
  <c r="D109" i="46"/>
  <c r="H106" i="46"/>
  <c r="D102" i="46"/>
  <c r="H109" i="46"/>
  <c r="H107" i="46"/>
  <c r="F103" i="46"/>
  <c r="F102" i="46"/>
  <c r="F109" i="46"/>
  <c r="C102" i="46"/>
  <c r="J105" i="46"/>
  <c r="E29" i="6"/>
  <c r="K15" i="1" s="1"/>
  <c r="C106" i="46"/>
  <c r="C103" i="46"/>
  <c r="C104" i="46"/>
  <c r="J104" i="46"/>
  <c r="H16" i="1"/>
  <c r="O11" i="1"/>
  <c r="P11" i="1" s="1"/>
  <c r="O8" i="1"/>
  <c r="P8" i="1" s="1"/>
  <c r="O9" i="1"/>
  <c r="P9" i="1" s="1"/>
  <c r="J103" i="46"/>
  <c r="J102" i="46"/>
  <c r="N102" i="46"/>
  <c r="I103" i="46"/>
  <c r="I104" i="46"/>
  <c r="I109" i="46"/>
  <c r="Q16" i="1"/>
  <c r="F27" i="6"/>
  <c r="F31" i="6" s="1"/>
  <c r="N103" i="46"/>
  <c r="N109" i="46"/>
  <c r="N104" i="46"/>
  <c r="G115" i="46"/>
  <c r="H115" i="46" s="1"/>
  <c r="C14" i="59"/>
  <c r="T15" i="59"/>
  <c r="D15" i="59"/>
  <c r="M107" i="46"/>
  <c r="M103" i="46"/>
  <c r="M109" i="46"/>
  <c r="M106" i="46"/>
  <c r="M102" i="46"/>
  <c r="M105" i="46"/>
  <c r="I102" i="46"/>
  <c r="I106" i="46"/>
  <c r="M85" i="9"/>
  <c r="N85" i="9" s="1"/>
  <c r="M88" i="9"/>
  <c r="N88" i="9" s="1"/>
  <c r="H14" i="66"/>
  <c r="B7" i="66" s="1"/>
  <c r="O40" i="9"/>
  <c r="O6" i="1"/>
  <c r="P6" i="1" s="1"/>
  <c r="F10" i="59"/>
  <c r="F9" i="59" s="1"/>
  <c r="F8" i="59" s="1"/>
  <c r="F7" i="59" s="1"/>
  <c r="V11" i="59"/>
  <c r="K33" i="9"/>
  <c r="K34" i="9" s="1"/>
  <c r="I14" i="66"/>
  <c r="B8" i="66" s="1"/>
  <c r="O10" i="1"/>
  <c r="P10" i="1" s="1"/>
  <c r="A17" i="51"/>
  <c r="B13" i="63" s="1"/>
  <c r="AA10" i="35"/>
  <c r="S10" i="35"/>
  <c r="AC24" i="35"/>
  <c r="W24" i="35"/>
  <c r="AC47" i="39"/>
  <c r="W40" i="40"/>
  <c r="U12" i="37"/>
  <c r="W41" i="34"/>
  <c r="AC41" i="34"/>
  <c r="AZ520" i="3"/>
  <c r="AB27" i="33"/>
  <c r="U27" i="33"/>
  <c r="AB27" i="37"/>
  <c r="U27" i="37"/>
  <c r="S45" i="21"/>
  <c r="AA27" i="33"/>
  <c r="W31" i="34"/>
  <c r="AB40" i="37"/>
  <c r="W46" i="33"/>
  <c r="W35" i="35"/>
  <c r="AA12" i="33"/>
  <c r="C29" i="39"/>
  <c r="AC40" i="21"/>
  <c r="W8" i="21"/>
  <c r="U9" i="33"/>
  <c r="H9" i="21"/>
  <c r="F34" i="35"/>
  <c r="H34" i="35"/>
  <c r="F25" i="37"/>
  <c r="J25" i="37"/>
  <c r="G536" i="3"/>
  <c r="G524" i="3"/>
  <c r="G512" i="3"/>
  <c r="G489" i="3"/>
  <c r="G481" i="3"/>
  <c r="A11" i="55"/>
  <c r="B62" i="63" s="1"/>
  <c r="A2" i="55"/>
  <c r="B55" i="63" s="1"/>
  <c r="AZ396" i="3"/>
  <c r="AZ409" i="3"/>
  <c r="AZ412" i="3"/>
  <c r="AZ419" i="3"/>
  <c r="AZ425" i="3"/>
  <c r="AZ429" i="3"/>
  <c r="AZ445" i="3"/>
  <c r="AZ448" i="3"/>
  <c r="AZ468" i="3"/>
  <c r="AZ472" i="3"/>
  <c r="AZ206" i="3"/>
  <c r="AZ210" i="3"/>
  <c r="AZ222" i="3"/>
  <c r="AZ226" i="3"/>
  <c r="AZ238" i="3"/>
  <c r="AZ242" i="3"/>
  <c r="AZ254" i="3"/>
  <c r="AZ258" i="3"/>
  <c r="AZ269" i="3"/>
  <c r="AZ272" i="3"/>
  <c r="AZ285" i="3"/>
  <c r="AZ288" i="3"/>
  <c r="AZ296" i="3"/>
  <c r="AZ125" i="3"/>
  <c r="AZ128" i="3"/>
  <c r="AZ141" i="3"/>
  <c r="AZ144" i="3"/>
  <c r="AZ155" i="3"/>
  <c r="AZ168" i="3"/>
  <c r="AZ171" i="3"/>
  <c r="AZ194" i="3"/>
  <c r="AZ22" i="3"/>
  <c r="AZ389" i="3"/>
  <c r="AZ400" i="3"/>
  <c r="AZ404" i="3"/>
  <c r="AZ464" i="3"/>
  <c r="AZ368" i="3"/>
  <c r="AZ384" i="3"/>
  <c r="AZ386" i="3"/>
  <c r="AZ176" i="3"/>
  <c r="T51" i="59"/>
  <c r="D51" i="59"/>
  <c r="A30" i="64"/>
  <c r="A30" i="51"/>
  <c r="B22" i="63" s="1"/>
  <c r="AZ45" i="3"/>
  <c r="AZ49" i="3"/>
  <c r="AZ52" i="3"/>
  <c r="AZ54" i="3"/>
  <c r="AZ58" i="3"/>
  <c r="AZ76" i="3"/>
  <c r="AZ80" i="3"/>
  <c r="AZ83" i="3"/>
  <c r="AZ96" i="3"/>
  <c r="AZ100" i="3"/>
  <c r="AZ103" i="3"/>
  <c r="AZ105" i="3"/>
  <c r="AZ109" i="3"/>
  <c r="I21" i="57"/>
  <c r="D1" i="57" s="1"/>
  <c r="E10" i="57" s="1"/>
  <c r="T31" i="59"/>
  <c r="D31" i="59"/>
  <c r="Y24" i="59"/>
  <c r="Z24" i="59" s="1"/>
  <c r="C25" i="59"/>
  <c r="AA25" i="59"/>
  <c r="AA22" i="59"/>
  <c r="AA28" i="59"/>
  <c r="E29" i="59"/>
  <c r="E30" i="59" s="1"/>
  <c r="E31" i="59" s="1"/>
  <c r="U31" i="59" s="1"/>
  <c r="Y32" i="59"/>
  <c r="Z32" i="59" s="1"/>
  <c r="C33" i="59"/>
  <c r="N63" i="59"/>
  <c r="B62" i="59"/>
  <c r="S63" i="59"/>
  <c r="V63" i="59"/>
  <c r="Q63" i="59"/>
  <c r="C23" i="59"/>
  <c r="Y21" i="59"/>
  <c r="Z21" i="59" s="1"/>
  <c r="Y22" i="59"/>
  <c r="Z22" i="59" s="1"/>
  <c r="Y23" i="59"/>
  <c r="Z23" i="59" s="1"/>
  <c r="F23" i="59"/>
  <c r="AB23" i="59"/>
  <c r="AB22" i="59"/>
  <c r="AA33" i="59"/>
  <c r="AA31" i="59"/>
  <c r="X30" i="59"/>
  <c r="Y25" i="59"/>
  <c r="Z25" i="59" s="1"/>
  <c r="E18" i="59"/>
  <c r="E17" i="59" s="1"/>
  <c r="E16" i="59" s="1"/>
  <c r="E15" i="59" s="1"/>
  <c r="U19" i="59"/>
  <c r="AA13" i="59"/>
  <c r="X8" i="59"/>
  <c r="X12" i="59"/>
  <c r="X13" i="59"/>
  <c r="X3" i="59"/>
  <c r="Y13" i="59"/>
  <c r="Z13" i="59" s="1"/>
  <c r="Y12" i="59"/>
  <c r="Z12" i="59" s="1"/>
  <c r="AA8" i="59"/>
  <c r="AA12" i="59"/>
  <c r="AB13" i="59"/>
  <c r="AB12" i="59"/>
  <c r="AB7" i="59"/>
  <c r="S21" i="21"/>
  <c r="S21" i="37"/>
  <c r="O60" i="59"/>
  <c r="C70" i="59"/>
  <c r="D29" i="59"/>
  <c r="D53" i="59"/>
  <c r="E26" i="59"/>
  <c r="E27" i="59" s="1"/>
  <c r="U27" i="59" s="1"/>
  <c r="AB21" i="59"/>
  <c r="AA23" i="59"/>
  <c r="AA3" i="59"/>
  <c r="X20" i="59"/>
  <c r="X24" i="59"/>
  <c r="B25" i="59"/>
  <c r="B26" i="59" s="1"/>
  <c r="B27" i="59" s="1"/>
  <c r="S27" i="59" s="1"/>
  <c r="X21" i="59"/>
  <c r="X23" i="59"/>
  <c r="Y27" i="59"/>
  <c r="Z27" i="59" s="1"/>
  <c r="X28" i="59"/>
  <c r="AB28" i="59"/>
  <c r="F29" i="59"/>
  <c r="F30" i="59" s="1"/>
  <c r="F31" i="59" s="1"/>
  <c r="V31" i="59" s="1"/>
  <c r="Y30" i="59"/>
  <c r="Z30" i="59" s="1"/>
  <c r="Y31" i="59"/>
  <c r="Z31" i="59" s="1"/>
  <c r="X32" i="59"/>
  <c r="B33" i="59"/>
  <c r="B34" i="59" s="1"/>
  <c r="B35" i="59" s="1"/>
  <c r="S35" i="59" s="1"/>
  <c r="Y5" i="59"/>
  <c r="Z5" i="59" s="1"/>
  <c r="Y34" i="59"/>
  <c r="Z34" i="59" s="1"/>
  <c r="F62" i="59"/>
  <c r="E62" i="59"/>
  <c r="P63" i="59"/>
  <c r="AA20" i="59"/>
  <c r="Y19" i="59"/>
  <c r="Z19" i="59" s="1"/>
  <c r="AB19" i="59"/>
  <c r="Y20" i="59"/>
  <c r="Z20" i="59" s="1"/>
  <c r="AB20" i="59"/>
  <c r="X18" i="59"/>
  <c r="AA18" i="59"/>
  <c r="Y18" i="59"/>
  <c r="Z18" i="59" s="1"/>
  <c r="AB18" i="59"/>
  <c r="X16" i="59"/>
  <c r="Y8" i="59"/>
  <c r="Z8" i="59" s="1"/>
  <c r="Y7" i="59"/>
  <c r="Z7" i="59" s="1"/>
  <c r="Y9" i="59"/>
  <c r="Z9" i="59" s="1"/>
  <c r="AB10" i="59"/>
  <c r="AB8" i="59"/>
  <c r="AB5" i="59"/>
  <c r="AB9" i="59"/>
  <c r="AB6" i="59"/>
  <c r="Y6" i="59"/>
  <c r="Z6" i="59" s="1"/>
  <c r="X7" i="59"/>
  <c r="AA24" i="59"/>
  <c r="AB25" i="59"/>
  <c r="Y26" i="59"/>
  <c r="Z26" i="59" s="1"/>
  <c r="AB27" i="59"/>
  <c r="Y28" i="59"/>
  <c r="Z28" i="59" s="1"/>
  <c r="X29" i="59"/>
  <c r="AA30" i="59"/>
  <c r="X31" i="59"/>
  <c r="AA32" i="59"/>
  <c r="X5" i="59"/>
  <c r="S23" i="59"/>
  <c r="X19" i="59"/>
  <c r="AA16" i="59"/>
  <c r="X9" i="59"/>
  <c r="AA10" i="59"/>
  <c r="X11" i="59"/>
  <c r="AA6" i="59"/>
  <c r="AA7" i="59"/>
  <c r="AA9" i="59"/>
  <c r="X6" i="59"/>
  <c r="A25" i="51"/>
  <c r="B18" i="63" s="1"/>
  <c r="G10" i="1"/>
  <c r="G13" i="1"/>
  <c r="F6" i="59"/>
  <c r="V7" i="59"/>
  <c r="C95" i="9"/>
  <c r="C92" i="9" s="1"/>
  <c r="C15" i="43"/>
  <c r="C31" i="43"/>
  <c r="C30" i="44"/>
  <c r="C27"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H7" i="34"/>
  <c r="D70" i="39"/>
  <c r="C72" i="39"/>
  <c r="C67" i="40"/>
  <c r="D65" i="40"/>
  <c r="J7" i="33"/>
  <c r="J7" i="21"/>
  <c r="C18" i="11"/>
  <c r="K77" i="9"/>
  <c r="K79" i="9" s="1"/>
  <c r="K81" i="9" s="1"/>
  <c r="E12" i="52"/>
  <c r="B15" i="52"/>
  <c r="F31" i="15"/>
  <c r="F33" i="44"/>
  <c r="B11" i="59"/>
  <c r="X10" i="59"/>
  <c r="Y10" i="59"/>
  <c r="Z10" i="59" s="1"/>
  <c r="B4" i="52"/>
  <c r="B7" i="52"/>
  <c r="E14" i="52"/>
  <c r="E6" i="52"/>
  <c r="E11" i="52"/>
  <c r="E9" i="52"/>
  <c r="C4" i="4" s="1"/>
  <c r="B20" i="55" s="1"/>
  <c r="B70" i="63" s="1"/>
  <c r="E7" i="52"/>
  <c r="B9" i="52"/>
  <c r="E4" i="52"/>
  <c r="E13" i="52"/>
  <c r="B8" i="52"/>
  <c r="E10" i="52"/>
  <c r="E4" i="4" s="1"/>
  <c r="B21" i="55" s="1"/>
  <c r="B72" i="63" s="1"/>
  <c r="B10" i="52"/>
  <c r="B6" i="52"/>
  <c r="B5" i="52"/>
  <c r="B11" i="52"/>
  <c r="B12" i="52"/>
  <c r="E8" i="52"/>
  <c r="B14" i="52"/>
  <c r="E5" i="52"/>
  <c r="Y3" i="59"/>
  <c r="Z3" i="59" s="1"/>
  <c r="AB11" i="59"/>
  <c r="AA11" i="59"/>
  <c r="Y11" i="59"/>
  <c r="Z11" i="59" s="1"/>
  <c r="P22" i="46"/>
  <c r="P24" i="46"/>
  <c r="B68" i="40" s="1"/>
  <c r="P23" i="46"/>
  <c r="P25" i="46"/>
  <c r="B73" i="39" s="1"/>
  <c r="P21" i="46"/>
  <c r="C36" i="44"/>
  <c r="Q73" i="44"/>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J22" i="44"/>
  <c r="F63" i="15"/>
  <c r="C4" i="65"/>
  <c r="B39" i="1" s="1"/>
  <c r="E3" i="65"/>
  <c r="E2" i="65"/>
  <c r="C16" i="15"/>
  <c r="D21" i="12"/>
  <c r="C15" i="12"/>
  <c r="C18" i="44"/>
  <c r="U36" i="33" l="1"/>
  <c r="S42" i="33"/>
  <c r="J36" i="33"/>
  <c r="F36" i="33"/>
  <c r="S36" i="33" s="1"/>
  <c r="H37" i="34"/>
  <c r="BL5" i="3"/>
  <c r="AZ107" i="3"/>
  <c r="AZ84" i="3"/>
  <c r="AZ73" i="3"/>
  <c r="C39" i="59"/>
  <c r="D38" i="59"/>
  <c r="AZ59" i="3"/>
  <c r="AZ42" i="3"/>
  <c r="AZ195" i="3"/>
  <c r="AZ190" i="3"/>
  <c r="AZ160" i="3"/>
  <c r="AZ149" i="3"/>
  <c r="AZ136" i="3"/>
  <c r="AZ289" i="3"/>
  <c r="AZ247" i="3"/>
  <c r="AZ215" i="3"/>
  <c r="AZ319" i="3"/>
  <c r="AZ436" i="3"/>
  <c r="AZ393" i="3"/>
  <c r="AA26" i="37"/>
  <c r="S26" i="37"/>
  <c r="W9" i="35"/>
  <c r="AC9" i="35"/>
  <c r="U17" i="34"/>
  <c r="E28" i="6"/>
  <c r="E30" i="6" s="1"/>
  <c r="G30" i="6"/>
  <c r="G31" i="6" s="1"/>
  <c r="W42" i="33"/>
  <c r="C5" i="68"/>
  <c r="D4" i="75"/>
  <c r="J4" i="75" s="1"/>
  <c r="D5" i="68"/>
  <c r="D46" i="59"/>
  <c r="C47" i="59"/>
  <c r="C77" i="59"/>
  <c r="D77" i="59" s="1"/>
  <c r="D78" i="59"/>
  <c r="C59" i="59"/>
  <c r="D58" i="59"/>
  <c r="E15" i="6"/>
  <c r="E11" i="6"/>
  <c r="E14" i="6"/>
  <c r="E13" i="6"/>
  <c r="E10" i="6"/>
  <c r="E12" i="6"/>
  <c r="AC23" i="36"/>
  <c r="W23" i="36"/>
  <c r="W12" i="33"/>
  <c r="AC12" i="33"/>
  <c r="S39" i="37"/>
  <c r="AA39" i="37"/>
  <c r="AB24" i="36"/>
  <c r="U24" i="36"/>
  <c r="AA9" i="34"/>
  <c r="S9" i="34"/>
  <c r="S12" i="21"/>
  <c r="AA12" i="21"/>
  <c r="C5" i="46"/>
  <c r="D3" i="75"/>
  <c r="J3" i="75" s="1"/>
  <c r="D66" i="59"/>
  <c r="C65" i="59"/>
  <c r="D65" i="59" s="1"/>
  <c r="P24" i="68"/>
  <c r="P25" i="68"/>
  <c r="O19" i="68"/>
  <c r="P21" i="68"/>
  <c r="P23" i="68"/>
  <c r="P22" i="68"/>
  <c r="AZ25" i="3"/>
  <c r="AZ5" i="3" s="1"/>
  <c r="BA5" i="3"/>
  <c r="E27" i="6" s="1"/>
  <c r="AA23" i="36"/>
  <c r="S23" i="36"/>
  <c r="AC39" i="37"/>
  <c r="W39" i="37"/>
  <c r="W24" i="36"/>
  <c r="AC24" i="36"/>
  <c r="AA9" i="33"/>
  <c r="S9" i="33"/>
  <c r="U12" i="21"/>
  <c r="AB12" i="21"/>
  <c r="C28" i="73"/>
  <c r="AA43" i="34"/>
  <c r="S43" i="34"/>
  <c r="AB43" i="34"/>
  <c r="U43" i="34"/>
  <c r="AC43" i="34"/>
  <c r="W43" i="34"/>
  <c r="AA37" i="34"/>
  <c r="S37" i="34"/>
  <c r="U37" i="34"/>
  <c r="AB37" i="34"/>
  <c r="H112" i="34"/>
  <c r="I112" i="34" s="1"/>
  <c r="J112" i="34" s="1"/>
  <c r="K112" i="34" s="1"/>
  <c r="L112" i="34" s="1"/>
  <c r="M112" i="34" s="1"/>
  <c r="J37" i="34"/>
  <c r="F11" i="73"/>
  <c r="M11" i="73"/>
  <c r="J10" i="73" s="1"/>
  <c r="AA36" i="33"/>
  <c r="W32" i="33"/>
  <c r="H101" i="33"/>
  <c r="I101" i="33" s="1"/>
  <c r="J101" i="33" s="1"/>
  <c r="K101" i="33" s="1"/>
  <c r="L101" i="33" s="1"/>
  <c r="M101" i="33" s="1"/>
  <c r="H32" i="33"/>
  <c r="F32" i="33"/>
  <c r="S19" i="33"/>
  <c r="AA19" i="33"/>
  <c r="U19" i="33"/>
  <c r="AC19" i="33"/>
  <c r="W19" i="33"/>
  <c r="AA17" i="33"/>
  <c r="AB15" i="33"/>
  <c r="AA15" i="33"/>
  <c r="S15" i="33"/>
  <c r="D5" i="46"/>
  <c r="C21" i="12"/>
  <c r="F7" i="34"/>
  <c r="AA7" i="34" s="1"/>
  <c r="J7" i="34"/>
  <c r="W7" i="34" s="1"/>
  <c r="K14" i="1"/>
  <c r="F24" i="43"/>
  <c r="C26" i="43" s="1"/>
  <c r="D24" i="43" s="1"/>
  <c r="D113" i="46"/>
  <c r="F61" i="59"/>
  <c r="Q62" i="59"/>
  <c r="C69" i="59"/>
  <c r="D69" i="59" s="1"/>
  <c r="D70" i="59"/>
  <c r="V23" i="59"/>
  <c r="F22" i="59"/>
  <c r="F21" i="59" s="1"/>
  <c r="D23" i="59"/>
  <c r="T23" i="59"/>
  <c r="C22" i="59"/>
  <c r="B61" i="59"/>
  <c r="N62" i="59"/>
  <c r="D33" i="59"/>
  <c r="C34" i="59"/>
  <c r="D25" i="59"/>
  <c r="C26" i="59"/>
  <c r="W25" i="37"/>
  <c r="AC25" i="37"/>
  <c r="U34" i="35"/>
  <c r="AB34" i="35"/>
  <c r="AB9" i="21"/>
  <c r="U9" i="21"/>
  <c r="K31" i="9"/>
  <c r="K32" i="9" s="1"/>
  <c r="R7" i="54"/>
  <c r="B52" i="63" s="1"/>
  <c r="C13" i="59"/>
  <c r="D14" i="59"/>
  <c r="B10" i="59"/>
  <c r="B9" i="59" s="1"/>
  <c r="B8" i="59" s="1"/>
  <c r="B7" i="59" s="1"/>
  <c r="B6" i="59" s="1"/>
  <c r="S11" i="59"/>
  <c r="G16" i="1"/>
  <c r="J12" i="39" s="1"/>
  <c r="AC12" i="39" s="1"/>
  <c r="E61" i="59"/>
  <c r="P62" i="59"/>
  <c r="E14" i="59"/>
  <c r="E13" i="59" s="1"/>
  <c r="E12" i="59" s="1"/>
  <c r="E11" i="59" s="1"/>
  <c r="U15" i="59"/>
  <c r="G5" i="3"/>
  <c r="B3" i="3" s="1"/>
  <c r="AA25" i="37"/>
  <c r="S25" i="37"/>
  <c r="AA34" i="35"/>
  <c r="S34" i="35"/>
  <c r="F5" i="59"/>
  <c r="V5" i="59" s="1"/>
  <c r="F7" i="21"/>
  <c r="AA7" i="21" s="1"/>
  <c r="R48" i="21" s="1"/>
  <c r="H7" i="21"/>
  <c r="AB7" i="21" s="1"/>
  <c r="T48" i="21" s="1"/>
  <c r="G48" i="21" s="1"/>
  <c r="F58" i="15"/>
  <c r="H7" i="35"/>
  <c r="U7" i="35" s="1"/>
  <c r="B40" i="1"/>
  <c r="E65" i="40"/>
  <c r="D67" i="40"/>
  <c r="AC7" i="33"/>
  <c r="W7" i="33"/>
  <c r="S7" i="21"/>
  <c r="J7" i="37"/>
  <c r="W7" i="21"/>
  <c r="AC7" i="21"/>
  <c r="V48" i="21" s="1"/>
  <c r="I48" i="21" s="1"/>
  <c r="D72" i="39"/>
  <c r="E70" i="39"/>
  <c r="AB7" i="34"/>
  <c r="U7" i="34"/>
  <c r="H7" i="33"/>
  <c r="F7" i="33"/>
  <c r="J46" i="36"/>
  <c r="J7" i="35"/>
  <c r="F7" i="35"/>
  <c r="H7" i="37"/>
  <c r="F7" i="37"/>
  <c r="M19" i="44"/>
  <c r="F17" i="11"/>
  <c r="C17" i="11" s="1"/>
  <c r="C19" i="11" s="1"/>
  <c r="L47" i="44"/>
  <c r="Q62" i="15"/>
  <c r="Q75" i="15"/>
  <c r="M13" i="44"/>
  <c r="J12" i="44" s="1"/>
  <c r="J7" i="44" s="1"/>
  <c r="F11" i="15"/>
  <c r="M11" i="15"/>
  <c r="J10" i="15" s="1"/>
  <c r="F13" i="44"/>
  <c r="C12" i="44" s="1"/>
  <c r="C7" i="44" s="1"/>
  <c r="Q75" i="44"/>
  <c r="Q62" i="44"/>
  <c r="C48" i="15"/>
  <c r="M28" i="46"/>
  <c r="G20" i="46" s="1"/>
  <c r="P28" i="46"/>
  <c r="O28" i="46"/>
  <c r="N28" i="46"/>
  <c r="F1" i="44"/>
  <c r="Q54" i="44"/>
  <c r="J20" i="44"/>
  <c r="Q63" i="44"/>
  <c r="Q76" i="44"/>
  <c r="C34" i="44"/>
  <c r="F1" i="15"/>
  <c r="Q53" i="15"/>
  <c r="Q61" i="15"/>
  <c r="Q74" i="15"/>
  <c r="J6" i="15"/>
  <c r="F8" i="73"/>
  <c r="L48" i="73"/>
  <c r="F13" i="73"/>
  <c r="M26" i="73"/>
  <c r="C15" i="72"/>
  <c r="J36" i="73"/>
  <c r="M23" i="73"/>
  <c r="F37" i="73"/>
  <c r="F7" i="73"/>
  <c r="M29" i="73"/>
  <c r="J15" i="73"/>
  <c r="F9" i="73"/>
  <c r="M9" i="73"/>
  <c r="F33" i="72"/>
  <c r="F42" i="73"/>
  <c r="M22" i="73"/>
  <c r="M6" i="73"/>
  <c r="M8" i="73"/>
  <c r="F36" i="73"/>
  <c r="F38" i="73"/>
  <c r="F43" i="73"/>
  <c r="F26" i="73"/>
  <c r="M24" i="73"/>
  <c r="F40" i="73"/>
  <c r="F33" i="12"/>
  <c r="AE6" i="1"/>
  <c r="L47" i="73"/>
  <c r="M28" i="73"/>
  <c r="D21" i="72"/>
  <c r="F16" i="73"/>
  <c r="T39" i="59" l="1"/>
  <c r="D39" i="59"/>
  <c r="U7" i="21"/>
  <c r="V48" i="33"/>
  <c r="I48" i="33" s="1"/>
  <c r="S7" i="59"/>
  <c r="W36" i="33"/>
  <c r="AC36" i="33"/>
  <c r="T49" i="34"/>
  <c r="G49" i="34" s="1"/>
  <c r="G53" i="34" s="1"/>
  <c r="H53" i="34" s="1"/>
  <c r="R49" i="34"/>
  <c r="E49" i="34" s="1"/>
  <c r="F65" i="73"/>
  <c r="F67" i="73"/>
  <c r="Q72" i="73"/>
  <c r="M7" i="73"/>
  <c r="J6" i="73" s="1"/>
  <c r="J18" i="73" s="1"/>
  <c r="F49" i="73"/>
  <c r="L57" i="73"/>
  <c r="L56" i="73"/>
  <c r="L60" i="73"/>
  <c r="J57" i="73"/>
  <c r="J55" i="73" s="1"/>
  <c r="J58" i="73" s="1"/>
  <c r="Q51" i="73" s="1"/>
  <c r="J60" i="73"/>
  <c r="Q49" i="73" s="1"/>
  <c r="J53" i="73"/>
  <c r="I54" i="73"/>
  <c r="J59" i="73"/>
  <c r="F63" i="73"/>
  <c r="F64" i="73"/>
  <c r="F70" i="73"/>
  <c r="C27" i="73"/>
  <c r="F50" i="73"/>
  <c r="L58" i="73"/>
  <c r="L59" i="73"/>
  <c r="C21" i="72"/>
  <c r="C34" i="72"/>
  <c r="D33" i="72" s="1"/>
  <c r="B17" i="75"/>
  <c r="K3" i="75"/>
  <c r="AY6" i="3"/>
  <c r="E3" i="6"/>
  <c r="E59" i="40"/>
  <c r="E64" i="39"/>
  <c r="E60" i="40"/>
  <c r="E65" i="39"/>
  <c r="E63" i="39"/>
  <c r="E58" i="40"/>
  <c r="T59" i="59"/>
  <c r="D59" i="59"/>
  <c r="T47" i="59"/>
  <c r="D47" i="59"/>
  <c r="C39" i="68"/>
  <c r="C36" i="68"/>
  <c r="C34" i="68"/>
  <c r="C33" i="68"/>
  <c r="C37" i="68"/>
  <c r="C38" i="68"/>
  <c r="C35" i="68"/>
  <c r="T16" i="68"/>
  <c r="V16" i="68" s="1"/>
  <c r="T10" i="68"/>
  <c r="V10" i="68" s="1"/>
  <c r="T4" i="68"/>
  <c r="V4" i="68" s="1"/>
  <c r="T5" i="68"/>
  <c r="V5" i="68" s="1"/>
  <c r="T14" i="68"/>
  <c r="V14" i="68" s="1"/>
  <c r="T12" i="68"/>
  <c r="V12" i="68" s="1"/>
  <c r="T8" i="68"/>
  <c r="V8" i="68" s="1"/>
  <c r="T3" i="68"/>
  <c r="V3" i="68" s="1"/>
  <c r="C29" i="68"/>
  <c r="T11" i="68"/>
  <c r="V11" i="68" s="1"/>
  <c r="T7" i="68"/>
  <c r="V7" i="68" s="1"/>
  <c r="T2" i="68"/>
  <c r="V2" i="68" s="1"/>
  <c r="T15" i="68"/>
  <c r="V15" i="68" s="1"/>
  <c r="T13" i="68"/>
  <c r="V13" i="68" s="1"/>
  <c r="T9" i="68"/>
  <c r="V9" i="68" s="1"/>
  <c r="T6" i="68"/>
  <c r="V6" i="68" s="1"/>
  <c r="E41" i="46"/>
  <c r="C41" i="46" s="1"/>
  <c r="C20" i="46"/>
  <c r="C34" i="46" s="1"/>
  <c r="G34" i="46" s="1"/>
  <c r="I34" i="46" s="1"/>
  <c r="E16" i="6"/>
  <c r="E61" i="40"/>
  <c r="E66" i="39"/>
  <c r="E67" i="39"/>
  <c r="E62" i="40"/>
  <c r="K4" i="75"/>
  <c r="B18" i="75"/>
  <c r="AC37" i="34"/>
  <c r="W37" i="34"/>
  <c r="AC7" i="34"/>
  <c r="V49" i="34" s="1"/>
  <c r="I49" i="34" s="1"/>
  <c r="I53" i="34" s="1"/>
  <c r="J53" i="34" s="1"/>
  <c r="S7" i="34"/>
  <c r="F26" i="72"/>
  <c r="C27" i="72" s="1"/>
  <c r="D26" i="72" s="1"/>
  <c r="C32" i="72" s="1"/>
  <c r="D30" i="72" s="1"/>
  <c r="F24" i="73"/>
  <c r="C52" i="73"/>
  <c r="AG6" i="1"/>
  <c r="AA32" i="33"/>
  <c r="S32" i="33"/>
  <c r="AB32" i="33"/>
  <c r="U32" i="33"/>
  <c r="C34" i="12"/>
  <c r="D33" i="12" s="1"/>
  <c r="F12" i="39"/>
  <c r="S12" i="39" s="1"/>
  <c r="F12" i="40"/>
  <c r="J12" i="40"/>
  <c r="W12" i="40" s="1"/>
  <c r="H12" i="40"/>
  <c r="U12" i="40" s="1"/>
  <c r="H12" i="39"/>
  <c r="U12" i="39" s="1"/>
  <c r="W12" i="39"/>
  <c r="AB12" i="39"/>
  <c r="AB12" i="40"/>
  <c r="K20" i="6"/>
  <c r="K21" i="6"/>
  <c r="M21" i="6" s="1"/>
  <c r="I21" i="6" s="1"/>
  <c r="S21" i="6" s="1"/>
  <c r="K23" i="6"/>
  <c r="M23" i="6" s="1"/>
  <c r="I23" i="6" s="1"/>
  <c r="S23" i="6" s="1"/>
  <c r="K22" i="6"/>
  <c r="M22" i="6" s="1"/>
  <c r="I22" i="6" s="1"/>
  <c r="S22" i="6" s="1"/>
  <c r="K26" i="6"/>
  <c r="M26" i="6" s="1"/>
  <c r="I26" i="6" s="1"/>
  <c r="S26" i="6" s="1"/>
  <c r="K25" i="6"/>
  <c r="M25" i="6" s="1"/>
  <c r="I25" i="6" s="1"/>
  <c r="S25" i="6" s="1"/>
  <c r="K24" i="6"/>
  <c r="M24" i="6" s="1"/>
  <c r="I24" i="6" s="1"/>
  <c r="S24" i="6" s="1"/>
  <c r="K19" i="6"/>
  <c r="S6" i="1" s="1"/>
  <c r="K16" i="1"/>
  <c r="M14" i="1"/>
  <c r="E31" i="6"/>
  <c r="E512" i="3"/>
  <c r="D3" i="6"/>
  <c r="F35" i="15"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E536" i="3"/>
  <c r="E481" i="3"/>
  <c r="C12" i="59"/>
  <c r="D13" i="59"/>
  <c r="E489" i="3"/>
  <c r="N60" i="59"/>
  <c r="N61" i="59"/>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297" i="3"/>
  <c r="E411" i="3"/>
  <c r="E395" i="3"/>
  <c r="E250" i="3"/>
  <c r="AN6" i="3"/>
  <c r="E41" i="3"/>
  <c r="E280" i="3"/>
  <c r="E471" i="3"/>
  <c r="E59" i="3"/>
  <c r="E418" i="3"/>
  <c r="E270" i="3"/>
  <c r="E408" i="3"/>
  <c r="E464" i="3"/>
  <c r="E92" i="3"/>
  <c r="E157" i="3"/>
  <c r="E238" i="3"/>
  <c r="E209" i="3"/>
  <c r="E414" i="3"/>
  <c r="E161" i="3"/>
  <c r="E44" i="3"/>
  <c r="E450" i="3"/>
  <c r="E202" i="3"/>
  <c r="E534" i="3"/>
  <c r="E472" i="3"/>
  <c r="E376" i="3"/>
  <c r="E187" i="3"/>
  <c r="E387" i="3"/>
  <c r="E253" i="3"/>
  <c r="E294" i="3"/>
  <c r="E225" i="3"/>
  <c r="R6" i="3"/>
  <c r="E537" i="3"/>
  <c r="E21" i="3"/>
  <c r="E199" i="3"/>
  <c r="E125" i="3"/>
  <c r="E54" i="3"/>
  <c r="E64" i="3"/>
  <c r="E423" i="3"/>
  <c r="AH6" i="3"/>
  <c r="E452" i="3"/>
  <c r="E140" i="3"/>
  <c r="E435"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311" i="3"/>
  <c r="E222" i="3"/>
  <c r="E263" i="3"/>
  <c r="E388" i="3"/>
  <c r="E424" i="3"/>
  <c r="E430" i="3"/>
  <c r="E82" i="3"/>
  <c r="E146" i="3"/>
  <c r="E164" i="3"/>
  <c r="E77" i="3"/>
  <c r="E99" i="3"/>
  <c r="E434" i="3"/>
  <c r="E262" i="3"/>
  <c r="E552" i="3"/>
  <c r="E101" i="3"/>
  <c r="E57" i="3"/>
  <c r="E86" i="3"/>
  <c r="E68" i="3"/>
  <c r="E135" i="3"/>
  <c r="E147" i="3"/>
  <c r="E22" i="3"/>
  <c r="E439" i="3"/>
  <c r="E117" i="3"/>
  <c r="E231" i="3"/>
  <c r="E470" i="3"/>
  <c r="E186" i="3"/>
  <c r="E299" i="3"/>
  <c r="E327" i="3"/>
  <c r="E548" i="3"/>
  <c r="Z6" i="3"/>
  <c r="E454" i="3"/>
  <c r="E520" i="3"/>
  <c r="AK6" i="3"/>
  <c r="E476" i="3"/>
  <c r="E192" i="3"/>
  <c r="E114" i="3"/>
  <c r="E348" i="3"/>
  <c r="E93" i="3"/>
  <c r="E394" i="3"/>
  <c r="E55" i="3"/>
  <c r="E282" i="3"/>
  <c r="E570" i="3"/>
  <c r="E375" i="3"/>
  <c r="E409" i="3"/>
  <c r="E83" i="3"/>
  <c r="E124" i="3"/>
  <c r="E266" i="3"/>
  <c r="E215" i="3"/>
  <c r="I6" i="3"/>
  <c r="H6" i="3" s="1"/>
  <c r="E6" i="3" s="1"/>
  <c r="E103" i="3"/>
  <c r="E200" i="3"/>
  <c r="E62" i="3"/>
  <c r="E389" i="3"/>
  <c r="E230" i="3"/>
  <c r="E143" i="3"/>
  <c r="E459" i="3"/>
  <c r="E528" i="3"/>
  <c r="E349" i="3"/>
  <c r="E10" i="59"/>
  <c r="E9" i="59" s="1"/>
  <c r="E8" i="59" s="1"/>
  <c r="E7" i="59" s="1"/>
  <c r="U11" i="59"/>
  <c r="P60" i="59"/>
  <c r="P61" i="59"/>
  <c r="E524" i="3"/>
  <c r="C27" i="59"/>
  <c r="D26" i="59"/>
  <c r="C35" i="59"/>
  <c r="M19" i="46" s="1"/>
  <c r="D34" i="59"/>
  <c r="C21" i="59"/>
  <c r="D21" i="59" s="1"/>
  <c r="D22" i="59"/>
  <c r="Q60" i="59"/>
  <c r="Q61" i="59"/>
  <c r="D16" i="43"/>
  <c r="C16" i="43" s="1"/>
  <c r="E6" i="6"/>
  <c r="L38" i="9"/>
  <c r="B14" i="66" s="1"/>
  <c r="B1" i="66" s="1"/>
  <c r="D44" i="9"/>
  <c r="C21" i="4"/>
  <c r="O5" i="54" s="1"/>
  <c r="B45" i="63" s="1"/>
  <c r="D45" i="9"/>
  <c r="D46" i="9"/>
  <c r="B5" i="59"/>
  <c r="AB7" i="35"/>
  <c r="T38" i="35" s="1"/>
  <c r="G38" i="35" s="1"/>
  <c r="G43" i="35" s="1"/>
  <c r="H43" i="35" s="1"/>
  <c r="AA7" i="37"/>
  <c r="R42" i="37" s="1"/>
  <c r="S7" i="37"/>
  <c r="AA7" i="35"/>
  <c r="R38" i="35" s="1"/>
  <c r="S7" i="35"/>
  <c r="U7" i="37"/>
  <c r="AB7" i="37"/>
  <c r="T42" i="37" s="1"/>
  <c r="G42" i="37" s="1"/>
  <c r="W7" i="35"/>
  <c r="AC7" i="35"/>
  <c r="V38" i="35" s="1"/>
  <c r="I38" i="35" s="1"/>
  <c r="K46" i="36"/>
  <c r="AB7" i="33"/>
  <c r="T48" i="33" s="1"/>
  <c r="G48" i="33" s="1"/>
  <c r="U7" i="33"/>
  <c r="G54" i="34"/>
  <c r="H54" i="34" s="1"/>
  <c r="I52" i="21"/>
  <c r="J52" i="21" s="1"/>
  <c r="AC7" i="37"/>
  <c r="V42" i="37" s="1"/>
  <c r="I42" i="37" s="1"/>
  <c r="W7" i="37"/>
  <c r="G42" i="35"/>
  <c r="H42" i="35" s="1"/>
  <c r="R49" i="21"/>
  <c r="E48" i="21"/>
  <c r="AA7" i="33"/>
  <c r="R48" i="33" s="1"/>
  <c r="S7" i="33"/>
  <c r="F70" i="39"/>
  <c r="E72" i="39"/>
  <c r="G52" i="21"/>
  <c r="H52" i="21" s="1"/>
  <c r="G53" i="21"/>
  <c r="H53" i="21" s="1"/>
  <c r="I52" i="33"/>
  <c r="J52" i="33" s="1"/>
  <c r="E67" i="40"/>
  <c r="F65"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J18" i="15"/>
  <c r="J5" i="15"/>
  <c r="C40" i="44"/>
  <c r="J28" i="44"/>
  <c r="J31" i="44" s="1"/>
  <c r="J26" i="44"/>
  <c r="C52" i="15"/>
  <c r="C47" i="15" s="1"/>
  <c r="C20" i="11"/>
  <c r="C21" i="11" s="1"/>
  <c r="C22" i="11" s="1"/>
  <c r="C23" i="11" s="1"/>
  <c r="B2" i="11" s="1"/>
  <c r="M27" i="15"/>
  <c r="F41" i="15"/>
  <c r="D16" i="12"/>
  <c r="C16" i="73"/>
  <c r="C17" i="15"/>
  <c r="J5" i="73" l="1"/>
  <c r="J26" i="73" s="1"/>
  <c r="C48" i="73"/>
  <c r="C47" i="73" s="1"/>
  <c r="E29" i="68"/>
  <c r="C30" i="68"/>
  <c r="E30" i="68" s="1"/>
  <c r="G38" i="68"/>
  <c r="I38" i="68" s="1"/>
  <c r="E38" i="68"/>
  <c r="G33" i="68"/>
  <c r="I33" i="68" s="1"/>
  <c r="E33" i="68"/>
  <c r="G36" i="68"/>
  <c r="I36" i="68" s="1"/>
  <c r="E36" i="68"/>
  <c r="Q74" i="73"/>
  <c r="Q61" i="73"/>
  <c r="L46" i="73"/>
  <c r="S5" i="59"/>
  <c r="E35" i="68"/>
  <c r="G35" i="68"/>
  <c r="I35" i="68" s="1"/>
  <c r="E37" i="68"/>
  <c r="G37" i="68"/>
  <c r="I37" i="68" s="1"/>
  <c r="G34" i="68"/>
  <c r="I34" i="68" s="1"/>
  <c r="E34" i="68"/>
  <c r="E39" i="68"/>
  <c r="G39" i="68"/>
  <c r="I39" i="68" s="1"/>
  <c r="Q62" i="73"/>
  <c r="Q75" i="73"/>
  <c r="F1" i="73"/>
  <c r="Q53" i="73"/>
  <c r="Q67" i="73"/>
  <c r="Q58" i="73"/>
  <c r="F68" i="15"/>
  <c r="F35" i="73"/>
  <c r="F62" i="15"/>
  <c r="C61" i="15" s="1"/>
  <c r="C34" i="15"/>
  <c r="R50" i="34"/>
  <c r="C50" i="34" s="1"/>
  <c r="C24" i="73"/>
  <c r="AA12" i="39"/>
  <c r="AC12" i="40"/>
  <c r="AA12" i="40"/>
  <c r="S12" i="40"/>
  <c r="M20" i="6"/>
  <c r="I20" i="6" s="1"/>
  <c r="S20" i="6" s="1"/>
  <c r="S7" i="1"/>
  <c r="M16" i="1"/>
  <c r="O14" i="1"/>
  <c r="K27" i="6"/>
  <c r="M19" i="6"/>
  <c r="C6" i="66"/>
  <c r="C8" i="66"/>
  <c r="C7" i="66"/>
  <c r="T35" i="59"/>
  <c r="D35" i="59"/>
  <c r="M19" i="68" s="1"/>
  <c r="T27" i="59"/>
  <c r="D27" i="59"/>
  <c r="D12" i="59"/>
  <c r="C11" i="59"/>
  <c r="D19" i="12"/>
  <c r="C19" i="12" s="1"/>
  <c r="C16" i="12"/>
  <c r="D13" i="11"/>
  <c r="C13" i="11" s="1"/>
  <c r="U7" i="59"/>
  <c r="E6" i="59"/>
  <c r="E5" i="59" s="1"/>
  <c r="U5" i="59" s="1"/>
  <c r="E63" i="40"/>
  <c r="D19" i="6"/>
  <c r="D25" i="6"/>
  <c r="D13" i="6"/>
  <c r="H24" i="6"/>
  <c r="D23" i="6"/>
  <c r="D28" i="6"/>
  <c r="D8" i="6"/>
  <c r="E45" i="9"/>
  <c r="F44" i="9"/>
  <c r="K38" i="9"/>
  <c r="C14" i="66" s="1"/>
  <c r="B2" i="66" s="1"/>
  <c r="D26" i="6"/>
  <c r="D22" i="6"/>
  <c r="D12" i="6"/>
  <c r="H25" i="6"/>
  <c r="D5" i="6"/>
  <c r="H22" i="6"/>
  <c r="H26" i="6"/>
  <c r="F46" i="9"/>
  <c r="C22" i="4"/>
  <c r="D21" i="6"/>
  <c r="D10" i="6"/>
  <c r="H21" i="6"/>
  <c r="D6" i="6"/>
  <c r="D14" i="6"/>
  <c r="D20" i="6"/>
  <c r="H23" i="6"/>
  <c r="F45" i="9"/>
  <c r="E68" i="39"/>
  <c r="D24" i="6"/>
  <c r="D11" i="6"/>
  <c r="H20" i="6"/>
  <c r="D9" i="6"/>
  <c r="D29" i="6"/>
  <c r="D15" i="6"/>
  <c r="E44" i="9"/>
  <c r="E46" i="9"/>
  <c r="G39" i="46"/>
  <c r="I39" i="46" s="1"/>
  <c r="E38" i="46"/>
  <c r="E36" i="46"/>
  <c r="G33" i="46"/>
  <c r="I33" i="46" s="1"/>
  <c r="E37" i="46"/>
  <c r="E35" i="46"/>
  <c r="F67" i="40"/>
  <c r="G65" i="40"/>
  <c r="G70" i="39"/>
  <c r="F72"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B2" i="21" s="1"/>
  <c r="I46" i="37"/>
  <c r="J46" i="37" s="1"/>
  <c r="G52" i="33"/>
  <c r="H52" i="33" s="1"/>
  <c r="G53" i="33"/>
  <c r="H53" i="33" s="1"/>
  <c r="I42" i="35"/>
  <c r="J42" i="35" s="1"/>
  <c r="G46" i="37"/>
  <c r="H46" i="37" s="1"/>
  <c r="G47" i="37"/>
  <c r="H47" i="37" s="1"/>
  <c r="E29" i="46"/>
  <c r="C65" i="15"/>
  <c r="C59" i="15"/>
  <c r="B5" i="11"/>
  <c r="B3" i="11"/>
  <c r="B4" i="11"/>
  <c r="J26" i="15"/>
  <c r="J29" i="15" s="1"/>
  <c r="J24" i="15"/>
  <c r="Q58" i="44"/>
  <c r="Q67" i="44"/>
  <c r="Q49" i="44"/>
  <c r="Q55" i="44" s="1"/>
  <c r="AE7" i="1"/>
  <c r="C17" i="73"/>
  <c r="D16" i="72"/>
  <c r="D22" i="72"/>
  <c r="F7" i="67"/>
  <c r="D22" i="12"/>
  <c r="J24" i="73" l="1"/>
  <c r="C49" i="34"/>
  <c r="C65" i="73"/>
  <c r="C59" i="73"/>
  <c r="D19" i="72"/>
  <c r="C19" i="72" s="1"/>
  <c r="C16" i="72"/>
  <c r="C22" i="72"/>
  <c r="C20" i="72" s="1"/>
  <c r="AG7" i="1"/>
  <c r="C27" i="68"/>
  <c r="C26" i="68"/>
  <c r="B2" i="68" s="1"/>
  <c r="F62" i="73"/>
  <c r="C61" i="73" s="1"/>
  <c r="C34" i="73"/>
  <c r="B3" i="34"/>
  <c r="B2" i="34" s="1"/>
  <c r="U7" i="1"/>
  <c r="C22" i="12"/>
  <c r="C20" i="12" s="1"/>
  <c r="C27" i="46"/>
  <c r="T7" i="1"/>
  <c r="S16" i="1"/>
  <c r="R24" i="6"/>
  <c r="D16" i="6"/>
  <c r="I19" i="6"/>
  <c r="M27" i="6"/>
  <c r="P14" i="1"/>
  <c r="P16" i="1" s="1"/>
  <c r="O16" i="1"/>
  <c r="D30" i="6"/>
  <c r="L16" i="1"/>
  <c r="N16" i="1"/>
  <c r="C29" i="43" s="1"/>
  <c r="C13" i="43"/>
  <c r="R21" i="6"/>
  <c r="R22" i="6"/>
  <c r="D6" i="66"/>
  <c r="D8" i="66"/>
  <c r="D7" i="66"/>
  <c r="R25" i="6"/>
  <c r="R20" i="6"/>
  <c r="R7" i="1" s="1"/>
  <c r="A20" i="64"/>
  <c r="A6" i="51"/>
  <c r="B7" i="63" s="1"/>
  <c r="A6" i="64"/>
  <c r="A20" i="51"/>
  <c r="B15" i="63" s="1"/>
  <c r="N5" i="54"/>
  <c r="B43" i="63" s="1"/>
  <c r="R26" i="6"/>
  <c r="R23" i="6"/>
  <c r="D27" i="6"/>
  <c r="D31" i="6" s="1"/>
  <c r="C10" i="59"/>
  <c r="T11" i="59"/>
  <c r="D11"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C48" i="33"/>
  <c r="H70" i="39"/>
  <c r="G72" i="39"/>
  <c r="H65" i="40"/>
  <c r="G67" i="40"/>
  <c r="E4" i="67"/>
  <c r="C26" i="46"/>
  <c r="B2" i="46" s="1"/>
  <c r="D77" i="9"/>
  <c r="N75" i="9" s="1"/>
  <c r="B7" i="67"/>
  <c r="D19" i="9"/>
  <c r="C14" i="73"/>
  <c r="M21" i="73"/>
  <c r="F41" i="73"/>
  <c r="E7" i="67"/>
  <c r="M27" i="73"/>
  <c r="F6" i="73"/>
  <c r="C13" i="72"/>
  <c r="J29" i="73" l="1"/>
  <c r="F68" i="73"/>
  <c r="C17" i="72"/>
  <c r="C14" i="72"/>
  <c r="C15" i="73"/>
  <c r="C18" i="73"/>
  <c r="D4" i="68"/>
  <c r="B3" i="68"/>
  <c r="B4" i="68"/>
  <c r="J20" i="73"/>
  <c r="C6" i="73"/>
  <c r="B3" i="33"/>
  <c r="B2" i="33" s="1"/>
  <c r="U6" i="1"/>
  <c r="L44" i="9"/>
  <c r="T10" i="1"/>
  <c r="T12" i="1"/>
  <c r="T6" i="1"/>
  <c r="T13" i="1"/>
  <c r="T8" i="1"/>
  <c r="T9" i="1"/>
  <c r="T11" i="1"/>
  <c r="C14" i="43"/>
  <c r="C17" i="43"/>
  <c r="I27" i="6"/>
  <c r="S19" i="6"/>
  <c r="S27" i="6" s="1"/>
  <c r="H19" i="6"/>
  <c r="C9" i="59"/>
  <c r="D10" i="59"/>
  <c r="I6" i="6"/>
  <c r="I5" i="6"/>
  <c r="I65" i="40"/>
  <c r="H67" i="40"/>
  <c r="H72" i="39"/>
  <c r="I70" i="39"/>
  <c r="N46" i="36"/>
  <c r="E3" i="67"/>
  <c r="B2" i="67"/>
  <c r="D4" i="46"/>
  <c r="B3" i="46"/>
  <c r="B4" i="46"/>
  <c r="F6" i="15"/>
  <c r="D20" i="9"/>
  <c r="C13" i="12"/>
  <c r="D21" i="9"/>
  <c r="C16" i="44"/>
  <c r="C14" i="15"/>
  <c r="C18" i="72" l="1"/>
  <c r="C23" i="72" s="1"/>
  <c r="C19" i="73"/>
  <c r="C20" i="73" s="1"/>
  <c r="C17" i="12"/>
  <c r="C14" i="12"/>
  <c r="C32" i="73"/>
  <c r="C10" i="73"/>
  <c r="C5" i="73" s="1"/>
  <c r="C38" i="73" s="1"/>
  <c r="C6" i="15"/>
  <c r="C18" i="15"/>
  <c r="C15" i="15"/>
  <c r="C17" i="44"/>
  <c r="C20" i="44"/>
  <c r="T16" i="1"/>
  <c r="C18" i="43"/>
  <c r="C19" i="43" s="1"/>
  <c r="C25" i="43" s="1"/>
  <c r="C24" i="43" s="1"/>
  <c r="H27" i="6"/>
  <c r="R19" i="6"/>
  <c r="D9" i="59"/>
  <c r="C8" i="59"/>
  <c r="O46" i="36"/>
  <c r="J7" i="36" s="1"/>
  <c r="F7" i="36"/>
  <c r="H7" i="36"/>
  <c r="J65" i="40"/>
  <c r="I67" i="40"/>
  <c r="J70" i="39"/>
  <c r="I72" i="39"/>
  <c r="B3" i="67"/>
  <c r="B4" i="67"/>
  <c r="C18" i="12" l="1"/>
  <c r="C23" i="12" s="1"/>
  <c r="C26" i="73"/>
  <c r="C23" i="73"/>
  <c r="C32" i="15"/>
  <c r="C10" i="15"/>
  <c r="C5" i="15" s="1"/>
  <c r="C38" i="15" s="1"/>
  <c r="C21" i="44"/>
  <c r="C22" i="44" s="1"/>
  <c r="C28" i="44" s="1"/>
  <c r="C19" i="15"/>
  <c r="C20" i="15" s="1"/>
  <c r="C26" i="15" s="1"/>
  <c r="R27" i="6"/>
  <c r="R6" i="1"/>
  <c r="C7" i="59"/>
  <c r="D8" i="59"/>
  <c r="K70" i="39"/>
  <c r="J72" i="39"/>
  <c r="U7" i="36"/>
  <c r="AB7" i="36"/>
  <c r="T36" i="36" s="1"/>
  <c r="G36" i="36" s="1"/>
  <c r="AC7" i="36"/>
  <c r="V36" i="36" s="1"/>
  <c r="I36" i="36" s="1"/>
  <c r="W7" i="36"/>
  <c r="J67" i="40"/>
  <c r="K65" i="40"/>
  <c r="S7" i="36"/>
  <c r="AA7" i="36"/>
  <c r="R36" i="36" s="1"/>
  <c r="M21" i="15"/>
  <c r="C29" i="73" l="1"/>
  <c r="J20" i="15"/>
  <c r="R16" i="1"/>
  <c r="T7" i="59"/>
  <c r="D7" i="59"/>
  <c r="C6" i="59"/>
  <c r="R37" i="36"/>
  <c r="E36" i="36"/>
  <c r="K67" i="40"/>
  <c r="L65" i="40"/>
  <c r="G41" i="36"/>
  <c r="H41" i="36" s="1"/>
  <c r="G40" i="36"/>
  <c r="H40" i="36" s="1"/>
  <c r="I40" i="36"/>
  <c r="J40" i="36" s="1"/>
  <c r="I41" i="36"/>
  <c r="J41" i="36" s="1"/>
  <c r="L70" i="39"/>
  <c r="K72" i="39"/>
  <c r="C33" i="73" l="1"/>
  <c r="C31" i="73" s="1"/>
  <c r="C13" i="73"/>
  <c r="Q50" i="73"/>
  <c r="J19" i="73"/>
  <c r="J17" i="73" s="1"/>
  <c r="C56" i="73"/>
  <c r="C36" i="73"/>
  <c r="J14" i="73"/>
  <c r="C5" i="59"/>
  <c r="D6" i="59"/>
  <c r="L72" i="39"/>
  <c r="M70" i="39"/>
  <c r="M65" i="40"/>
  <c r="L67" i="40"/>
  <c r="E40" i="36"/>
  <c r="F40" i="36" s="1"/>
  <c r="E41" i="36"/>
  <c r="F41" i="36" s="1"/>
  <c r="C37" i="36"/>
  <c r="B3" i="36" s="1"/>
  <c r="B2" i="36" s="1"/>
  <c r="C36" i="36"/>
  <c r="Q71" i="73" l="1"/>
  <c r="J35" i="73"/>
  <c r="C55" i="73"/>
  <c r="C64" i="73" s="1"/>
  <c r="C37" i="73"/>
  <c r="C30" i="73" s="1"/>
  <c r="C39" i="73" s="1"/>
  <c r="J22" i="73"/>
  <c r="J13" i="73"/>
  <c r="J23" i="73" s="1"/>
  <c r="C63" i="73"/>
  <c r="C60" i="73"/>
  <c r="C58" i="73" s="1"/>
  <c r="T5" i="59"/>
  <c r="D5" i="59"/>
  <c r="M20" i="46" s="1"/>
  <c r="N65" i="40"/>
  <c r="N67" i="40" s="1"/>
  <c r="M67" i="40"/>
  <c r="N70" i="39"/>
  <c r="N72" i="39" s="1"/>
  <c r="M72" i="39"/>
  <c r="L51" i="73"/>
  <c r="C57" i="73" l="1"/>
  <c r="C66" i="73" s="1"/>
  <c r="C67" i="73" s="1"/>
  <c r="C70" i="73" s="1"/>
  <c r="J16" i="73"/>
  <c r="J25" i="73" s="1"/>
  <c r="Q68" i="73"/>
  <c r="C40" i="73"/>
  <c r="Q70" i="73"/>
  <c r="Q69" i="73" s="1"/>
  <c r="J39" i="73"/>
  <c r="J40" i="73" s="1"/>
  <c r="M20" i="68"/>
  <c r="J9" i="40"/>
  <c r="H9" i="40"/>
  <c r="F9" i="40"/>
  <c r="J9" i="39"/>
  <c r="H9" i="39"/>
  <c r="F9" i="39"/>
  <c r="Q66" i="73" l="1"/>
  <c r="Q76" i="73" s="1"/>
  <c r="B2" i="73"/>
  <c r="C43" i="73"/>
  <c r="J42" i="73"/>
  <c r="J43" i="73" s="1"/>
  <c r="Q48" i="73"/>
  <c r="Q54" i="73" s="1"/>
  <c r="Q57" i="73"/>
  <c r="Q63" i="73" s="1"/>
  <c r="C46" i="73"/>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0" i="72" l="1"/>
  <c r="B3" i="73"/>
  <c r="B12" i="75" s="1"/>
  <c r="I12" i="75" s="1"/>
  <c r="R45" i="40"/>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c r="B2" i="39" s="1"/>
  <c r="B5" i="39" l="1"/>
  <c r="B4" i="39"/>
  <c r="B3" i="39"/>
  <c r="B5" i="40"/>
  <c r="B4" i="40"/>
  <c r="B3" i="40"/>
  <c r="F21" i="43" l="1"/>
  <c r="F26" i="12"/>
  <c r="F26" i="44"/>
  <c r="F24" i="15"/>
  <c r="C24" i="15" l="1"/>
  <c r="C23" i="15"/>
  <c r="C27" i="12"/>
  <c r="D26" i="12" s="1"/>
  <c r="C32" i="12" s="1"/>
  <c r="D30" i="12" s="1"/>
  <c r="C26" i="44"/>
  <c r="C25" i="44"/>
  <c r="C23" i="43"/>
  <c r="D21" i="43" s="1"/>
  <c r="C22" i="43"/>
  <c r="C21" i="43" s="1"/>
  <c r="C28" i="43" l="1"/>
  <c r="C30" i="43" s="1"/>
  <c r="C32" i="43" s="1"/>
  <c r="B2" i="43" s="1"/>
  <c r="B5" i="43" s="1"/>
  <c r="C31" i="44"/>
  <c r="Q51" i="44" s="1"/>
  <c r="C29" i="15"/>
  <c r="C13" i="15" s="1"/>
  <c r="C56" i="15" l="1"/>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43"/>
  <c r="B3" i="43"/>
  <c r="C37" i="15"/>
  <c r="Q71" i="15"/>
  <c r="J35" i="15"/>
  <c r="C55" i="15"/>
  <c r="C64" i="15" s="1"/>
  <c r="J22" i="15"/>
  <c r="C30" i="15" l="1"/>
  <c r="C39" i="15" s="1"/>
  <c r="Q70" i="15" s="1"/>
  <c r="Q69" i="15" s="1"/>
  <c r="C63" i="15"/>
  <c r="C57" i="15" s="1"/>
  <c r="C66" i="15" s="1"/>
  <c r="C67" i="15" s="1"/>
  <c r="C70" i="15" s="1"/>
  <c r="C39" i="44"/>
  <c r="C32" i="44" s="1"/>
  <c r="C42" i="44" s="1"/>
  <c r="C43" i="44"/>
  <c r="J15" i="44"/>
  <c r="J25" i="44" s="1"/>
  <c r="J18" i="44" s="1"/>
  <c r="J27" i="44" s="1"/>
  <c r="J16" i="15"/>
  <c r="J25" i="15" s="1"/>
  <c r="L51" i="15"/>
  <c r="C40" i="15" l="1"/>
  <c r="Q57" i="15" s="1"/>
  <c r="J39" i="15"/>
  <c r="J40" i="15" s="1"/>
  <c r="L57" i="15"/>
  <c r="L60" i="15" s="1"/>
  <c r="Q68" i="15"/>
  <c r="C44" i="44"/>
  <c r="C45" i="44" s="1"/>
  <c r="B2" i="44" s="1"/>
  <c r="Q71" i="44"/>
  <c r="Q70" i="44" s="1"/>
  <c r="C46" i="15"/>
  <c r="C43" i="15" l="1"/>
  <c r="Q48" i="15"/>
  <c r="Q54" i="15" s="1"/>
  <c r="J42" i="15"/>
  <c r="J43" i="15" s="1"/>
  <c r="Q66" i="15"/>
  <c r="Q67" i="15"/>
  <c r="L46" i="15"/>
  <c r="B2" i="15" s="1"/>
  <c r="C6" i="72" s="1"/>
  <c r="Q58" i="15"/>
  <c r="L52" i="44"/>
  <c r="L58" i="44" s="1"/>
  <c r="L61" i="44" s="1"/>
  <c r="Q63" i="15"/>
  <c r="B3" i="44"/>
  <c r="B5" i="44"/>
  <c r="B4" i="44"/>
  <c r="C29" i="72" l="1"/>
  <c r="C24" i="72"/>
  <c r="B3" i="15"/>
  <c r="B11" i="75" s="1"/>
  <c r="I11" i="75" s="1"/>
  <c r="C10" i="12"/>
  <c r="C6" i="12" s="1"/>
  <c r="Q76" i="15"/>
  <c r="Q69" i="44"/>
  <c r="Q59" i="44"/>
  <c r="Q64" i="44" s="1"/>
  <c r="Q68" i="44"/>
  <c r="Q77" i="44" s="1"/>
  <c r="C35" i="72" l="1"/>
  <c r="C33" i="72" s="1"/>
  <c r="C28" i="72"/>
  <c r="C26" i="72" s="1"/>
  <c r="C31" i="72" s="1"/>
  <c r="C30" i="72" s="1"/>
  <c r="C24" i="12"/>
  <c r="C29" i="12"/>
  <c r="C36" i="72" l="1"/>
  <c r="B2" i="72" s="1"/>
  <c r="C35" i="12"/>
  <c r="C33" i="12" s="1"/>
  <c r="C28" i="12"/>
  <c r="C26" i="12" s="1"/>
  <c r="C31" i="12" s="1"/>
  <c r="C30" i="12" s="1"/>
  <c r="B4" i="72"/>
  <c r="B3" i="72"/>
  <c r="J12" i="75" l="1"/>
  <c r="C36" i="12"/>
  <c r="B2" i="12" s="1"/>
  <c r="B5" i="72"/>
  <c r="B5" i="12"/>
  <c r="B4" i="12"/>
  <c r="B3" i="12"/>
  <c r="C19" i="9"/>
  <c r="D18" i="75" l="1"/>
  <c r="J18" i="75" s="1"/>
  <c r="K12" i="75"/>
  <c r="J15" i="75"/>
  <c r="J11" i="75"/>
  <c r="G19" i="9"/>
  <c r="N43" i="9" s="1"/>
  <c r="L43" i="9"/>
  <c r="D22" i="9"/>
  <c r="C21" i="9"/>
  <c r="C20" i="9"/>
  <c r="G20" i="9" l="1"/>
  <c r="G21" i="9"/>
  <c r="D21" i="75"/>
  <c r="J21" i="75" s="1"/>
  <c r="K15" i="75"/>
  <c r="I18" i="75"/>
  <c r="I22" i="75" s="1"/>
  <c r="K18" i="75"/>
  <c r="K29" i="75" s="1"/>
  <c r="D17" i="75"/>
  <c r="J17" i="75" s="1"/>
  <c r="K17" i="75" s="1"/>
  <c r="K11" i="75"/>
  <c r="J14" i="75"/>
  <c r="G22" i="9"/>
  <c r="C32" i="9"/>
  <c r="O38" i="9" s="1"/>
  <c r="I23" i="75" l="1"/>
  <c r="I25" i="75" s="1"/>
  <c r="K21" i="75"/>
  <c r="I21" i="75"/>
  <c r="D20" i="75"/>
  <c r="J20" i="75" s="1"/>
  <c r="K20" i="75" s="1"/>
  <c r="K14" i="75"/>
  <c r="C33" i="9"/>
  <c r="D42" i="9" s="1"/>
  <c r="Q5" i="54" s="1"/>
  <c r="B47" i="63" s="1"/>
  <c r="O43" i="9"/>
  <c r="C34" i="9"/>
  <c r="M38" i="9" s="1"/>
  <c r="K27" i="9" s="1"/>
  <c r="C42" i="9"/>
  <c r="R5" i="54" s="1"/>
  <c r="B48" i="63" s="1"/>
  <c r="C35" i="9"/>
  <c r="F42" i="9" s="1"/>
  <c r="D14" i="66"/>
  <c r="K26" i="9"/>
  <c r="K25" i="9"/>
  <c r="N38" i="9" l="1"/>
  <c r="K28" i="9" s="1"/>
  <c r="E42" i="9"/>
  <c r="P5" i="54" s="1"/>
  <c r="B46" i="63" s="1"/>
  <c r="N68" i="9"/>
  <c r="D63" i="9"/>
  <c r="C96" i="9" s="1"/>
  <c r="C91" i="9" s="1"/>
  <c r="F14" i="66"/>
  <c r="B5" i="66"/>
  <c r="E14" i="66"/>
  <c r="D70" i="9" l="1"/>
  <c r="D71" i="9"/>
  <c r="D66" i="9" s="1"/>
  <c r="N72" i="9" s="1"/>
  <c r="C103" i="9"/>
  <c r="C90" i="9"/>
  <c r="C111" i="9"/>
  <c r="C104" i="9" s="1"/>
  <c r="C113" i="9" s="1"/>
  <c r="D73" i="9"/>
  <c r="N73" i="9" s="1"/>
  <c r="C82" i="9"/>
  <c r="C81" i="9" s="1"/>
  <c r="C85" i="9" s="1"/>
  <c r="C86" i="9" s="1"/>
  <c r="D72" i="9" s="1"/>
  <c r="C97" i="9"/>
  <c r="D5" i="66"/>
  <c r="C5" i="66"/>
  <c r="C114" i="9" l="1"/>
  <c r="E114" i="9" s="1"/>
  <c r="E115" i="9" s="1"/>
  <c r="C98" i="9"/>
  <c r="E98" i="9" s="1"/>
  <c r="E99" i="9" s="1"/>
  <c r="C115" i="9" l="1"/>
  <c r="D76" i="9" s="1"/>
  <c r="D74" i="9" s="1"/>
  <c r="N74" i="9" s="1"/>
  <c r="O77" i="9" s="1"/>
  <c r="O79" i="9" s="1"/>
  <c r="O81" i="9" s="1"/>
  <c r="C99" i="9"/>
  <c r="O80" i="9" l="1"/>
  <c r="O78" i="9"/>
  <c r="Q7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A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A00-000002000000}">
      <text>
        <r>
          <rPr>
            <sz val="11"/>
            <color indexed="81"/>
            <rFont val="宋体"/>
            <family val="3"/>
            <charset val="134"/>
          </rPr>
          <t xml:space="preserve">录入层数，将对应的结果录入至左侧相应层的楼层修正系数单元格中
</t>
        </r>
      </text>
    </comment>
    <comment ref="Z9" authorId="0" shapeId="0" xr:uid="{00000000-0006-0000-1A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A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A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A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A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A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A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A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A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A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A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A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A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A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A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A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A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A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A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A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A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A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A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A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A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A00-00001C000000}">
      <text>
        <r>
          <rPr>
            <sz val="10"/>
            <color indexed="81"/>
            <rFont val="宋体"/>
            <family val="3"/>
            <charset val="134"/>
          </rPr>
          <t xml:space="preserve">需在此处填写剩余土地年限
</t>
        </r>
      </text>
    </comment>
    <comment ref="C99" authorId="0" shapeId="0" xr:uid="{00000000-0006-0000-1A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A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A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A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A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A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A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A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A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A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A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A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A00-000029000000}">
      <text>
        <r>
          <rPr>
            <b/>
            <sz val="9"/>
            <color indexed="81"/>
            <rFont val="宋体"/>
            <family val="3"/>
            <charset val="134"/>
          </rPr>
          <t xml:space="preserve">容积率
</t>
        </r>
      </text>
    </comment>
    <comment ref="D101" authorId="0" shapeId="0" xr:uid="{00000000-0006-0000-1A00-00002A000000}">
      <text>
        <r>
          <rPr>
            <b/>
            <sz val="9"/>
            <color indexed="81"/>
            <rFont val="宋体"/>
            <family val="3"/>
            <charset val="134"/>
          </rPr>
          <t xml:space="preserve">容积率
</t>
        </r>
      </text>
    </comment>
    <comment ref="E101" authorId="0" shapeId="0" xr:uid="{00000000-0006-0000-1A00-00002B000000}">
      <text>
        <r>
          <rPr>
            <b/>
            <sz val="9"/>
            <color indexed="81"/>
            <rFont val="宋体"/>
            <family val="3"/>
            <charset val="134"/>
          </rPr>
          <t xml:space="preserve">容积率
</t>
        </r>
      </text>
    </comment>
    <comment ref="F101" authorId="0" shapeId="0" xr:uid="{00000000-0006-0000-1A00-00002C000000}">
      <text>
        <r>
          <rPr>
            <b/>
            <sz val="9"/>
            <color indexed="81"/>
            <rFont val="宋体"/>
            <family val="3"/>
            <charset val="134"/>
          </rPr>
          <t xml:space="preserve">容积率
</t>
        </r>
      </text>
    </comment>
    <comment ref="G101" authorId="0" shapeId="0" xr:uid="{00000000-0006-0000-1A00-00002D000000}">
      <text>
        <r>
          <rPr>
            <b/>
            <sz val="9"/>
            <color indexed="81"/>
            <rFont val="宋体"/>
            <family val="3"/>
            <charset val="134"/>
          </rPr>
          <t xml:space="preserve">容积率
</t>
        </r>
      </text>
    </comment>
    <comment ref="H101" authorId="0" shapeId="0" xr:uid="{00000000-0006-0000-1A00-00002E000000}">
      <text>
        <r>
          <rPr>
            <b/>
            <sz val="9"/>
            <color indexed="81"/>
            <rFont val="宋体"/>
            <family val="3"/>
            <charset val="134"/>
          </rPr>
          <t xml:space="preserve">容积率
</t>
        </r>
      </text>
    </comment>
    <comment ref="I101" authorId="0" shapeId="0" xr:uid="{00000000-0006-0000-1A00-00002F000000}">
      <text>
        <r>
          <rPr>
            <b/>
            <sz val="9"/>
            <color indexed="81"/>
            <rFont val="宋体"/>
            <family val="3"/>
            <charset val="134"/>
          </rPr>
          <t xml:space="preserve">容积率
</t>
        </r>
      </text>
    </comment>
    <comment ref="J101" authorId="0" shapeId="0" xr:uid="{00000000-0006-0000-1A00-000030000000}">
      <text>
        <r>
          <rPr>
            <b/>
            <sz val="9"/>
            <color indexed="81"/>
            <rFont val="宋体"/>
            <family val="3"/>
            <charset val="134"/>
          </rPr>
          <t xml:space="preserve">容积率
</t>
        </r>
      </text>
    </comment>
    <comment ref="K101" authorId="0" shapeId="0" xr:uid="{00000000-0006-0000-1A00-000031000000}">
      <text>
        <r>
          <rPr>
            <b/>
            <sz val="9"/>
            <color indexed="81"/>
            <rFont val="宋体"/>
            <family val="3"/>
            <charset val="134"/>
          </rPr>
          <t xml:space="preserve">容积率
</t>
        </r>
      </text>
    </comment>
    <comment ref="L101" authorId="0" shapeId="0" xr:uid="{00000000-0006-0000-1A00-000032000000}">
      <text>
        <r>
          <rPr>
            <b/>
            <sz val="9"/>
            <color indexed="81"/>
            <rFont val="宋体"/>
            <family val="3"/>
            <charset val="134"/>
          </rPr>
          <t xml:space="preserve">容积率
</t>
        </r>
      </text>
    </comment>
    <comment ref="M101" authorId="0" shapeId="0" xr:uid="{00000000-0006-0000-1A00-000033000000}">
      <text>
        <r>
          <rPr>
            <b/>
            <sz val="9"/>
            <color indexed="81"/>
            <rFont val="宋体"/>
            <family val="3"/>
            <charset val="134"/>
          </rPr>
          <t xml:space="preserve">容积率
</t>
        </r>
      </text>
    </comment>
    <comment ref="N101" authorId="0" shapeId="0" xr:uid="{00000000-0006-0000-1A00-000034000000}">
      <text>
        <r>
          <rPr>
            <b/>
            <sz val="9"/>
            <color indexed="81"/>
            <rFont val="宋体"/>
            <family val="3"/>
            <charset val="134"/>
          </rPr>
          <t xml:space="preserve">容积率
</t>
        </r>
      </text>
    </comment>
    <comment ref="C108" authorId="0" shapeId="0" xr:uid="{00000000-0006-0000-1A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A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A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A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A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A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A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A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A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A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A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A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A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D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D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6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6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900-000004000000}">
      <text>
        <r>
          <rPr>
            <b/>
            <sz val="12"/>
            <color indexed="81"/>
            <rFont val="宋体"/>
            <family val="3"/>
            <charset val="134"/>
          </rPr>
          <t>所属项目品质或
物业管理</t>
        </r>
      </text>
    </comment>
    <comment ref="B90" authorId="0" shapeId="0" xr:uid="{00000000-0006-0000-2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A00-000004000000}">
      <text>
        <r>
          <rPr>
            <b/>
            <sz val="12"/>
            <color indexed="81"/>
            <rFont val="宋体"/>
            <family val="3"/>
            <charset val="134"/>
          </rPr>
          <t>所属项目品质或
物业管理</t>
        </r>
      </text>
    </comment>
    <comment ref="B86" authorId="0" shapeId="0" xr:uid="{00000000-0006-0000-2A00-000005000000}">
      <text>
        <r>
          <rPr>
            <b/>
            <sz val="12"/>
            <color indexed="81"/>
            <rFont val="宋体"/>
            <family val="3"/>
            <charset val="134"/>
          </rPr>
          <t>所属项目品质</t>
        </r>
      </text>
    </comment>
    <comment ref="B89" authorId="0" shapeId="0" xr:uid="{00000000-0006-0000-2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<sst xmlns="http://schemas.openxmlformats.org/spreadsheetml/2006/main" count="7949" uniqueCount="3152">
  <si>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</si>
  <si>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</si>
  <si>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</si>
  <si>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</si>
  <si>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</si>
  <si>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</si>
  <si>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</si>
  <si>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</si>
  <si>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</si>
  <si>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</si>
  <si>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</si>
  <si>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</si>
  <si>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</si>
  <si>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</si>
  <si>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</si>
  <si>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</si>
  <si>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</si>
  <si>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</si>
  <si>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</si>
  <si>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</si>
  <si>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</si>
  <si>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</si>
  <si>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</si>
  <si>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</si>
  <si>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</si>
  <si>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</si>
  <si>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</si>
  <si>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</si>
  <si>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</si>
  <si>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</si>
  <si>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</si>
  <si>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</si>
  <si>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</si>
  <si>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</si>
  <si>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</si>
  <si>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</si>
  <si>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</si>
  <si>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</si>
  <si>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</si>
  <si>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</si>
  <si>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</si>
  <si>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</si>
  <si>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</si>
  <si>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</si>
  <si>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</si>
  <si>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</si>
  <si>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</si>
  <si>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</si>
  <si>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</si>
  <si>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</si>
  <si>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</si>
  <si>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</si>
  <si>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</si>
  <si>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</si>
  <si>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</si>
  <si>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</si>
  <si>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</si>
  <si>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</si>
  <si>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</si>
  <si>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</si>
  <si>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</si>
  <si>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</si>
  <si>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</si>
  <si>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</si>
  <si>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</si>
  <si>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</si>
  <si>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</si>
  <si>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</si>
  <si>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</si>
  <si>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</si>
  <si>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</si>
  <si>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</si>
  <si>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</si>
  <si>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</si>
  <si>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</si>
  <si>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</si>
  <si>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</si>
  <si>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</si>
  <si>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</si>
  <si>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</si>
  <si>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</si>
  <si>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</si>
  <si>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</si>
  <si>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</si>
  <si>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</si>
  <si>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</si>
  <si>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</si>
  <si>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</si>
  <si>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</si>
  <si>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</si>
  <si>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</si>
  <si>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</si>
  <si>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</si>
  <si>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</si>
  <si>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</si>
  <si>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</si>
  <si>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</si>
  <si>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</si>
  <si>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</si>
  <si>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</si>
  <si>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</si>
  <si>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</si>
  <si>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</si>
  <si>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</si>
  <si>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</si>
  <si>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</si>
  <si>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</si>
  <si>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</si>
  <si>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</si>
  <si>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</si>
  <si>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</si>
  <si>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</si>
  <si>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</si>
  <si>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</si>
  <si>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</si>
  <si>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</si>
  <si>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</si>
  <si>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</si>
  <si>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</si>
  <si>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</si>
  <si>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</si>
  <si>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</si>
  <si>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</si>
  <si>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</si>
  <si>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</si>
  <si>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</si>
  <si>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</si>
  <si>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</si>
  <si>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</si>
  <si>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</si>
  <si>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</si>
  <si>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</si>
  <si>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</si>
  <si>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</si>
  <si>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</si>
  <si>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</si>
  <si>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</si>
  <si>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</si>
  <si>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</si>
  <si>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</si>
  <si>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</si>
  <si>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</si>
  <si>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</si>
  <si>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</si>
  <si>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</si>
  <si>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</si>
  <si>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</si>
  <si>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</si>
  <si>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</si>
  <si>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</si>
  <si>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</si>
  <si>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</si>
  <si>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</si>
  <si>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</si>
  <si>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</si>
  <si>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</si>
  <si>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</si>
  <si>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</si>
  <si>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</si>
  <si>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</si>
  <si>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</si>
  <si>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</si>
  <si>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</si>
  <si>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</si>
  <si>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</si>
  <si>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</si>
  <si>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</si>
  <si>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</si>
  <si>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</si>
  <si>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</si>
  <si>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</si>
  <si>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</si>
  <si>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</si>
  <si>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</si>
  <si>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</si>
  <si>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</si>
  <si>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</si>
  <si>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</si>
  <si>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</si>
  <si>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</si>
  <si>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</si>
  <si>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</si>
  <si>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</si>
  <si>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</si>
  <si>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</si>
  <si>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</si>
  <si>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</si>
  <si>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</si>
  <si>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</si>
  <si>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</si>
  <si>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</si>
  <si>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</si>
  <si>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</si>
  <si>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</si>
  <si>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</si>
  <si>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</si>
  <si>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</si>
  <si>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</si>
  <si>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</si>
  <si>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</si>
  <si>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</si>
  <si>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</si>
  <si>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</si>
  <si>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</si>
  <si>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</si>
  <si>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</si>
  <si>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</si>
  <si>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</si>
  <si>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</si>
  <si>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</si>
  <si>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</si>
  <si>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</si>
  <si>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</si>
  <si>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</si>
  <si>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</si>
  <si>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</si>
  <si>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</si>
  <si>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</si>
  <si>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</si>
  <si>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</si>
  <si>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</si>
  <si>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</si>
  <si>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</si>
  <si>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</si>
  <si>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</si>
  <si>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</si>
  <si>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</si>
  <si>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</si>
  <si>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</si>
  <si>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</si>
  <si>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</si>
  <si>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</si>
  <si>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</si>
  <si>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</si>
  <si>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</si>
  <si>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</si>
  <si>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</si>
  <si>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</si>
  <si>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</si>
  <si>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</si>
  <si>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</si>
  <si>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</si>
  <si>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</si>
  <si>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</si>
  <si>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</si>
  <si>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</si>
  <si>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</si>
  <si>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</si>
  <si>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</si>
  <si>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</si>
  <si>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</si>
  <si>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</si>
  <si>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</si>
  <si>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</si>
  <si>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</si>
  <si>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</si>
  <si>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</si>
  <si>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</si>
  <si>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</si>
  <si>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</si>
  <si>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</si>
  <si>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</si>
  <si>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</si>
  <si>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</si>
  <si>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</si>
  <si>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</si>
  <si>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</si>
  <si>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</si>
  <si>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</si>
  <si>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</si>
  <si>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</si>
  <si>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</si>
  <si>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</si>
  <si>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</si>
  <si>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</si>
  <si>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</si>
  <si>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</si>
  <si>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</si>
  <si>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</si>
  <si>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</si>
  <si>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</si>
  <si>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</si>
  <si>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</si>
  <si>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</si>
  <si>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</si>
  <si>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</si>
  <si>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</si>
  <si>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</si>
  <si>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</si>
  <si>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</si>
  <si>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</si>
  <si>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</si>
  <si>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</si>
  <si>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</si>
  <si>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</si>
  <si>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</si>
  <si>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</si>
  <si>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</si>
  <si>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</si>
  <si>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</si>
  <si>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</si>
  <si>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</si>
  <si>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</si>
  <si>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</si>
  <si>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</si>
  <si>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</si>
  <si>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</si>
  <si>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</si>
  <si>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</si>
  <si>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</si>
  <si>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</si>
  <si>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</si>
  <si>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</si>
  <si>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</si>
  <si>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</si>
  <si>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</si>
  <si>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</si>
  <si>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</si>
  <si>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</si>
  <si>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</si>
  <si>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</si>
  <si>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</si>
  <si>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</si>
  <si>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</si>
  <si>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</si>
  <si>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</si>
  <si>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</si>
  <si>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</si>
  <si>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</si>
  <si>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</si>
  <si>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</si>
  <si>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</si>
  <si>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</si>
  <si>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</si>
  <si>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</si>
  <si>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</si>
  <si>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</si>
  <si>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</si>
  <si>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</si>
  <si>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</si>
  <si>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</si>
  <si>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</si>
  <si>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</si>
  <si>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</si>
  <si>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</si>
  <si>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</si>
  <si>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</si>
  <si>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</si>
  <si>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</si>
  <si>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</si>
  <si>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</si>
  <si>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</si>
  <si>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</si>
  <si>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</si>
  <si>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</si>
  <si>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</si>
  <si>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</si>
  <si>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</si>
  <si>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</si>
  <si>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</si>
  <si>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</si>
  <si>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</si>
  <si>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</si>
  <si>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</si>
  <si>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</si>
  <si>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</si>
  <si>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</si>
  <si>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</si>
  <si>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</si>
  <si>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</si>
  <si>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</si>
  <si>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</si>
  <si>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</si>
  <si>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</si>
  <si>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</si>
  <si>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</si>
  <si>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</si>
  <si>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</si>
  <si>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</si>
  <si>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</si>
  <si>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</si>
  <si>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</si>
  <si>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</si>
  <si>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</si>
  <si>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</si>
  <si>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</si>
  <si>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</si>
  <si>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</si>
  <si>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</si>
  <si>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</si>
  <si>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</si>
  <si>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</si>
  <si>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</si>
  <si>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</si>
  <si>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</si>
  <si>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</si>
  <si>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</si>
  <si>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</si>
  <si>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</si>
  <si>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</si>
  <si>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</si>
  <si>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</si>
  <si>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</si>
  <si>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</si>
  <si>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</si>
  <si>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</si>
  <si>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</si>
  <si>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</si>
  <si>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</si>
  <si>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</si>
  <si>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</si>
  <si>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</si>
  <si>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</si>
  <si>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</si>
  <si>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</si>
  <si>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</si>
  <si>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</si>
  <si>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</si>
  <si>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</si>
  <si>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</si>
  <si>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</si>
  <si>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</si>
  <si>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</si>
  <si>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</si>
  <si>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</si>
  <si>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</si>
  <si>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</si>
  <si>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</si>
  <si>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</si>
  <si>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</si>
  <si>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</si>
  <si>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</si>
  <si>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</si>
  <si>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</si>
  <si>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</si>
  <si>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</si>
  <si>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</si>
  <si>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</si>
  <si>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</si>
  <si>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</si>
  <si>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</si>
  <si>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</si>
  <si>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</si>
  <si>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</si>
  <si>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</si>
  <si>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</si>
  <si>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</si>
  <si>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</si>
  <si>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</si>
  <si>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</si>
  <si>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</si>
  <si>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</si>
  <si>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</si>
  <si>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</si>
  <si>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</si>
  <si>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</si>
  <si>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</si>
  <si>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</si>
  <si>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</si>
  <si>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</si>
  <si>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</si>
  <si>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</si>
  <si>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</si>
  <si>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</si>
  <si>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</si>
  <si>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</si>
  <si>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</si>
  <si>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</si>
  <si>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</si>
  <si>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</si>
  <si>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</si>
  <si>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</si>
  <si>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</si>
  <si>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</si>
  <si>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</si>
  <si>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</si>
  <si>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</si>
  <si>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</si>
  <si>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</si>
  <si>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</si>
  <si>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</si>
  <si>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</si>
  <si>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</si>
  <si>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</si>
  <si>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</si>
  <si>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</si>
  <si>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</si>
  <si>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</si>
  <si>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</si>
  <si>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</si>
  <si>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</si>
  <si>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</si>
  <si>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</si>
  <si>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</si>
  <si>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</si>
  <si>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</si>
  <si>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</si>
  <si>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</si>
  <si>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</si>
  <si>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</si>
  <si>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</si>
  <si>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</si>
  <si>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</si>
  <si>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</si>
  <si>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</si>
  <si>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</si>
  <si>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</si>
  <si>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</si>
  <si>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</si>
  <si>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</si>
  <si>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</si>
  <si>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</si>
  <si>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</si>
  <si>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</si>
  <si>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</si>
  <si>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</si>
  <si>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</si>
  <si>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</si>
  <si>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</si>
  <si>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</si>
  <si>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</si>
  <si>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</si>
  <si>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</si>
  <si>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</si>
  <si>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</si>
  <si>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</si>
  <si>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</si>
  <si>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</si>
  <si>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</si>
  <si>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</si>
  <si>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</si>
  <si>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</si>
  <si>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</si>
  <si>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</si>
  <si>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</si>
  <si>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</si>
  <si>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</si>
  <si>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</si>
  <si>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</si>
  <si>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</si>
  <si>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</si>
  <si>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</si>
  <si>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</si>
  <si>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</si>
  <si>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</si>
  <si>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</si>
  <si>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</si>
  <si>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</si>
  <si>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</si>
  <si>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</si>
  <si>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</si>
  <si>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</si>
  <si>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</si>
  <si>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</si>
  <si>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</si>
  <si>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</si>
  <si>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</si>
  <si>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</si>
  <si>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</si>
  <si>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</si>
  <si>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</si>
  <si>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</si>
  <si>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</si>
  <si>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</si>
  <si>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</si>
  <si>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</si>
  <si>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</si>
  <si>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</si>
  <si>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</si>
  <si>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</si>
  <si>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</si>
  <si>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</si>
  <si>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</si>
  <si>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</si>
  <si>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</si>
  <si>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</si>
  <si>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</si>
  <si>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</si>
  <si>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</si>
  <si>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</si>
  <si>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</si>
  <si>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</si>
  <si>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</si>
  <si>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</si>
  <si>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</si>
  <si>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</si>
  <si>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</si>
  <si>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</si>
  <si>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</si>
  <si>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</si>
  <si>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</si>
  <si>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</si>
  <si>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</si>
  <si>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</si>
  <si>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</si>
  <si>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</si>
  <si>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</si>
  <si>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</si>
  <si>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</si>
  <si>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</si>
  <si>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</si>
  <si>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</si>
  <si>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</si>
  <si>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</si>
  <si>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</si>
  <si>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</si>
  <si>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</si>
  <si>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</si>
  <si>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</si>
  <si>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</si>
  <si>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</si>
  <si>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</si>
  <si>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</si>
  <si>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</si>
  <si>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</si>
  <si>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</si>
  <si>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</si>
  <si>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</si>
  <si>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</si>
  <si>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</si>
  <si>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</si>
  <si>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</si>
  <si>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</si>
  <si>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</si>
  <si>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</si>
  <si>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</si>
  <si>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</si>
  <si>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</si>
  <si>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</si>
  <si>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</si>
  <si>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</si>
  <si>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</si>
  <si>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</si>
  <si>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</si>
  <si>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</si>
  <si>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</si>
  <si>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</si>
  <si>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</si>
  <si>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</si>
  <si>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</si>
  <si>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</si>
  <si>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</si>
  <si>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</si>
  <si>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</si>
  <si>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</si>
  <si>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</si>
  <si>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</si>
  <si>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</si>
  <si>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</si>
  <si>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</si>
  <si>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</si>
  <si>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</si>
  <si>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</si>
  <si>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</si>
  <si>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</si>
  <si>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</si>
  <si>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</si>
  <si>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</si>
  <si>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</si>
  <si>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</si>
  <si>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</si>
  <si>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</si>
  <si>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</si>
  <si>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</si>
  <si>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</si>
  <si>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</si>
  <si>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</si>
  <si>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</si>
  <si>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</si>
  <si>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</si>
  <si>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</si>
  <si>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</si>
  <si>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</si>
  <si>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</si>
  <si>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</si>
  <si>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</si>
  <si>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</si>
  <si>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</si>
  <si>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</si>
  <si>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</si>
  <si>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</si>
  <si>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</si>
  <si>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</si>
  <si>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</si>
  <si>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</si>
  <si>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</si>
  <si>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</si>
  <si>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</si>
  <si>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</si>
  <si>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</si>
  <si>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</si>
  <si>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</si>
  <si>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</si>
  <si>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</si>
  <si>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</si>
  <si>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</si>
  <si>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</si>
  <si>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</si>
  <si>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</si>
  <si>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</si>
  <si>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</si>
  <si>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</si>
  <si>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</si>
  <si>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</si>
  <si>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</si>
  <si>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</si>
  <si>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</si>
  <si>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</si>
  <si>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</si>
  <si>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</si>
  <si>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</si>
  <si>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</si>
  <si>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</si>
  <si>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</si>
  <si>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</si>
  <si>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</si>
  <si>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</si>
  <si>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</si>
  <si>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</si>
  <si>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</si>
  <si>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</si>
  <si>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</si>
  <si>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</si>
  <si>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</si>
  <si>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</si>
  <si>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</si>
  <si>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</si>
  <si>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</si>
  <si>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</si>
  <si>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</si>
  <si>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</si>
  <si>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</si>
  <si>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</si>
  <si>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</si>
  <si>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</si>
  <si>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</si>
  <si>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</si>
  <si>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</si>
  <si>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</si>
  <si>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</si>
  <si>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</si>
  <si>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</si>
  <si>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</si>
  <si>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</si>
  <si>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</si>
  <si>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</si>
  <si>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</si>
  <si>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</si>
  <si>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</si>
  <si>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</si>
  <si>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</si>
  <si>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</si>
  <si>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</si>
  <si>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</si>
  <si>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</si>
  <si>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</si>
  <si>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</si>
  <si>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</si>
  <si>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</si>
  <si>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</si>
  <si>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</si>
  <si>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</si>
  <si>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</si>
  <si>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</si>
  <si>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</si>
  <si>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</si>
  <si>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</si>
  <si>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</si>
  <si>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</si>
  <si>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</si>
  <si>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</si>
  <si>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</si>
  <si>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</si>
  <si>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</si>
  <si>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</si>
  <si>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</si>
  <si>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</si>
  <si>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</si>
  <si>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</si>
  <si>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</si>
  <si>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</si>
  <si>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</si>
  <si>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</si>
  <si>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</si>
  <si>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</si>
  <si>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</si>
  <si>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</si>
  <si>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</si>
  <si>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</si>
  <si>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</si>
  <si>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</si>
  <si>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</si>
  <si>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</si>
  <si>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</si>
  <si>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</si>
  <si>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</si>
  <si>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</si>
  <si>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</si>
  <si>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</si>
  <si>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</si>
  <si>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</si>
  <si>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</si>
  <si>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</si>
  <si>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</si>
  <si>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</si>
  <si>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</si>
  <si>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</si>
  <si>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</si>
  <si>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</si>
  <si>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</si>
  <si>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</si>
  <si>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</si>
  <si>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</si>
  <si>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</si>
  <si>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</si>
  <si>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</si>
  <si>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</si>
  <si>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</si>
  <si>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</si>
  <si>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</si>
  <si>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</si>
  <si>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</si>
  <si>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</si>
  <si>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</si>
  <si>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</si>
  <si>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</si>
  <si>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</si>
  <si>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</si>
  <si>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</si>
  <si>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</si>
  <si>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</si>
  <si>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</si>
  <si>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</si>
  <si>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</si>
  <si>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</si>
  <si>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</si>
  <si>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</si>
  <si>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</si>
  <si>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</si>
  <si>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</si>
  <si>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</si>
  <si>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</si>
  <si>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</si>
  <si>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</si>
  <si>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</si>
  <si>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</si>
  <si>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</si>
  <si>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</si>
  <si>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</si>
  <si>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</si>
  <si>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</si>
  <si>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</si>
  <si>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</si>
  <si>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</si>
  <si>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</si>
  <si>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</si>
  <si>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</si>
  <si>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</si>
  <si>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</si>
  <si>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</si>
  <si>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</si>
  <si>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</si>
  <si>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</si>
  <si>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</si>
  <si>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</si>
  <si>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</si>
  <si>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</si>
  <si>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</si>
  <si>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</si>
  <si>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</si>
  <si>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</si>
  <si>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</si>
  <si>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</si>
  <si>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</si>
  <si>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</si>
  <si>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</si>
  <si>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</si>
  <si>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</si>
  <si>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</si>
  <si>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</si>
  <si>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</si>
  <si>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</si>
  <si>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</si>
  <si>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</si>
  <si>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</si>
  <si>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</si>
  <si>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</si>
  <si>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</si>
  <si>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</si>
  <si>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</si>
  <si>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</si>
  <si>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</si>
  <si>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</si>
  <si>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</si>
  <si>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</si>
  <si>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</si>
  <si>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</si>
  <si>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</si>
  <si>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</si>
  <si>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</si>
  <si>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</si>
  <si>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</si>
  <si>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</si>
  <si>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</si>
  <si>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</si>
  <si>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</si>
  <si>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</si>
  <si>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</si>
  <si>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</si>
  <si>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</si>
  <si>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</si>
  <si>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</si>
  <si>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</si>
  <si>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</si>
  <si>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</si>
  <si>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</si>
  <si>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</si>
  <si>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</si>
  <si>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</si>
  <si>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</si>
  <si>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</si>
  <si>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</si>
  <si>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</si>
  <si>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</si>
  <si>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</si>
  <si>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</si>
  <si>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</si>
  <si>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</si>
  <si>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</si>
  <si>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</si>
  <si>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</si>
  <si>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</si>
  <si>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</si>
  <si>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</si>
  <si>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</si>
  <si>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</si>
  <si>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</si>
  <si>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</si>
  <si>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</si>
  <si>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</si>
  <si>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</si>
  <si>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</si>
  <si>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</si>
  <si>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</si>
  <si>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</si>
  <si>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</si>
  <si>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</si>
  <si>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</si>
  <si>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</si>
  <si>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</si>
  <si>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</si>
  <si>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</si>
  <si>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</si>
  <si>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</si>
  <si>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</si>
  <si>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</si>
  <si>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</si>
  <si>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</si>
  <si>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</si>
  <si>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</si>
  <si>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</si>
  <si>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</si>
  <si>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</si>
  <si>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</si>
  <si>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</si>
  <si>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</si>
  <si>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</si>
  <si>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</si>
  <si>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</si>
  <si>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</si>
  <si>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</si>
  <si>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</si>
  <si>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</si>
  <si>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</si>
  <si>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</si>
  <si>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</si>
  <si>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</si>
  <si>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</si>
  <si>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</si>
  <si>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</si>
  <si>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</si>
  <si>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</si>
  <si>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</si>
  <si>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</si>
  <si>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</si>
  <si>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</si>
  <si>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</si>
  <si>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</si>
  <si>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</si>
  <si>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</si>
  <si>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</si>
  <si>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</si>
  <si>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</si>
  <si>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</si>
  <si>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</si>
  <si>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</si>
  <si>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</si>
  <si>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</si>
  <si>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</si>
  <si>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</si>
  <si>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</si>
  <si>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</si>
  <si>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</si>
  <si>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</si>
  <si>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</si>
  <si>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</si>
  <si>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</si>
  <si>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</si>
  <si>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</si>
  <si>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</si>
  <si>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</si>
  <si>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</si>
  <si>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</si>
  <si>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</si>
  <si>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</si>
  <si>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</si>
  <si>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</si>
  <si>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</si>
  <si>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</si>
  <si>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</si>
  <si>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</si>
  <si>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</si>
  <si>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</si>
  <si>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</si>
  <si>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</si>
  <si>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</si>
  <si>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</si>
  <si>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</si>
  <si>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</si>
  <si>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</si>
  <si>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</si>
  <si>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</si>
  <si>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</si>
  <si>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</si>
  <si>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</si>
  <si>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</si>
  <si>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</si>
  <si>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</si>
  <si>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</si>
  <si>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</si>
  <si>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</si>
  <si>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</si>
  <si>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</si>
  <si>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</si>
  <si>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</si>
  <si>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</si>
  <si>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</si>
  <si>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</si>
  <si>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</si>
  <si>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</si>
  <si>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</si>
  <si>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</si>
  <si>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</si>
  <si>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</si>
  <si>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</si>
  <si>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</si>
  <si>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</si>
  <si>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</si>
  <si>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</si>
  <si>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</si>
  <si>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</si>
  <si>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</si>
  <si>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</si>
  <si>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</si>
  <si>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</si>
  <si>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</si>
  <si>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</si>
  <si>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</si>
  <si>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</si>
  <si>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</si>
  <si>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</si>
  <si>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</si>
  <si>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</si>
  <si>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</si>
  <si>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</si>
  <si>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</si>
  <si>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</si>
  <si>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</si>
  <si>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</si>
  <si>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</si>
  <si>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</si>
  <si>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</si>
  <si>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</si>
  <si>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</si>
  <si>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</si>
  <si>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</si>
  <si>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</si>
  <si>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</si>
  <si>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</si>
  <si>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</si>
  <si>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</si>
  <si>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</si>
  <si>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</si>
  <si>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</si>
  <si>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</si>
  <si>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</si>
  <si>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</si>
  <si>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</si>
  <si>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</si>
  <si>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</si>
  <si>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</si>
  <si>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</si>
  <si>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</si>
  <si>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</si>
  <si>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</si>
  <si>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</si>
  <si>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</si>
  <si>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</si>
  <si>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</si>
  <si>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</si>
  <si>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</si>
  <si>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</si>
  <si>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</si>
  <si>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</si>
  <si>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</si>
  <si>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</si>
  <si>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</si>
  <si>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</si>
  <si>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</si>
  <si>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</si>
  <si>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</si>
  <si>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</si>
  <si>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</si>
  <si>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</si>
  <si>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</si>
  <si>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</si>
  <si>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</si>
  <si>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</si>
  <si>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</si>
  <si>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</si>
  <si>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</si>
  <si>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</si>
  <si>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</si>
  <si>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</si>
  <si>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</si>
  <si>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</si>
  <si>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</si>
  <si>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</si>
  <si>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</si>
  <si>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</si>
  <si>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</si>
  <si>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</si>
  <si>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</si>
  <si>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</si>
  <si>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</si>
  <si>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</si>
  <si>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</si>
  <si>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</si>
  <si>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</si>
  <si>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</si>
  <si>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</si>
  <si>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</si>
  <si>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</si>
  <si>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</si>
  <si>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</si>
  <si>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</si>
  <si>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</si>
  <si>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</si>
  <si>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</si>
  <si>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</si>
  <si>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</si>
  <si>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</si>
  <si>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</si>
  <si>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</si>
  <si>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</si>
  <si>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</si>
  <si>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</si>
  <si>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</si>
  <si>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</si>
  <si>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</si>
  <si>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</si>
  <si>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</si>
  <si>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</si>
  <si>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</si>
  <si>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</si>
  <si>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</si>
  <si>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</si>
  <si>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</si>
  <si>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</si>
  <si>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</si>
  <si>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</si>
  <si>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</si>
  <si>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</si>
  <si>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</si>
  <si>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</si>
  <si>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</si>
  <si>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</si>
  <si>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</si>
  <si>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</si>
  <si>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</si>
  <si>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</si>
  <si>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</si>
  <si>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</si>
  <si>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</si>
  <si>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</si>
  <si>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</si>
  <si>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</si>
  <si>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</si>
  <si>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</si>
  <si>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</si>
  <si>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</si>
  <si>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</si>
  <si>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</si>
  <si>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</si>
  <si>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</si>
  <si>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</si>
  <si>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</si>
  <si>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</si>
  <si>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</si>
  <si>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</si>
  <si>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</si>
  <si>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</si>
  <si>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</si>
  <si>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</si>
  <si>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</si>
  <si>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</si>
  <si>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</si>
  <si>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</si>
  <si>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</si>
  <si>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</si>
  <si>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</si>
  <si>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</si>
  <si>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</si>
  <si>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</si>
  <si>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</si>
  <si>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</si>
  <si>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</si>
  <si>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</si>
  <si>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</si>
  <si>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</si>
  <si>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</si>
  <si>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</si>
  <si>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</si>
  <si>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</si>
  <si>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</si>
  <si>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</si>
  <si>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</si>
  <si>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</si>
  <si>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</si>
  <si>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</si>
  <si>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</si>
  <si>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</si>
  <si>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</si>
  <si>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</si>
  <si>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</si>
  <si>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</si>
  <si>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</si>
  <si>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</si>
  <si>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</si>
  <si>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</si>
  <si>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</si>
  <si>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</si>
  <si>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</si>
  <si>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</si>
  <si>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</si>
  <si>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</si>
  <si>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</si>
  <si>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</si>
  <si>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</si>
  <si>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</si>
  <si>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</si>
  <si>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</si>
  <si>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</si>
  <si>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</si>
  <si>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</si>
  <si>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</si>
  <si>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</si>
  <si>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</si>
  <si>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</si>
  <si>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</si>
  <si>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</si>
  <si>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</si>
  <si>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</si>
  <si>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</si>
  <si>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</si>
  <si>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</si>
  <si>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</si>
  <si>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</si>
  <si>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</si>
  <si>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</si>
  <si>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</si>
  <si>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</si>
  <si>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</si>
  <si>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</si>
  <si>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</si>
  <si>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</si>
  <si>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</si>
  <si>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</si>
  <si>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</si>
  <si>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</si>
  <si>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</si>
  <si>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</si>
  <si>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</si>
  <si>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</si>
  <si>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</si>
  <si>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</si>
  <si>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</si>
  <si>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</si>
  <si>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</si>
  <si>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</si>
  <si>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</si>
  <si>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</si>
  <si>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</si>
  <si>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</si>
  <si>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</si>
  <si>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</si>
  <si>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</si>
  <si>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</si>
  <si>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</si>
  <si>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</si>
  <si>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</si>
  <si>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</si>
  <si>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</si>
  <si>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</si>
  <si>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</si>
  <si>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</si>
  <si>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</si>
  <si>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</si>
  <si>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</si>
  <si>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</si>
  <si>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</si>
  <si>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</si>
  <si>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</si>
  <si>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</si>
  <si>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</si>
  <si>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</si>
  <si>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</si>
  <si>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</si>
  <si>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</si>
  <si>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</si>
  <si>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</si>
  <si>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</si>
  <si>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</si>
  <si>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</si>
  <si>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</si>
  <si>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</si>
  <si>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</si>
  <si>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</si>
  <si>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</si>
  <si>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</si>
  <si>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</si>
  <si>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</si>
  <si>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</si>
  <si>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</si>
  <si>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</si>
  <si>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</si>
  <si>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</si>
  <si>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</si>
  <si>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</si>
  <si>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</si>
  <si>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</si>
  <si>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</si>
  <si>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</si>
  <si>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</si>
  <si>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</si>
  <si>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</si>
  <si>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</si>
  <si>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</si>
  <si>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</si>
  <si>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</si>
  <si>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</si>
  <si>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</si>
  <si>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</si>
  <si>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</si>
  <si>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</si>
  <si>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</si>
  <si>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</si>
  <si>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</si>
  <si>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</si>
  <si>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</si>
  <si>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</si>
  <si>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</si>
  <si>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</si>
  <si>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</si>
  <si>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</si>
  <si>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</si>
  <si>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</si>
  <si>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</si>
  <si>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</si>
  <si>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</si>
  <si>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</si>
  <si>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</si>
  <si>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</si>
  <si>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</si>
  <si>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</si>
  <si>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</si>
  <si>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</si>
  <si>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</si>
  <si>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</si>
  <si>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</si>
  <si>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</si>
  <si>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</si>
  <si>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</si>
  <si>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</si>
  <si>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</si>
  <si>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</si>
  <si>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</si>
  <si>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</si>
  <si>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</si>
  <si>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</si>
  <si>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</si>
  <si>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</si>
  <si>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</si>
  <si>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</si>
  <si>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</si>
  <si>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</si>
  <si>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</si>
  <si>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</si>
  <si>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</si>
  <si>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</si>
  <si>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</si>
  <si>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</si>
  <si>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</si>
  <si>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</si>
  <si>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</si>
  <si>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</si>
  <si>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</si>
  <si>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</si>
  <si>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</si>
  <si>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</si>
  <si>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</si>
  <si>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</si>
  <si>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</si>
  <si>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</si>
  <si>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</si>
  <si>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</si>
  <si>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</si>
  <si>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</si>
  <si>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</si>
  <si>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</si>
  <si>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</si>
  <si>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</si>
  <si>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</si>
  <si>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</si>
  <si>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</si>
  <si>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</si>
  <si>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</si>
  <si>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</si>
  <si>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</si>
  <si>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</si>
  <si>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</si>
  <si>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</si>
  <si>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</si>
  <si>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</si>
  <si>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</si>
  <si>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</si>
  <si>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</si>
  <si>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</si>
  <si>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</si>
  <si>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</si>
  <si>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</si>
  <si>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</si>
  <si>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</si>
  <si>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</si>
  <si>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</si>
  <si>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</si>
  <si>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</si>
  <si>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</si>
  <si>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</si>
  <si>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</si>
  <si>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</si>
  <si>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</si>
  <si>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</si>
  <si>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</si>
  <si>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</si>
  <si>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</si>
  <si>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</si>
  <si>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</si>
  <si>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</si>
  <si>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</si>
  <si>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</si>
  <si>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</si>
  <si>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</si>
  <si>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</si>
  <si>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</si>
  <si>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</si>
  <si>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</si>
  <si>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</si>
  <si>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</si>
  <si>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</si>
  <si>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</si>
  <si>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</si>
  <si>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</si>
  <si>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</si>
  <si>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</si>
  <si>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</si>
  <si>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</si>
  <si>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</si>
  <si>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</si>
  <si>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</si>
  <si>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</si>
  <si>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</si>
  <si>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</si>
  <si>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</si>
  <si>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</si>
  <si>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</si>
  <si>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</si>
  <si>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</si>
  <si>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</si>
  <si>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</si>
  <si>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</si>
  <si>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</si>
  <si>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</si>
  <si>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</si>
  <si>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</si>
  <si>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</si>
  <si>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</si>
  <si>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</si>
  <si>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</si>
  <si>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</si>
  <si>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</si>
  <si>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</si>
  <si>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</si>
  <si>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</si>
  <si>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</si>
  <si>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</si>
  <si>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</si>
  <si>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</si>
  <si>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</si>
  <si>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</si>
  <si>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</si>
  <si>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</si>
  <si>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</si>
  <si>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</si>
  <si>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</si>
  <si>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</si>
  <si>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</si>
  <si>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</si>
  <si>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</si>
  <si>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</si>
  <si>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</si>
  <si>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</si>
  <si>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</si>
  <si>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</si>
  <si>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</si>
  <si>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</si>
  <si>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</si>
  <si>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</si>
  <si>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</si>
  <si>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</si>
  <si>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</si>
  <si>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</si>
  <si>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</si>
  <si>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</si>
  <si>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</si>
  <si>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</si>
  <si>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</si>
  <si>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</si>
  <si>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</si>
  <si>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</si>
  <si>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</si>
  <si>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</si>
  <si>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</si>
  <si>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</si>
  <si>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</si>
  <si>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</si>
  <si>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</si>
  <si>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</si>
  <si>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</si>
  <si>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</si>
  <si>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</si>
  <si>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</si>
  <si>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</si>
  <si>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</si>
  <si>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</si>
  <si>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</si>
  <si>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</si>
  <si>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</si>
  <si>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</si>
  <si>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</si>
  <si>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</si>
  <si>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</si>
  <si>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</si>
  <si>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</si>
  <si>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</si>
  <si>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</si>
  <si>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</si>
  <si>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</si>
  <si>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</si>
  <si>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</si>
  <si>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</si>
  <si>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</si>
  <si>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</si>
  <si>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</si>
  <si>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</si>
  <si>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</si>
  <si>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</si>
  <si>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</si>
  <si>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</si>
  <si>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</si>
  <si>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</si>
  <si>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</si>
  <si>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</si>
  <si>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</si>
  <si>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</si>
  <si>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</si>
  <si>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</si>
  <si>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</si>
  <si>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</si>
  <si>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</si>
  <si>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</si>
  <si>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</si>
  <si>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</si>
  <si>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</si>
  <si>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</si>
  <si>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</si>
  <si>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</si>
  <si>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</si>
  <si>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</si>
  <si>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</si>
  <si>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</si>
  <si>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</si>
  <si>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</si>
  <si>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</si>
  <si>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</si>
  <si>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</si>
  <si>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</si>
  <si>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</si>
  <si>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</si>
  <si>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</si>
  <si>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</si>
  <si>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</si>
  <si>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</si>
  <si>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</si>
  <si>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</si>
  <si>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</si>
  <si>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</si>
  <si>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</si>
  <si>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</si>
  <si>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</si>
  <si>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</si>
  <si>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</si>
  <si>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</si>
  <si>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</si>
  <si>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</si>
  <si>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</si>
  <si>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</si>
  <si>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</si>
  <si>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</si>
  <si>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</si>
  <si>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</si>
  <si>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</si>
  <si>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</si>
  <si>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</si>
  <si>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</si>
  <si>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</si>
  <si>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</si>
  <si>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</si>
  <si>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</si>
  <si>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</si>
  <si>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</si>
  <si>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</si>
  <si>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</si>
  <si>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</si>
  <si>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</si>
  <si>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</si>
  <si>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</si>
  <si>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</si>
  <si>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</si>
  <si>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</si>
  <si>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</si>
  <si>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</si>
  <si>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</si>
  <si>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</si>
  <si>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</si>
  <si>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</si>
  <si>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</si>
  <si>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</si>
  <si>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</si>
  <si>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</si>
  <si>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</si>
  <si>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</si>
  <si>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</si>
  <si>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</si>
  <si>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</si>
  <si>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</si>
  <si>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</si>
  <si>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</si>
  <si>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</si>
  <si>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</si>
  <si>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</si>
  <si>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</si>
  <si>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</si>
  <si>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</si>
  <si>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</si>
  <si>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</si>
  <si>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</si>
  <si>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</si>
  <si>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</si>
  <si>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</si>
  <si>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</si>
  <si>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</si>
  <si>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</si>
  <si>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</si>
  <si>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</si>
  <si>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</si>
  <si>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</si>
  <si>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</si>
  <si>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</si>
  <si>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</si>
  <si>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</si>
  <si>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</si>
  <si>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</si>
  <si>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</si>
  <si>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</si>
  <si>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</si>
  <si>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</si>
  <si>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</si>
  <si>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</si>
  <si>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</si>
  <si>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</si>
  <si>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</si>
  <si>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</si>
  <si>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</si>
  <si>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</si>
  <si>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</si>
  <si>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</si>
  <si>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</si>
  <si>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</si>
  <si>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</si>
  <si>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</si>
  <si>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</si>
  <si>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</si>
  <si>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</si>
  <si>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</si>
  <si>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</si>
  <si>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</si>
  <si>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</si>
  <si>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</si>
  <si>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</si>
  <si>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</si>
  <si>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</si>
  <si>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</si>
  <si>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</si>
  <si>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</si>
  <si>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</si>
  <si>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</si>
  <si>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</si>
  <si>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</si>
  <si>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</si>
  <si>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</si>
  <si>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</si>
  <si>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</si>
  <si>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</si>
  <si>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</si>
  <si>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</si>
  <si>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</si>
  <si>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</si>
  <si>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</si>
  <si>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</si>
  <si>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</si>
  <si>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</si>
  <si>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</si>
  <si>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</si>
  <si>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</si>
  <si>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</si>
  <si>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</si>
  <si>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</si>
  <si>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</si>
  <si>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</si>
  <si>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</si>
  <si>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</si>
  <si>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</si>
  <si>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</si>
  <si>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</si>
  <si>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</si>
  <si>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</si>
  <si>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</si>
  <si>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</si>
  <si>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</si>
  <si>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</si>
  <si>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</si>
  <si>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</si>
  <si>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</si>
  <si>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</si>
  <si>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</si>
  <si>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</si>
  <si>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</si>
  <si>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</si>
  <si>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</si>
  <si>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</si>
  <si>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</si>
  <si>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</si>
  <si>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</si>
  <si>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</si>
  <si>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</si>
  <si>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</si>
  <si>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</si>
  <si>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</si>
  <si>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</si>
  <si>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</si>
  <si>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</si>
  <si>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</si>
  <si>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</si>
  <si>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</si>
  <si>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</si>
  <si>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</si>
  <si>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</si>
  <si>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</si>
  <si>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</si>
  <si>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</si>
  <si>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</si>
  <si>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</si>
  <si>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</si>
  <si>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</si>
  <si>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</si>
  <si>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</si>
  <si>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</si>
  <si>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</si>
  <si>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</si>
  <si>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</si>
  <si>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</si>
  <si>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</si>
  <si>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</si>
  <si>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</si>
  <si>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</si>
  <si>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</si>
  <si>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</si>
  <si>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</si>
  <si>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</si>
  <si>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</si>
  <si>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</si>
  <si>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</si>
  <si>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</si>
  <si>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</si>
  <si>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</si>
  <si>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</si>
  <si>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</si>
  <si>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</si>
  <si>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</si>
  <si>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</si>
  <si>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</si>
  <si>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</si>
  <si>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</si>
  <si>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</si>
  <si>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</si>
  <si>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</si>
  <si>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</si>
  <si>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</si>
  <si>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</si>
  <si>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</si>
  <si>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</si>
  <si>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</si>
  <si>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</si>
  <si>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</si>
  <si>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</si>
  <si>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</si>
  <si>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</si>
  <si>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</si>
  <si>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</si>
  <si>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</si>
  <si>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</si>
  <si>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</si>
  <si>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</si>
  <si>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</si>
  <si>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</si>
  <si>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</si>
  <si>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</si>
  <si>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</si>
  <si>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</si>
  <si>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</si>
  <si>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</si>
  <si>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</si>
  <si>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</si>
  <si>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</si>
  <si>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</si>
  <si>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</si>
  <si>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</si>
  <si>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</si>
  <si>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</si>
  <si>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</si>
  <si>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</si>
  <si>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</si>
  <si>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</si>
  <si>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</si>
  <si>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</si>
  <si>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</si>
  <si>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</si>
  <si>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</si>
  <si>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</si>
  <si>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</si>
  <si>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</si>
  <si>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</si>
  <si>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</si>
  <si>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</si>
  <si>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</si>
  <si>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</si>
  <si>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</si>
  <si>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</si>
  <si>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</si>
  <si>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</si>
  <si>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</si>
  <si>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</si>
  <si>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</si>
  <si>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</si>
  <si>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</si>
  <si>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</si>
  <si>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</si>
  <si>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</si>
  <si>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</si>
  <si>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</si>
  <si>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</si>
  <si>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</si>
  <si>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</si>
  <si>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</si>
  <si>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</si>
  <si>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</si>
  <si>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</si>
  <si>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</si>
  <si>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</si>
  <si>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</si>
  <si>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</si>
  <si>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</si>
  <si>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</si>
  <si>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</si>
  <si>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</si>
  <si>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</si>
  <si>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</si>
  <si>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</si>
  <si>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</si>
  <si>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</si>
  <si>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</si>
  <si>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</si>
  <si>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</si>
  <si>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</si>
  <si>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</si>
  <si>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</si>
  <si>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</si>
  <si>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</si>
  <si>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</si>
  <si>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</si>
  <si>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</si>
  <si>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</si>
  <si>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</si>
  <si>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</si>
  <si>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</si>
  <si>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</si>
  <si>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</si>
  <si>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</si>
  <si>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</si>
  <si>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</si>
  <si>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</si>
  <si>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</si>
  <si>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</si>
  <si>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</si>
  <si>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</si>
  <si>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</si>
  <si>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</si>
  <si>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</si>
  <si>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</si>
  <si>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</si>
  <si>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</si>
  <si>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</si>
  <si>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</si>
  <si>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</si>
  <si>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</si>
  <si>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</si>
  <si>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</si>
  <si>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</si>
  <si>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</si>
  <si>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</si>
  <si>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</si>
  <si>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</si>
  <si>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</si>
  <si>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</si>
  <si>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</si>
  <si>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</si>
  <si>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</si>
  <si>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</si>
  <si>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</si>
  <si>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</si>
  <si>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</si>
  <si>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</si>
  <si>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</si>
  <si>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</si>
  <si>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</si>
  <si>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</si>
  <si>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</si>
  <si>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</si>
  <si>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</si>
  <si>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</si>
  <si>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</si>
  <si>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</si>
  <si>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</si>
  <si>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</si>
  <si>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</si>
  <si>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</si>
  <si>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</si>
  <si>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</si>
  <si>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</si>
  <si>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</si>
  <si>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</si>
  <si>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</si>
  <si>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</si>
  <si>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</si>
  <si>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</si>
  <si>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</si>
  <si>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</si>
  <si>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</si>
  <si>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</si>
  <si>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</si>
  <si>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</si>
  <si>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</si>
  <si>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</si>
  <si>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</si>
  <si>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</si>
  <si>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</si>
  <si>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</si>
  <si>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</si>
  <si>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</si>
  <si>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</si>
  <si>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</si>
  <si>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</si>
  <si>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</si>
  <si>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</si>
  <si>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</si>
  <si>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</si>
  <si>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</si>
  <si>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</si>
  <si>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</si>
  <si>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</si>
  <si>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</si>
  <si>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</si>
  <si>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</si>
  <si>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</si>
  <si>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</si>
  <si>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</si>
  <si>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</si>
  <si>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</si>
  <si>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</si>
  <si>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</si>
  <si>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</si>
  <si>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</si>
  <si>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</si>
  <si>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</si>
  <si>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</si>
  <si>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</si>
  <si>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</si>
  <si>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</si>
  <si>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</si>
  <si>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</si>
  <si>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</si>
  <si>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</si>
  <si>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</si>
  <si>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</si>
  <si>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</si>
  <si>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</si>
  <si>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</si>
  <si>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</si>
  <si>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</si>
  <si>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</si>
  <si>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</si>
  <si>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</si>
  <si>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</si>
  <si>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</si>
  <si>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</si>
  <si>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</si>
  <si>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</si>
  <si>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</si>
  <si>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</si>
  <si>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</si>
  <si>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</si>
  <si>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</si>
  <si>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</si>
  <si>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</si>
  <si>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</si>
  <si>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</si>
  <si>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</si>
  <si>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</si>
  <si>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</si>
  <si>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</si>
  <si>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</si>
  <si>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</si>
  <si>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</si>
  <si>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</si>
  <si>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</si>
  <si>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</si>
  <si>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</si>
  <si>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</si>
  <si>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</si>
  <si>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</si>
  <si>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</si>
  <si>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</si>
  <si>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</si>
  <si>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</si>
  <si>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</si>
  <si>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</si>
  <si>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</si>
  <si>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</si>
  <si>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</si>
  <si>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</si>
  <si>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</si>
  <si>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</si>
  <si>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</si>
  <si>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</si>
  <si>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</si>
  <si>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</si>
  <si>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</si>
  <si>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</si>
  <si>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</si>
  <si>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</si>
  <si>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</si>
  <si>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</si>
  <si>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</si>
  <si>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</si>
  <si>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</si>
  <si>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</si>
  <si>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</si>
  <si>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</si>
  <si>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</si>
  <si>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</si>
  <si>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</si>
  <si>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</si>
  <si>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</si>
  <si>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</si>
  <si>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</si>
  <si>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</si>
  <si>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</si>
  <si>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</si>
  <si>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</si>
  <si>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</si>
  <si>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</si>
  <si>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</si>
  <si>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</si>
  <si>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</si>
  <si>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</si>
  <si>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</si>
  <si>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</si>
  <si>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</si>
  <si>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</si>
  <si>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</si>
  <si>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</si>
  <si>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</si>
  <si>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</si>
  <si>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</si>
  <si>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</si>
  <si>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</si>
  <si>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</si>
  <si>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</si>
  <si>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</si>
  <si>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</si>
  <si>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</si>
  <si>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</si>
  <si>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</si>
  <si>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</si>
  <si>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</si>
  <si>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</si>
  <si>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</si>
  <si>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</si>
  <si>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</si>
  <si>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</si>
  <si>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</si>
  <si>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</si>
  <si>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</si>
  <si>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</si>
  <si>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</si>
  <si>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</si>
  <si>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</si>
  <si>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</si>
  <si>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</si>
  <si>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</si>
  <si>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</si>
  <si>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</si>
  <si>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</si>
  <si>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</si>
  <si>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</si>
  <si>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</si>
  <si>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</si>
  <si>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</si>
  <si>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</si>
  <si>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</si>
  <si>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</si>
  <si>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</si>
  <si>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</si>
  <si>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</si>
  <si>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</si>
  <si>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</si>
  <si>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</si>
  <si>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</si>
  <si>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</si>
  <si>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</si>
  <si>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</si>
  <si>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</si>
  <si>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</si>
  <si>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</si>
  <si>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</si>
  <si>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</si>
  <si>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</si>
  <si>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</si>
  <si>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</si>
  <si>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</si>
  <si>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</si>
  <si>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</si>
  <si>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</si>
  <si>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</si>
  <si>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</si>
  <si>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</si>
  <si>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</si>
  <si>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</si>
  <si>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</si>
  <si>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</si>
  <si>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</si>
  <si>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</si>
  <si>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</si>
  <si>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</si>
  <si>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</si>
  <si>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</si>
  <si>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</si>
  <si>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</si>
  <si>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</si>
  <si>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</si>
  <si>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</si>
  <si>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</si>
  <si>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</si>
  <si>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</si>
  <si>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</si>
  <si>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</si>
  <si>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</si>
  <si>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</si>
  <si>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</si>
  <si>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</si>
  <si>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</si>
  <si>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</si>
  <si>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</si>
  <si>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</si>
  <si>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</si>
  <si>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</si>
  <si>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</si>
  <si>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</si>
  <si>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</si>
  <si>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</si>
  <si>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</si>
  <si>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</si>
  <si>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</si>
  <si>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</si>
  <si>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</si>
  <si>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</si>
  <si>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</si>
  <si>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</si>
  <si>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</si>
  <si>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</si>
  <si>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</si>
  <si>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</si>
  <si>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</si>
  <si>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</si>
  <si>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</si>
  <si>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</si>
  <si>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</si>
  <si>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</si>
  <si>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</si>
  <si>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</si>
  <si>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</si>
  <si>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</si>
  <si>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</si>
  <si>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</si>
  <si>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</si>
  <si>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</si>
  <si>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</si>
  <si>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</si>
  <si>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</si>
  <si>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</si>
  <si>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</si>
  <si>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</si>
  <si>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</si>
  <si>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</si>
  <si>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</si>
  <si>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</si>
  <si>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</si>
  <si>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</si>
  <si>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</si>
  <si>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</si>
  <si>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</si>
  <si>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</si>
  <si>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</si>
  <si>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</si>
  <si>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</si>
  <si>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</si>
  <si>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</si>
  <si>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</si>
  <si>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</si>
  <si>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</si>
  <si>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</si>
  <si>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</si>
  <si>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</si>
  <si>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</si>
  <si>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</si>
  <si>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</si>
  <si>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</si>
  <si>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</si>
  <si>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</si>
  <si>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</si>
  <si>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</si>
  <si>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</si>
  <si>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</si>
  <si>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</si>
  <si>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</si>
  <si>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</si>
  <si>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</si>
  <si>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</si>
  <si>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</si>
  <si>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</si>
  <si>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</si>
  <si>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</si>
  <si>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</si>
  <si>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</si>
  <si>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</si>
  <si>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</si>
  <si>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</si>
  <si>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</si>
  <si>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</si>
  <si>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</si>
  <si>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</si>
  <si>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</si>
  <si>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</si>
  <si>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</si>
  <si>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</si>
  <si>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</si>
  <si>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</si>
  <si>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</si>
  <si>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</si>
  <si>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</si>
  <si>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</si>
  <si>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</si>
  <si>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</si>
  <si>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</si>
  <si>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</si>
  <si>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</si>
  <si>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</si>
  <si>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</si>
  <si>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</si>
  <si>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</si>
  <si>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</si>
  <si>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</si>
  <si>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</si>
  <si>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</si>
  <si>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</si>
  <si>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</si>
  <si>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</si>
  <si>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</si>
  <si>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</si>
  <si>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</si>
  <si>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</si>
  <si>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</si>
  <si>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</si>
  <si>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</si>
  <si>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</si>
  <si>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</si>
  <si>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</si>
  <si>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</si>
  <si>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</si>
  <si>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</si>
  <si>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</si>
  <si>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</si>
  <si>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</si>
  <si>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</si>
  <si>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</si>
  <si>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</si>
  <si>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</si>
  <si>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</si>
  <si>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</si>
  <si>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</si>
  <si>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</si>
  <si>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</si>
  <si>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</si>
  <si>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</si>
  <si>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</si>
  <si>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</si>
  <si>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</si>
  <si>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</si>
  <si>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</si>
  <si>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</si>
  <si>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</si>
  <si>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</si>
  <si>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</si>
  <si>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</si>
  <si>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</si>
  <si>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</si>
  <si>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</si>
  <si>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</si>
  <si>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</si>
  <si>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</si>
  <si>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</si>
  <si>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</si>
  <si>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</si>
  <si>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</si>
  <si>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</si>
  <si>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</si>
  <si>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</si>
  <si>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</si>
  <si>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</si>
  <si>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</si>
  <si>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</si>
  <si>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</si>
  <si>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</si>
  <si>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</si>
  <si>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</si>
  <si>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</si>
  <si>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</si>
  <si>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</si>
  <si>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</si>
  <si>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</si>
  <si>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</si>
  <si>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</si>
  <si>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</si>
  <si>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</si>
  <si>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</si>
  <si>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</si>
  <si>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</si>
  <si>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</si>
  <si>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</si>
  <si>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</si>
  <si>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</si>
  <si>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</si>
  <si>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</si>
  <si>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</si>
  <si>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</si>
  <si>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</si>
  <si>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</si>
  <si>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</si>
  <si>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</si>
  <si>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</si>
  <si>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</si>
  <si>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</si>
  <si>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</si>
  <si>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</si>
  <si>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</si>
  <si>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</si>
  <si>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</si>
  <si>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</si>
  <si>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</si>
  <si>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</si>
  <si>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</si>
  <si>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</si>
  <si>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</si>
  <si>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</si>
  <si>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</si>
  <si>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</si>
  <si>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</si>
  <si>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</si>
  <si>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</si>
  <si>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</si>
  <si>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</si>
  <si>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</si>
  <si>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</si>
  <si>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</si>
  <si>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</si>
  <si>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</si>
  <si>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</si>
  <si>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</si>
  <si>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</si>
  <si>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</si>
  <si>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</si>
  <si>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</si>
  <si>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</si>
  <si>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</si>
  <si>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</si>
  <si>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</si>
  <si>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</si>
  <si>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</si>
  <si>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</si>
  <si>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</si>
  <si>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</si>
  <si>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</si>
  <si>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</si>
  <si>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</si>
  <si>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</si>
  <si>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</si>
  <si>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</si>
  <si>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</si>
  <si>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</si>
  <si>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</si>
  <si>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</si>
  <si>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</si>
  <si>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</si>
  <si>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</si>
  <si>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</si>
  <si>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</si>
  <si>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</si>
  <si>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</si>
  <si>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</si>
  <si>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</si>
  <si>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</si>
  <si>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</si>
  <si>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</si>
  <si>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</si>
  <si>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</si>
  <si>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</si>
  <si>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</si>
  <si>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</si>
  <si>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</si>
  <si>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</si>
  <si>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</si>
  <si>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</si>
  <si>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</si>
  <si>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</si>
  <si>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</si>
  <si>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</si>
  <si>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</si>
  <si>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</si>
  <si>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</si>
  <si>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</si>
  <si>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</si>
  <si>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</si>
  <si>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</si>
  <si>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</si>
  <si>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</si>
  <si>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</si>
  <si>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</si>
  <si>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</si>
  <si>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</si>
  <si>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</si>
  <si>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</si>
  <si>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</si>
  <si>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</si>
  <si>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</si>
  <si>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</si>
  <si>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</si>
  <si>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</si>
  <si>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</si>
  <si>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</si>
  <si>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</si>
  <si>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</si>
  <si>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</si>
  <si>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</si>
  <si>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</si>
  <si>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</si>
  <si>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</si>
  <si>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</si>
  <si>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</si>
  <si>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</si>
  <si>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</si>
  <si>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</si>
  <si>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</si>
  <si>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</si>
  <si>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</si>
  <si>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</si>
  <si>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</si>
  <si>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</si>
  <si>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</si>
  <si>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</si>
  <si>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</si>
  <si>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</si>
  <si>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</si>
  <si>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</si>
  <si>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</si>
  <si>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</si>
  <si>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</si>
  <si>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</si>
  <si>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</si>
  <si>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</si>
  <si>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</si>
  <si>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</si>
  <si>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</si>
  <si>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</si>
  <si>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</si>
  <si>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</si>
  <si>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</si>
  <si>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</si>
  <si>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</si>
  <si>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</si>
  <si>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</si>
  <si>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</si>
  <si>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</si>
  <si>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</si>
  <si>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</si>
  <si>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</si>
  <si>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</si>
  <si>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</si>
  <si>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</si>
  <si>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</si>
  <si>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</si>
  <si>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</si>
  <si>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</si>
  <si>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</si>
  <si>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</si>
  <si>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</si>
  <si>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</si>
  <si>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</si>
  <si>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</si>
  <si>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</si>
  <si>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</si>
  <si>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</si>
  <si>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</si>
  <si>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</si>
  <si>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</si>
  <si>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</si>
  <si>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</si>
  <si>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</si>
  <si>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</si>
  <si>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</si>
  <si>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</si>
  <si>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</si>
  <si>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</si>
  <si>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</si>
  <si>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</si>
  <si>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</si>
  <si>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</si>
  <si>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</si>
  <si>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</si>
  <si>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</si>
  <si>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</si>
  <si>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</si>
  <si>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</si>
  <si>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</si>
  <si>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</si>
  <si>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</si>
  <si>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</si>
  <si>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</si>
  <si>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</si>
  <si>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</si>
  <si>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</si>
  <si>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</si>
  <si>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</si>
  <si>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</si>
  <si>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</si>
  <si>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</si>
  <si>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</si>
  <si>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</si>
  <si>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</si>
  <si>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</si>
  <si>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</si>
  <si>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</si>
  <si>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</si>
  <si>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</si>
  <si>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</si>
  <si>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</si>
  <si>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</si>
  <si>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</si>
  <si>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</si>
  <si>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</si>
  <si>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</si>
  <si>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</si>
  <si>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</si>
  <si>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</si>
  <si>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</si>
  <si>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</si>
  <si>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</si>
  <si>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</si>
  <si>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</si>
  <si>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</si>
  <si>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</si>
  <si>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</si>
  <si>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</si>
  <si>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</si>
  <si>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</si>
  <si>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</si>
  <si>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</si>
  <si>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</si>
  <si>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</si>
  <si>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</si>
  <si>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</si>
  <si>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</si>
  <si>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</si>
  <si>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</si>
  <si>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</si>
  <si>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</si>
  <si>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</si>
  <si>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</si>
  <si>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</si>
  <si>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</si>
  <si>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</si>
  <si>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</si>
  <si>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</si>
  <si>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</si>
  <si>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</si>
  <si>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</si>
  <si>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</si>
  <si>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</si>
  <si>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</si>
  <si>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</si>
  <si>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</si>
  <si>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</si>
  <si>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</si>
  <si>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</si>
  <si>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</si>
  <si>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</si>
  <si>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</si>
  <si>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</si>
  <si>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</si>
  <si>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</si>
  <si>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</si>
  <si>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</si>
  <si>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</si>
  <si>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</si>
  <si>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</si>
  <si>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</si>
  <si>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</si>
  <si>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</si>
  <si>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</si>
  <si>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</si>
  <si>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</si>
  <si>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</si>
  <si>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</si>
  <si>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</si>
  <si>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</si>
  <si>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</si>
  <si>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</si>
  <si>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</si>
  <si>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</si>
  <si>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</si>
  <si>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</si>
  <si>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</si>
  <si>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</si>
  <si>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</si>
  <si>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</si>
  <si>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</si>
  <si>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</si>
  <si>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</si>
  <si>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</si>
  <si>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</si>
  <si>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</si>
  <si>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</si>
  <si>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</si>
  <si>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</si>
  <si>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</si>
  <si>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</si>
  <si>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</si>
  <si>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</si>
  <si>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</si>
  <si>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</si>
  <si>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</si>
  <si>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</si>
  <si>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</si>
  <si>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</si>
  <si>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</si>
  <si>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</si>
  <si>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</si>
  <si>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</si>
  <si>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</si>
  <si>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</si>
  <si>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</si>
  <si>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</si>
  <si>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</si>
  <si>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</si>
  <si>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</si>
  <si>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</si>
  <si>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</si>
  <si>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</si>
  <si>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</si>
  <si>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</si>
  <si>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</si>
  <si>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</si>
  <si>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</si>
  <si>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</si>
  <si>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</si>
  <si>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</si>
  <si>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</si>
  <si>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</si>
  <si>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</si>
  <si>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</si>
  <si>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</si>
  <si>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</si>
  <si>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</si>
  <si>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</si>
  <si>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</si>
  <si>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</si>
  <si>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</si>
  <si>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</si>
  <si>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</si>
  <si>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</si>
  <si>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</si>
  <si>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</si>
  <si>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</si>
  <si>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</si>
  <si>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</si>
  <si>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</si>
  <si>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</si>
  <si>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</si>
  <si>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</si>
  <si>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</si>
  <si>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</si>
  <si>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</si>
  <si>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</si>
  <si>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</si>
  <si>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</si>
  <si>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</si>
  <si>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</si>
  <si>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</si>
  <si>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</si>
  <si>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</si>
  <si>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</si>
  <si>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</si>
  <si>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</si>
  <si>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</si>
  <si>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</si>
  <si>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</si>
  <si>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</si>
  <si>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</si>
  <si>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</si>
  <si>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</si>
  <si>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</si>
  <si>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</si>
  <si>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</si>
  <si>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</si>
  <si>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</si>
  <si>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</si>
  <si>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</si>
  <si>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</si>
  <si>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</si>
  <si>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</si>
  <si>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</si>
  <si>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</si>
  <si>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</si>
  <si>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</si>
  <si>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</si>
  <si>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</si>
  <si>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</si>
  <si>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</si>
  <si>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</si>
  <si>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</si>
  <si>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</si>
  <si>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</si>
  <si>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</si>
  <si>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</si>
  <si>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</si>
  <si>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</si>
  <si>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</si>
  <si>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</si>
  <si>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</si>
  <si>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</si>
  <si>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</si>
  <si>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</si>
  <si>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</si>
  <si>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</si>
  <si>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</si>
  <si>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</si>
  <si>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</si>
  <si>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</si>
  <si>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</si>
  <si>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</si>
  <si>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</si>
  <si>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</si>
  <si>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</si>
  <si>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</si>
  <si>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</si>
  <si>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</si>
  <si>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</si>
  <si>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</si>
  <si>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</si>
  <si>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</si>
  <si>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</si>
  <si>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</si>
  <si>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</si>
  <si>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</si>
  <si>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</si>
  <si>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</si>
  <si>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</si>
  <si>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</si>
  <si>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</si>
  <si>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</si>
  <si>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</si>
  <si>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</si>
  <si>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</si>
  <si>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</si>
  <si>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</si>
  <si>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</si>
  <si>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</si>
  <si>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</si>
  <si>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</si>
  <si>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</si>
  <si>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</si>
  <si>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</si>
  <si>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</si>
  <si>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</si>
  <si>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</si>
  <si>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</si>
  <si>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</si>
  <si>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</si>
  <si>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</si>
  <si>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</si>
  <si>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</si>
  <si>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</si>
  <si>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</si>
  <si>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</si>
  <si>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</si>
  <si>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</si>
  <si>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</si>
  <si>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</si>
  <si>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</si>
  <si>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</si>
  <si>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</si>
  <si>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</si>
  <si>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</si>
  <si>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</si>
  <si>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</si>
  <si>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</si>
  <si>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</si>
  <si>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</si>
  <si>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</si>
  <si>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</si>
  <si>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</si>
  <si>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</si>
  <si>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</si>
  <si>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</si>
  <si>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</si>
  <si>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</si>
  <si>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</si>
  <si>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</si>
  <si>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</si>
  <si>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</si>
  <si>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</si>
  <si>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</si>
  <si>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</si>
  <si>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</si>
  <si>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</si>
  <si>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</si>
  <si>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</si>
  <si>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</si>
  <si>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</si>
  <si>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</si>
  <si>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</si>
  <si>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</si>
  <si>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</si>
  <si>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</si>
  <si>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</si>
  <si>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</si>
  <si>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</si>
  <si>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</si>
  <si>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</si>
  <si>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</si>
  <si>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</si>
  <si>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</si>
  <si>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</si>
  <si>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</si>
  <si>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</si>
  <si>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</si>
  <si>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</si>
  <si>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</si>
  <si>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</si>
  <si>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</si>
  <si>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</si>
  <si>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</si>
  <si>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</si>
  <si>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</si>
  <si>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</si>
  <si>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</si>
  <si>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</si>
  <si>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</si>
  <si>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</si>
  <si>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</si>
  <si>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</si>
  <si>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</si>
  <si>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</si>
  <si>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</si>
  <si>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</si>
  <si>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</si>
  <si>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</si>
  <si>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</si>
  <si>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</si>
  <si>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</si>
  <si>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</si>
  <si>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</si>
  <si>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</si>
  <si>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</si>
  <si>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</si>
  <si>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</si>
  <si>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</si>
  <si>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</si>
  <si>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</si>
  <si>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</si>
  <si>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</si>
  <si>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</si>
  <si>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</si>
  <si>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</si>
  <si>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</si>
  <si>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</si>
  <si>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</si>
  <si>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</si>
  <si>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</si>
  <si>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</si>
  <si>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</si>
  <si>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</si>
  <si>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</si>
  <si>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</si>
  <si>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</si>
  <si>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</si>
  <si>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</si>
  <si>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</si>
  <si>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</si>
  <si>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</si>
  <si>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</si>
  <si>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</si>
  <si>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</si>
  <si>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</si>
  <si>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</si>
  <si>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</si>
  <si>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</si>
  <si>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</si>
  <si>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</si>
  <si>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</si>
  <si>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</si>
  <si>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</si>
  <si>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</si>
  <si>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</si>
  <si>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</si>
  <si>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地上</t>
  </si>
  <si>
    <t>商业</t>
  </si>
  <si>
    <t>商业</t>
    <phoneticPr fontId="7" type="noConversion"/>
  </si>
  <si>
    <t>办公</t>
    <phoneticPr fontId="7" type="noConversion"/>
  </si>
  <si>
    <t>陈颖</t>
  </si>
  <si>
    <t>崔锴</t>
  </si>
  <si>
    <t>市场价格</t>
  </si>
  <si>
    <t>企业</t>
  </si>
  <si>
    <t>一致</t>
  </si>
  <si>
    <t>Ⅷ-通1</t>
  </si>
  <si>
    <t>批发零售用地</t>
  </si>
  <si>
    <t>自定义容积率</t>
  </si>
  <si>
    <t>不临58条商业街</t>
  </si>
  <si>
    <t>与级别开发程度不一致</t>
  </si>
  <si>
    <t>通路</t>
  </si>
  <si>
    <t>通电</t>
  </si>
  <si>
    <t>通上水</t>
  </si>
  <si>
    <t>通下水</t>
  </si>
  <si>
    <t>通热</t>
  </si>
  <si>
    <t>燃气</t>
  </si>
  <si>
    <t>平整</t>
  </si>
  <si>
    <t>利息：取LPR加浮动点数</t>
  </si>
  <si>
    <t>一般</t>
  </si>
  <si>
    <t>较好</t>
  </si>
  <si>
    <t>估价对象位于北京市通州区经济开发区西区南扩区，周边有芳草园小区、环湖小镇、月亮湾小镇、太玉园等住宅小区，入住率较好，居住社区成熟度一般。</t>
    <phoneticPr fontId="3" type="noConversion"/>
  </si>
  <si>
    <t>估价对象位于通州区经济开发区西区南扩区，估价对象周边有世纪华联超市、福联美超市、美乐购超市、新世纪大卖场等商业服务设施，距离均在2公里范围外，且分布较为分散，综合考虑商业繁华度一般。</t>
    <phoneticPr fontId="3" type="noConversion"/>
  </si>
  <si>
    <t>估价对象周边有科技大厦、森工大厦、方和正元工业园等办公楼项目，但分布较为分散，办公集聚程度一般。</t>
    <phoneticPr fontId="3" type="noConversion"/>
  </si>
  <si>
    <t>估价对象周边有通14路、通50路、通64路等公交线路；距地铁7号线（花庄站）约2公里，交通便捷度一般</t>
    <phoneticPr fontId="3" type="noConversion"/>
  </si>
  <si>
    <t>估价对象所在区域有张家湾中心幼儿园、张家湾中心小学、张家湾中学等教育资源，有中国建设银行、北京市农村商业银行等金融机构，有世纪华联超市等商业服务设施，有北京运通中医医院等医疗设施，公共服务设施齐备度一般</t>
    <phoneticPr fontId="3" type="noConversion"/>
  </si>
  <si>
    <t>区域自然环境：通州大运河森林公园、凉水河；人文环境：北京环球度假区；综合评价环境状况较好</t>
    <phoneticPr fontId="3" type="noConversion"/>
  </si>
  <si>
    <t>基准地价-商</t>
  </si>
  <si>
    <t>基准地价-商</t>
    <phoneticPr fontId="14" type="noConversion"/>
  </si>
  <si>
    <t>基准地价-办</t>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</si>
  <si>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商</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</si>
  <si>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办</t>
    </r>
    <phoneticPr fontId="14" type="noConversion"/>
  </si>
  <si>
    <t>剩余法-商</t>
  </si>
  <si>
    <t>商务金融用地（办公类）</t>
  </si>
  <si>
    <t>群芳三园</t>
    <phoneticPr fontId="228" type="noConversion"/>
  </si>
  <si>
    <t>https://bj.sydc.anjuke.com/sp-zu/5746847999/?legoHuiDu=0&amp;houseid=2008189071138830&amp;zhidingLegoTid=f374f189-bdf8-4b8b-862c-175c1ee518c3&amp;pt=6&amp;zhidingLegoAdClickUrl=aHR0cHM6Ly9sZWdvLWNsaWNrLmFuanVrZS5jb20vanVtcD90YXJnZXQ9cFp3WTBabmxzenRkcmFPV1V2WUt1YVl6ckhiT3VodUJtQlkxbXlFdnNIRWRQMURWcmpLV1BpZFd1alJoUGh1aG5Xdy11QW1LbldUa3JITmRuSDB2VEVEem5qVDNuSDlPbmowUW5IbjNyam5rVEhUS25IVGtUSERfbkhOS25pa1FuSEVMVEhEdm5XY1FyakRMbkhudlBIYktyVDdFRXpMLW9DTS1fbWctb0pzLS1tVWI4Rm8tTXNqYjhKeE1mcGVHQ1VtVk9ldjhscEF2T21oUE9ldjhsVThtbDJsYk9HYTBPZWlCT2x2VWxtYUZUSERLbkVES3NIREtUSEQxckgwTFBITnpQSE5PUGpFMXJqOXZuamJLUDk3a21nRjZVZ256bmpubG5nazFzVERRVHlET1BqVHpteVBoc0hOZFBqblZQak5RdWFZT1BqY09zSER2bXY3V1BqYkxQMVItUEVEUW4xYkxQMU5kbldOdm5qOXpyalRZUDFuTFRIRDFySDBMUEhOelBIbWtuSE52ckhETFAxMEtURURLVEVEVlRFREtUTnc3bkhSS25ZY2tzTlBqUE5EVkVXN0tyYVkzbkg2N3NOTnpuandhRVduTFBqY0xuRURRblduOG5IY3ZzV2N6c1djMVBURFZuRURrVEVEUXNqRGRUZ1ZxVEhEa25qTmRUSERrbmpjWW5IbUt1V25MUEFtUXJqYlZtaHdocmFZWW1XNkJzSDl2bmhuVm5IMGRtMTctdUhOUXJBbjFURURZVEVES25rRFFzakRRUGowX1BIRFlQVERRVHlPZFVBa0tQSEZCdWpQV1AxbVFuSDZobkgwa3U5&amp;uniqid=a8307391ed4c45f8915aad6a7238751f&amp;gpos=24&amp;zhidingLegoHuiDu=1&amp;</t>
  </si>
  <si>
    <t>华远铭悦</t>
    <phoneticPr fontId="228" type="noConversion"/>
  </si>
  <si>
    <t>https://bj.sydc.anjuke.com/sp-zu/5661214067/?legoHuiDu=0&amp;houseid=1948333384982534&amp;pt=1&amp;uniqid=004ec72c867344a2be1e93dd41f876b8&amp;gpos=72&amp;zhidingLegoHuiDu=0&amp;</t>
  </si>
  <si>
    <t>华远好天地</t>
    <phoneticPr fontId="228" type="noConversion"/>
  </si>
  <si>
    <t>https://bj.sydc.anjuke.com/sp-zu/5634522039/?legoHuiDu=0&amp;houseid=1930016330981385&amp;pt=1&amp;uniqid=792eb883fc0145ad8c0018e4d61370bf&amp;gpos=1&amp;zhidingLegoHuiDu=0&amp;</t>
  </si>
  <si>
    <t>商业</t>
    <phoneticPr fontId="26" type="noConversion"/>
  </si>
  <si>
    <t>正常</t>
  </si>
  <si>
    <t>30-40（含）</t>
  </si>
  <si>
    <t>20-30（含）</t>
  </si>
  <si>
    <t>40-50（含）</t>
  </si>
  <si>
    <t>七通</t>
  </si>
  <si>
    <t>好</t>
  </si>
  <si>
    <t>精装修</t>
    <phoneticPr fontId="3" type="noConversion"/>
  </si>
  <si>
    <t>普通装修</t>
    <phoneticPr fontId="3" type="noConversion"/>
  </si>
  <si>
    <t>简单装修</t>
    <phoneticPr fontId="3" type="noConversion"/>
  </si>
  <si>
    <t>毛坯</t>
    <phoneticPr fontId="3" type="noConversion"/>
  </si>
  <si>
    <t>较好</t>
    <phoneticPr fontId="3" type="noConversion"/>
  </si>
  <si>
    <t>特殊层高</t>
    <phoneticPr fontId="3" type="noConversion"/>
  </si>
  <si>
    <t>标准层高</t>
    <phoneticPr fontId="3" type="noConversion"/>
  </si>
  <si>
    <t>混合</t>
    <phoneticPr fontId="3" type="noConversion"/>
  </si>
  <si>
    <t>度假区配套</t>
    <phoneticPr fontId="3" type="noConversion"/>
  </si>
  <si>
    <t>综合体</t>
    <phoneticPr fontId="3" type="noConversion"/>
  </si>
  <si>
    <t>商业街店铺</t>
    <phoneticPr fontId="3" type="noConversion"/>
  </si>
  <si>
    <t>写字楼配套</t>
    <phoneticPr fontId="3" type="noConversion"/>
  </si>
  <si>
    <t>住宅配套</t>
    <phoneticPr fontId="3" type="noConversion"/>
  </si>
  <si>
    <r>
      <t>1</t>
    </r>
    <r>
      <rPr>
        <sz val="11"/>
        <color indexed="8"/>
        <rFont val="宋体"/>
        <family val="3"/>
        <charset val="134"/>
      </rPr>
      <t>层</t>
    </r>
    <phoneticPr fontId="3" type="noConversion"/>
  </si>
  <si>
    <t>好</t>
    <phoneticPr fontId="3" type="noConversion"/>
  </si>
  <si>
    <t>一般</t>
    <phoneticPr fontId="3" type="noConversion"/>
  </si>
  <si>
    <t>较差</t>
    <phoneticPr fontId="3" type="noConversion"/>
  </si>
  <si>
    <t>差</t>
    <phoneticPr fontId="3" type="noConversion"/>
  </si>
  <si>
    <t>较大</t>
    <phoneticPr fontId="3" type="noConversion"/>
  </si>
  <si>
    <t>较小</t>
    <phoneticPr fontId="3" type="noConversion"/>
  </si>
  <si>
    <t>高速路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</si>
  <si>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</si>
  <si>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</si>
  <si>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</si>
  <si>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</si>
  <si>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城市主干道</t>
  </si>
  <si>
    <t>城市次干道</t>
  </si>
  <si>
    <t>好</t>
    <phoneticPr fontId="26" type="noConversion"/>
  </si>
  <si>
    <t>较大</t>
  </si>
  <si>
    <t>1层</t>
  </si>
  <si>
    <t>写字楼配套</t>
  </si>
  <si>
    <t>住宅配套</t>
  </si>
  <si>
    <t>钢混</t>
  </si>
  <si>
    <t>精装修</t>
  </si>
  <si>
    <t>建筑结构</t>
  </si>
  <si>
    <t>标准层高</t>
  </si>
  <si>
    <t>毛坯</t>
  </si>
  <si>
    <t>普通装修</t>
  </si>
  <si>
    <r>
      <rPr>
        <sz val="11"/>
        <color indexed="8"/>
        <rFont val="仿宋_GB2312"/>
        <family val="3"/>
        <charset val="134"/>
      </rPr>
      <t>不动产比较法</t>
    </r>
    <r>
      <rPr>
        <sz val="11"/>
        <color indexed="8"/>
        <rFont val="Arial"/>
        <family val="2"/>
      </rPr>
      <t>-</t>
    </r>
    <r>
      <rPr>
        <sz val="11"/>
        <color indexed="8"/>
        <rFont val="仿宋_GB2312"/>
        <family val="3"/>
        <charset val="134"/>
      </rPr>
      <t>商</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</si>
  <si>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t>
    </r>
    <phoneticPr fontId="14" type="noConversion"/>
  </si>
  <si>
    <t>押一</t>
  </si>
  <si>
    <r>
      <rPr>
        <sz val="11"/>
        <color indexed="8"/>
        <rFont val="宋体"/>
        <family val="3"/>
        <charset val="134"/>
      </rPr>
      <t>不动产收益法</t>
    </r>
    <r>
      <rPr>
        <sz val="11"/>
        <color indexed="8"/>
        <rFont val="Arial"/>
        <family val="2"/>
      </rPr>
      <t>-</t>
    </r>
    <r>
      <rPr>
        <sz val="11"/>
        <color indexed="8"/>
        <rFont val="宋体"/>
        <family val="3"/>
        <charset val="134"/>
      </rPr>
      <t>商</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</si>
  <si>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t>
    </r>
    <phoneticPr fontId="14" type="noConversion"/>
  </si>
  <si>
    <t>不动产收益法-商</t>
  </si>
  <si>
    <t>不动产收益法-办</t>
  </si>
  <si>
    <t>已部分缴纳</t>
  </si>
  <si>
    <t>瑞都国际中心</t>
    <phoneticPr fontId="228" type="noConversion"/>
  </si>
  <si>
    <t>https://office.fang.com/zu/3_455904002.html?channel=1,32</t>
  </si>
  <si>
    <t>金成中心</t>
    <phoneticPr fontId="228" type="noConversion"/>
  </si>
  <si>
    <t>https://office.fang.com/zu/3_451374270.html?channel=2,32</t>
  </si>
  <si>
    <r>
      <t>土桥P</t>
    </r>
    <r>
      <rPr>
        <sz val="11"/>
        <color theme="1"/>
        <rFont val="宋体"/>
        <family val="3"/>
        <charset val="134"/>
        <scheme val="minor"/>
      </rPr>
      <t>LUS</t>
    </r>
    <phoneticPr fontId="228" type="noConversion"/>
  </si>
  <si>
    <t>https://office.fang.com/zu/3_426927919.html?channel=1,32</t>
  </si>
  <si>
    <t xml:space="preserve">            因素
基准地价法</t>
  </si>
  <si>
    <t>区片价格</t>
  </si>
  <si>
    <t>居住特殊情况修正
商业路线价修正</t>
  </si>
  <si>
    <t>基础
设施</t>
  </si>
  <si>
    <t>用途修正系数</t>
  </si>
  <si>
    <t>期日修正系数</t>
  </si>
  <si>
    <t>年期修正系数</t>
  </si>
  <si>
    <t>容积率/地下空间修正系数</t>
    <phoneticPr fontId="228" type="noConversion"/>
  </si>
  <si>
    <t>因素修正系数</t>
  </si>
  <si>
    <t>结果</t>
  </si>
  <si>
    <t>政府收益</t>
  </si>
  <si>
    <t>商业</t>
    <phoneticPr fontId="228" type="noConversion"/>
  </si>
  <si>
    <t>办公（地上车库）</t>
    <phoneticPr fontId="228" type="noConversion"/>
  </si>
  <si>
    <t>地下车库-商业</t>
    <phoneticPr fontId="228" type="noConversion"/>
  </si>
  <si>
    <t>地下车库-办公</t>
    <phoneticPr fontId="228" type="noConversion"/>
  </si>
  <si>
    <t>评估结果=（片区价格*路线修正或特殊情况修正+基础设施）*用途*年期*容积率*因素</t>
    <phoneticPr fontId="228" type="noConversion"/>
  </si>
  <si>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</si>
  <si>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</si>
  <si>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</si>
  <si>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</si>
  <si>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</si>
  <si>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</si>
  <si>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</si>
  <si>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</si>
  <si>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</si>
  <si>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</si>
  <si>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居住</t>
  </si>
  <si>
    <t>商业（剩余）</t>
    <phoneticPr fontId="228" type="noConversion"/>
  </si>
  <si>
    <t>办公（剩余）</t>
  </si>
  <si>
    <t xml:space="preserve">      最终结果
用途</t>
  </si>
  <si>
    <t>基准地价法</t>
  </si>
  <si>
    <t>权重</t>
  </si>
  <si>
    <t>剩余法</t>
  </si>
  <si>
    <t>出让规模</t>
  </si>
  <si>
    <t>熟地总价</t>
  </si>
  <si>
    <t>熟地单价</t>
  </si>
  <si>
    <t>政府收益总价</t>
  </si>
  <si>
    <t>补偿费</t>
  </si>
  <si>
    <t>基本价格</t>
  </si>
  <si>
    <t>办公</t>
    <phoneticPr fontId="27" type="noConversion"/>
  </si>
  <si>
    <t>张梁路</t>
    <phoneticPr fontId="27" type="noConversion"/>
  </si>
  <si>
    <t>标准写字楼</t>
  </si>
  <si>
    <t>标准写字楼</t>
    <phoneticPr fontId="27" type="noConversion"/>
  </si>
  <si>
    <t>钢混</t>
    <phoneticPr fontId="27" type="noConversion"/>
  </si>
  <si>
    <t>专业物业公司</t>
    <phoneticPr fontId="3" type="noConversion"/>
  </si>
  <si>
    <t>标准层高</t>
    <phoneticPr fontId="27" type="noConversion"/>
  </si>
  <si>
    <t>怡乐北街</t>
    <phoneticPr fontId="27" type="noConversion"/>
  </si>
  <si>
    <t>九棵树东路</t>
    <phoneticPr fontId="27" type="noConversion"/>
  </si>
  <si>
    <t>专业物业公司</t>
  </si>
  <si>
    <t>简单装修</t>
  </si>
  <si>
    <t>抵押</t>
  </si>
  <si>
    <t>1、北京市通州区北京城市副中心1102街区FXZ-1102-6002地块供地项目F3其他类多功能用地(住商办八级Ⅷ-通1)</t>
    <phoneticPr fontId="284" type="noConversion"/>
  </si>
  <si>
    <t>城市主干道——张凤路</t>
    <phoneticPr fontId="3" type="noConversion"/>
  </si>
  <si>
    <t>http://map.sogou.com/t/jE5icr</t>
    <phoneticPr fontId="228" type="noConversion"/>
  </si>
  <si>
    <t>http://map.sogou.com/t/84PLqG</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</si>
</sst>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_);[Red]\(0.0000\)"/>
    <numFmt numFmtId="196" formatCode="0.0000"/>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sz val="11"/>
      <color theme="9" tint="-0.249977111117893"/>
      <name val="宋体"/>
      <family val="3"/>
      <charset val="134"/>
    </font>
    <font>
      <sz val="11"/>
      <color indexed="8"/>
      <name val="Arial"/>
      <family val="3"/>
      <charset val="134"/>
    </font>
    <font>
      <sz val="12"/>
      <color indexed="8"/>
      <name val="仿宋_GB2312"/>
      <charset val="134"/>
    </font>
    <font>
      <b/>
      <sz val="9"/>
      <color theme="1"/>
      <name val="宋体"/>
      <family val="3"/>
      <charset val="134"/>
    </font>
    <font>
      <sz val="9"/>
      <name val="仿宋_GB2312"/>
      <charset val="134"/>
    </font>
    <font>
      <sz val="12"/>
      <color theme="1"/>
      <name val="仿宋_GB2312"/>
      <charset val="134"/>
    </font>
    <font>
      <sz val="6"/>
      <color theme="1"/>
      <name val="宋体"/>
      <family val="3"/>
      <charset val="134"/>
    </font>
    <font>
      <sz val="9"/>
      <color theme="1"/>
      <name val="宋体"/>
      <family val="3"/>
      <charset val="134"/>
    </font>
    <font>
      <sz val="8"/>
      <color theme="1"/>
      <name val="宋体"/>
      <family val="3"/>
      <charset val="134"/>
    </font>
    <font>
      <sz val="8"/>
      <name val="宋体"/>
      <family val="3"/>
      <charset val="134"/>
    </font>
    <font>
      <sz val="8"/>
      <color theme="1"/>
      <name val="仿宋_GB2312"/>
      <charset val="134"/>
    </font>
    <font>
      <sz val="8"/>
      <color rgb="FFFF0000"/>
      <name val="宋体"/>
      <family val="3"/>
      <charset val="134"/>
    </font>
    <font>
      <sz val="12"/>
      <color indexed="8"/>
      <name val="Times New Roman"/>
      <family val="1"/>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indexed="45"/>
        <bgColor indexed="64"/>
      </patternFill>
    </fill>
    <fill>
      <patternFill patternType="solid">
        <fgColor indexed="15"/>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diagonalDown="1">
      <left style="thin">
        <color auto="1"/>
      </left>
      <right style="thin">
        <color auto="1"/>
      </right>
      <top style="thin">
        <color auto="1"/>
      </top>
      <bottom style="thin">
        <color auto="1"/>
      </bottom>
      <diagonal style="thin">
        <color auto="1"/>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xf numFmtId="0" fontId="282" fillId="0" borderId="0">
      <alignment vertical="center"/>
    </xf>
    <xf numFmtId="0" fontId="293" fillId="0" borderId="0" applyNumberFormat="0" applyFill="0" applyBorder="0" applyAlignment="0" applyProtection="0">
      <alignment vertical="center"/>
    </xf>
  </cellStyleXfs>
  <cellXfs count="369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7"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2" fillId="0" borderId="0" xfId="7" applyFont="1" applyAlignment="1">
      <alignment horizontal="left" vertical="center"/>
    </xf>
    <xf numFmtId="14" fontId="272" fillId="0" borderId="0" xfId="7" applyNumberFormat="1" applyFont="1" applyAlignment="1">
      <alignment horizontal="left" vertical="center"/>
    </xf>
    <xf numFmtId="0" fontId="273"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84" fontId="274" fillId="0" borderId="2" xfId="7" applyNumberFormat="1" applyFont="1" applyFill="1" applyBorder="1" applyAlignment="1">
      <alignment horizontal="left" vertical="center"/>
    </xf>
    <xf numFmtId="191" fontId="274"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272" fillId="0" borderId="2" xfId="7" applyFont="1" applyBorder="1" applyAlignment="1">
      <alignment horizontal="left" vertical="center"/>
    </xf>
    <xf numFmtId="184" fontId="274"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6" fillId="0" borderId="0" xfId="7" applyFont="1" applyBorder="1" applyAlignment="1">
      <alignment horizontal="left" vertical="center"/>
    </xf>
    <xf numFmtId="0" fontId="274" fillId="0" borderId="154" xfId="7" applyFont="1" applyFill="1" applyBorder="1" applyAlignment="1">
      <alignment horizontal="left" vertical="center"/>
    </xf>
    <xf numFmtId="191" fontId="274" fillId="0" borderId="154" xfId="7" applyNumberFormat="1" applyFont="1" applyFill="1" applyBorder="1" applyAlignment="1">
      <alignment horizontal="left" vertical="center"/>
    </xf>
    <xf numFmtId="0" fontId="274" fillId="0" borderId="5" xfId="7" applyFont="1" applyBorder="1" applyAlignment="1">
      <alignment horizontal="left" vertical="center"/>
    </xf>
    <xf numFmtId="184" fontId="274" fillId="0" borderId="5" xfId="7" applyNumberFormat="1" applyFont="1" applyFill="1" applyBorder="1" applyAlignment="1">
      <alignment horizontal="left" vertical="center"/>
    </xf>
    <xf numFmtId="14" fontId="272" fillId="0" borderId="5" xfId="7" applyNumberFormat="1" applyFont="1" applyBorder="1" applyAlignment="1">
      <alignment horizontal="left" vertical="center"/>
    </xf>
    <xf numFmtId="0" fontId="272"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5" fillId="6" borderId="10" xfId="7" applyFont="1" applyFill="1" applyBorder="1" applyAlignment="1">
      <alignment horizontal="left" vertical="center"/>
    </xf>
    <xf numFmtId="0" fontId="275"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59"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1"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1"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1"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6"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6" fillId="5" borderId="2" xfId="14" applyNumberFormat="1" applyFont="1" applyFill="1" applyBorder="1" applyAlignment="1" applyProtection="1">
      <alignment horizontal="left" vertical="center" wrapText="1"/>
    </xf>
    <xf numFmtId="0" fontId="255" fillId="5" borderId="2" xfId="14" applyFill="1" applyBorder="1" applyAlignment="1" applyProtection="1">
      <alignment horizontal="left" vertical="center"/>
    </xf>
    <xf numFmtId="0" fontId="256"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6" fillId="0" borderId="10" xfId="14" applyFont="1" applyFill="1" applyBorder="1" applyAlignment="1" applyProtection="1">
      <alignment horizontal="left" vertical="center" wrapText="1"/>
      <protection locked="0"/>
    </xf>
    <xf numFmtId="0" fontId="255" fillId="0" borderId="2" xfId="14" applyBorder="1" applyAlignment="1" applyProtection="1">
      <alignment horizontal="left" vertical="center"/>
      <protection locked="0"/>
    </xf>
    <xf numFmtId="0" fontId="256" fillId="0" borderId="2" xfId="14" applyFont="1" applyFill="1" applyBorder="1" applyAlignment="1" applyProtection="1">
      <alignment horizontal="left" vertical="center" wrapText="1"/>
      <protection locked="0"/>
    </xf>
    <xf numFmtId="0" fontId="256"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1" fillId="5" borderId="59" xfId="0" applyNumberFormat="1" applyFont="1" applyFill="1" applyBorder="1" applyAlignment="1" applyProtection="1"/>
    <xf numFmtId="0" fontId="272" fillId="5" borderId="2" xfId="0" applyFont="1" applyFill="1" applyBorder="1" applyProtection="1">
      <alignment vertical="center"/>
    </xf>
    <xf numFmtId="0" fontId="272" fillId="13" borderId="0" xfId="0" applyFont="1" applyFill="1" applyProtection="1">
      <alignment vertical="center"/>
      <protection locked="0"/>
    </xf>
    <xf numFmtId="0" fontId="272"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8"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227" fillId="5" borderId="0" xfId="4" applyFont="1" applyFill="1" applyAlignment="1">
      <alignment vertical="center"/>
    </xf>
    <xf numFmtId="0" fontId="227" fillId="5" borderId="2" xfId="4" applyFont="1" applyFill="1" applyBorder="1" applyAlignment="1">
      <alignment horizontal="left" vertical="center" wrapText="1"/>
    </xf>
    <xf numFmtId="14" fontId="200" fillId="5" borderId="2" xfId="4" applyNumberFormat="1" applyFont="1" applyFill="1" applyBorder="1" applyAlignment="1">
      <alignment horizontal="center" wrapText="1"/>
    </xf>
    <xf numFmtId="0" fontId="200" fillId="5" borderId="2" xfId="4" applyFont="1" applyFill="1" applyBorder="1" applyAlignment="1">
      <alignment horizontal="center" wrapText="1"/>
    </xf>
    <xf numFmtId="180" fontId="279" fillId="5" borderId="2" xfId="4" applyNumberFormat="1" applyFont="1" applyFill="1" applyBorder="1" applyAlignment="1">
      <alignment horizontal="center"/>
    </xf>
    <xf numFmtId="0" fontId="145" fillId="0" borderId="0" xfId="0" applyFont="1" applyAlignment="1"/>
    <xf numFmtId="0" fontId="75"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260" fillId="0" borderId="7" xfId="0" applyNumberFormat="1" applyFont="1" applyBorder="1" applyAlignment="1" applyProtection="1">
      <alignment horizontal="left" vertical="center" wrapText="1"/>
      <protection locked="0"/>
    </xf>
    <xf numFmtId="49" fontId="260" fillId="0" borderId="12" xfId="0" applyNumberFormat="1" applyFont="1" applyBorder="1" applyAlignment="1" applyProtection="1">
      <alignment horizontal="left" vertical="center" wrapText="1"/>
      <protection locked="0"/>
    </xf>
    <xf numFmtId="0" fontId="260" fillId="0" borderId="12" xfId="0" applyFont="1" applyBorder="1" applyAlignment="1" applyProtection="1">
      <alignment horizontal="left" vertical="center" wrapText="1"/>
      <protection locked="0"/>
    </xf>
    <xf numFmtId="0" fontId="280" fillId="0" borderId="46" xfId="0" applyFont="1" applyBorder="1" applyAlignment="1" applyProtection="1">
      <alignment horizontal="left" vertical="center"/>
      <protection locked="0"/>
    </xf>
    <xf numFmtId="0" fontId="281" fillId="0" borderId="2" xfId="0" applyFont="1" applyBorder="1" applyAlignment="1" applyProtection="1">
      <alignment horizontal="center" vertical="center"/>
      <protection locked="0"/>
    </xf>
    <xf numFmtId="0" fontId="145" fillId="0" borderId="0" xfId="1">
      <alignment vertical="center"/>
    </xf>
    <xf numFmtId="0" fontId="145" fillId="9" borderId="0" xfId="1" applyFill="1">
      <alignment vertical="center"/>
    </xf>
    <xf numFmtId="0" fontId="81" fillId="0" borderId="59" xfId="0" applyNumberFormat="1" applyFont="1" applyFill="1" applyBorder="1" applyAlignment="1" applyProtection="1">
      <alignment horizontal="center" vertical="center" wrapText="1"/>
      <protection locked="0"/>
    </xf>
    <xf numFmtId="0" fontId="81" fillId="0" borderId="74" xfId="0" applyFont="1" applyBorder="1" applyAlignment="1" applyProtection="1">
      <alignment horizontal="center" vertical="center" wrapText="1"/>
      <protection locked="0"/>
    </xf>
    <xf numFmtId="0" fontId="144" fillId="0" borderId="74" xfId="0" applyFont="1" applyBorder="1" applyAlignment="1" applyProtection="1">
      <alignment horizontal="center" vertical="center" wrapText="1"/>
      <protection locked="0"/>
    </xf>
    <xf numFmtId="0" fontId="71" fillId="0" borderId="71" xfId="0" applyFont="1" applyBorder="1" applyAlignment="1" applyProtection="1">
      <alignment horizontal="center" vertical="center" wrapText="1"/>
      <protection locked="0"/>
    </xf>
    <xf numFmtId="0" fontId="84" fillId="0" borderId="71" xfId="0" applyFont="1" applyBorder="1" applyAlignment="1" applyProtection="1">
      <alignment horizontal="center" vertical="center" wrapText="1"/>
      <protection locked="0"/>
    </xf>
    <xf numFmtId="0" fontId="144" fillId="0" borderId="6" xfId="0" applyFont="1" applyBorder="1" applyAlignment="1" applyProtection="1">
      <alignment horizontal="center" vertical="center" wrapText="1"/>
      <protection locked="0"/>
    </xf>
    <xf numFmtId="0" fontId="71" fillId="0" borderId="74" xfId="0" applyFont="1" applyBorder="1" applyAlignment="1" applyProtection="1">
      <alignment horizontal="center" vertical="center" wrapText="1"/>
      <protection locked="0"/>
    </xf>
    <xf numFmtId="0" fontId="81" fillId="0" borderId="78" xfId="0" applyFont="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0" fontId="285" fillId="0" borderId="0" xfId="16" applyFont="1">
      <alignment vertical="center"/>
    </xf>
    <xf numFmtId="0" fontId="286" fillId="0" borderId="157" xfId="16" applyFont="1" applyBorder="1" applyAlignment="1">
      <alignment horizontal="left" vertical="top" wrapText="1"/>
    </xf>
    <xf numFmtId="0" fontId="287" fillId="0" borderId="2" xfId="16" applyFont="1" applyBorder="1" applyAlignment="1">
      <alignment horizontal="center" vertical="center" wrapText="1"/>
    </xf>
    <xf numFmtId="0" fontId="286" fillId="0" borderId="2" xfId="16" applyFont="1" applyBorder="1" applyAlignment="1">
      <alignment horizontal="center" vertical="center" wrapText="1"/>
    </xf>
    <xf numFmtId="0" fontId="288" fillId="0" borderId="2" xfId="16" applyFont="1" applyBorder="1" applyAlignment="1">
      <alignment horizontal="center" vertical="center" wrapText="1"/>
    </xf>
    <xf numFmtId="0" fontId="288" fillId="2" borderId="2" xfId="16" applyFont="1" applyFill="1" applyBorder="1" applyAlignment="1">
      <alignment horizontal="center" vertical="center" wrapText="1"/>
    </xf>
    <xf numFmtId="0" fontId="288" fillId="20" borderId="2" xfId="16" applyFont="1" applyFill="1" applyBorder="1" applyAlignment="1">
      <alignment horizontal="center" vertical="center" wrapText="1"/>
    </xf>
    <xf numFmtId="185" fontId="288" fillId="0" borderId="2" xfId="16" applyNumberFormat="1" applyFont="1" applyBorder="1" applyAlignment="1">
      <alignment horizontal="center" vertical="center"/>
    </xf>
    <xf numFmtId="0" fontId="289" fillId="0" borderId="2" xfId="16" applyFont="1" applyBorder="1" applyAlignment="1">
      <alignment horizontal="center" vertical="center" wrapText="1"/>
    </xf>
    <xf numFmtId="195" fontId="289" fillId="0" borderId="2" xfId="16" applyNumberFormat="1" applyFont="1" applyBorder="1" applyAlignment="1">
      <alignment horizontal="center" vertical="center"/>
    </xf>
    <xf numFmtId="195" fontId="288" fillId="0" borderId="2" xfId="16" applyNumberFormat="1" applyFont="1" applyBorder="1" applyAlignment="1">
      <alignment horizontal="center" vertical="center"/>
    </xf>
    <xf numFmtId="178" fontId="288" fillId="2" borderId="2" xfId="16" applyNumberFormat="1" applyFont="1" applyFill="1" applyBorder="1" applyAlignment="1">
      <alignment horizontal="center" vertical="center"/>
    </xf>
    <xf numFmtId="178" fontId="288" fillId="20" borderId="2" xfId="16" applyNumberFormat="1" applyFont="1" applyFill="1" applyBorder="1" applyAlignment="1">
      <alignment horizontal="center" vertical="center"/>
    </xf>
    <xf numFmtId="0" fontId="290" fillId="0" borderId="0" xfId="16" applyFont="1">
      <alignment vertical="center"/>
    </xf>
    <xf numFmtId="195" fontId="288" fillId="0" borderId="3" xfId="16" applyNumberFormat="1" applyFont="1" applyBorder="1" applyAlignment="1">
      <alignment horizontal="center" vertical="center"/>
    </xf>
    <xf numFmtId="0" fontId="291" fillId="0" borderId="2" xfId="16" applyFont="1" applyBorder="1" applyAlignment="1">
      <alignment horizontal="center" vertical="center" wrapText="1"/>
    </xf>
    <xf numFmtId="195" fontId="291" fillId="0" borderId="2" xfId="16" applyNumberFormat="1" applyFont="1" applyBorder="1" applyAlignment="1">
      <alignment horizontal="center" vertical="center"/>
    </xf>
    <xf numFmtId="195" fontId="288" fillId="0" borderId="0" xfId="16" applyNumberFormat="1" applyFont="1" applyAlignment="1">
      <alignment horizontal="center" vertical="center"/>
    </xf>
    <xf numFmtId="0" fontId="287" fillId="2" borderId="2" xfId="16" applyFont="1" applyFill="1" applyBorder="1" applyAlignment="1">
      <alignment horizontal="center" vertical="center" wrapText="1"/>
    </xf>
    <xf numFmtId="0" fontId="287" fillId="20" borderId="2" xfId="16" applyFont="1" applyFill="1" applyBorder="1" applyAlignment="1">
      <alignment horizontal="center" vertical="center" wrapText="1"/>
    </xf>
    <xf numFmtId="0" fontId="287" fillId="8" borderId="2" xfId="16" applyFont="1" applyFill="1" applyBorder="1" applyAlignment="1">
      <alignment horizontal="center" vertical="center" wrapText="1"/>
    </xf>
    <xf numFmtId="0" fontId="287" fillId="8" borderId="2" xfId="16" applyFont="1" applyFill="1" applyBorder="1" applyAlignment="1">
      <alignment horizontal="center" vertical="center"/>
    </xf>
    <xf numFmtId="178" fontId="287" fillId="8" borderId="2" xfId="16" applyNumberFormat="1" applyFont="1" applyFill="1" applyBorder="1" applyAlignment="1">
      <alignment horizontal="center" vertical="center"/>
    </xf>
    <xf numFmtId="0" fontId="287" fillId="2" borderId="2" xfId="16" applyFont="1" applyFill="1" applyBorder="1" applyAlignment="1">
      <alignment horizontal="center" vertical="center"/>
    </xf>
    <xf numFmtId="1" fontId="287" fillId="20" borderId="2" xfId="16" applyNumberFormat="1" applyFont="1" applyFill="1" applyBorder="1" applyAlignment="1">
      <alignment horizontal="center" vertical="center"/>
    </xf>
    <xf numFmtId="0" fontId="285" fillId="8" borderId="0" xfId="16" applyFont="1" applyFill="1">
      <alignment vertical="center"/>
    </xf>
    <xf numFmtId="0" fontId="288" fillId="8" borderId="2" xfId="16" applyFont="1" applyFill="1" applyBorder="1" applyAlignment="1">
      <alignment horizontal="center" vertical="center" wrapText="1"/>
    </xf>
    <xf numFmtId="178" fontId="287" fillId="2" borderId="2" xfId="16" applyNumberFormat="1" applyFont="1" applyFill="1" applyBorder="1" applyAlignment="1">
      <alignment horizontal="center" vertical="center"/>
    </xf>
    <xf numFmtId="0" fontId="287" fillId="0" borderId="2" xfId="16" applyFont="1" applyBorder="1" applyAlignment="1">
      <alignment horizontal="center" vertical="center"/>
    </xf>
    <xf numFmtId="9" fontId="285" fillId="0" borderId="0" xfId="16" applyNumberFormat="1" applyFont="1">
      <alignment vertical="center"/>
    </xf>
    <xf numFmtId="0" fontId="286" fillId="21" borderId="157" xfId="16" applyFont="1" applyFill="1" applyBorder="1" applyAlignment="1">
      <alignment horizontal="left" vertical="top" wrapText="1"/>
    </xf>
    <xf numFmtId="0" fontId="287" fillId="21" borderId="2" xfId="16" applyFont="1" applyFill="1" applyBorder="1" applyAlignment="1">
      <alignment horizontal="center" vertical="center" wrapText="1"/>
    </xf>
    <xf numFmtId="178" fontId="287" fillId="8" borderId="2" xfId="16" applyNumberFormat="1" applyFont="1" applyFill="1" applyBorder="1" applyAlignment="1">
      <alignment horizontal="center" vertical="center" wrapText="1"/>
    </xf>
    <xf numFmtId="9" fontId="287" fillId="0" borderId="2" xfId="16" applyNumberFormat="1" applyFont="1" applyBorder="1" applyAlignment="1">
      <alignment horizontal="center" vertical="center"/>
    </xf>
    <xf numFmtId="178" fontId="287" fillId="0" borderId="2" xfId="16" applyNumberFormat="1" applyFont="1" applyBorder="1" applyAlignment="1">
      <alignment horizontal="center" vertical="center" wrapText="1"/>
    </xf>
    <xf numFmtId="182" fontId="287" fillId="0" borderId="2" xfId="16" applyNumberFormat="1" applyFont="1" applyBorder="1" applyAlignment="1">
      <alignment horizontal="center" vertical="center"/>
    </xf>
    <xf numFmtId="180" fontId="287" fillId="0" borderId="2" xfId="16" applyNumberFormat="1" applyFont="1" applyBorder="1" applyAlignment="1">
      <alignment horizontal="center" vertical="center"/>
    </xf>
    <xf numFmtId="178" fontId="287" fillId="20" borderId="2" xfId="16" applyNumberFormat="1" applyFont="1" applyFill="1" applyBorder="1" applyAlignment="1">
      <alignment horizontal="center" vertical="center" wrapText="1"/>
    </xf>
    <xf numFmtId="178" fontId="285" fillId="0" borderId="0" xfId="16" applyNumberFormat="1" applyFont="1">
      <alignment vertical="center"/>
    </xf>
    <xf numFmtId="0" fontId="285" fillId="0" borderId="0" xfId="16" applyFont="1" applyAlignment="1">
      <alignment vertical="center" wrapText="1"/>
    </xf>
    <xf numFmtId="178" fontId="287" fillId="8" borderId="10" xfId="16" applyNumberFormat="1" applyFont="1" applyFill="1" applyBorder="1" applyAlignment="1">
      <alignment horizontal="center" vertical="center" wrapText="1"/>
    </xf>
    <xf numFmtId="178" fontId="287" fillId="0" borderId="10" xfId="16" applyNumberFormat="1" applyFont="1" applyBorder="1" applyAlignment="1">
      <alignment horizontal="center" vertical="center" wrapText="1"/>
    </xf>
    <xf numFmtId="0" fontId="287" fillId="0" borderId="10" xfId="16" applyFont="1" applyBorder="1" applyAlignment="1">
      <alignment horizontal="center" vertical="center" wrapText="1"/>
    </xf>
    <xf numFmtId="182" fontId="287" fillId="0" borderId="10" xfId="16" applyNumberFormat="1" applyFont="1" applyBorder="1" applyAlignment="1">
      <alignment horizontal="center" vertical="center"/>
    </xf>
    <xf numFmtId="0" fontId="287" fillId="0" borderId="10" xfId="16" applyFont="1" applyBorder="1" applyAlignment="1">
      <alignment horizontal="center" vertical="center"/>
    </xf>
    <xf numFmtId="180" fontId="287" fillId="0" borderId="10" xfId="16" applyNumberFormat="1" applyFont="1" applyBorder="1" applyAlignment="1">
      <alignment horizontal="center" vertical="center"/>
    </xf>
    <xf numFmtId="0" fontId="288" fillId="0" borderId="10" xfId="16" applyFont="1" applyBorder="1" applyAlignment="1">
      <alignment horizontal="center" vertical="center" wrapText="1"/>
    </xf>
    <xf numFmtId="0" fontId="285" fillId="0" borderId="10" xfId="16" applyFont="1" applyBorder="1">
      <alignment vertical="center"/>
    </xf>
    <xf numFmtId="0" fontId="285" fillId="0" borderId="10" xfId="16" applyFont="1" applyBorder="1" applyAlignment="1">
      <alignment horizontal="center" vertical="center"/>
    </xf>
    <xf numFmtId="0" fontId="285" fillId="0" borderId="2" xfId="16" applyFont="1" applyBorder="1">
      <alignment vertical="center"/>
    </xf>
    <xf numFmtId="0" fontId="285" fillId="0" borderId="2" xfId="16" applyFont="1" applyBorder="1" applyAlignment="1">
      <alignment horizontal="center" vertical="center"/>
    </xf>
    <xf numFmtId="180" fontId="287" fillId="6" borderId="2" xfId="16" applyNumberFormat="1" applyFont="1" applyFill="1" applyBorder="1" applyAlignment="1">
      <alignment horizontal="center" vertical="center"/>
    </xf>
    <xf numFmtId="0" fontId="292" fillId="7" borderId="0" xfId="16" applyFont="1" applyFill="1">
      <alignment vertical="center"/>
    </xf>
    <xf numFmtId="0" fontId="292" fillId="7" borderId="0" xfId="16" applyFont="1" applyFill="1" applyAlignment="1">
      <alignment horizontal="center" vertical="center"/>
    </xf>
    <xf numFmtId="185" fontId="292" fillId="7" borderId="0" xfId="16" applyNumberFormat="1" applyFont="1" applyFill="1" applyAlignment="1">
      <alignment horizontal="center" vertical="center"/>
    </xf>
    <xf numFmtId="0" fontId="292" fillId="0" borderId="0" xfId="16" applyFont="1">
      <alignment vertical="center"/>
    </xf>
    <xf numFmtId="0" fontId="292" fillId="0" borderId="0" xfId="16" applyFont="1" applyAlignment="1">
      <alignment horizontal="center" vertical="center"/>
    </xf>
    <xf numFmtId="185" fontId="292" fillId="0" borderId="0" xfId="16" applyNumberFormat="1" applyFont="1" applyAlignment="1">
      <alignment horizontal="center" vertical="center"/>
    </xf>
    <xf numFmtId="183" fontId="149" fillId="0" borderId="2" xfId="3" applyNumberFormat="1" applyFont="1" applyBorder="1" applyAlignment="1" applyProtection="1">
      <alignment horizontal="center" vertical="center"/>
      <protection locked="0"/>
    </xf>
    <xf numFmtId="186" fontId="83" fillId="16" borderId="83" xfId="3" applyNumberFormat="1" applyFont="1" applyFill="1" applyBorder="1" applyAlignment="1" applyProtection="1">
      <alignment horizontal="center" vertical="center" wrapText="1"/>
    </xf>
    <xf numFmtId="0" fontId="144" fillId="0" borderId="8"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0" fontId="75" fillId="5" borderId="2" xfId="0" applyNumberFormat="1" applyFont="1" applyFill="1" applyBorder="1" applyAlignment="1" applyProtection="1">
      <alignment horizontal="right" vertical="center"/>
    </xf>
    <xf numFmtId="196" fontId="85" fillId="5" borderId="12" xfId="0" applyNumberFormat="1" applyFont="1" applyFill="1" applyBorder="1" applyAlignment="1" applyProtection="1">
      <alignment horizontal="center" vertical="center"/>
    </xf>
    <xf numFmtId="10" fontId="75" fillId="9" borderId="2" xfId="2" applyNumberFormat="1" applyFont="1" applyFill="1" applyBorder="1" applyAlignment="1" applyProtection="1">
      <alignment horizontal="center" vertical="center"/>
    </xf>
    <xf numFmtId="182" fontId="76" fillId="9" borderId="12" xfId="0" applyNumberFormat="1" applyFont="1" applyFill="1" applyBorder="1" applyAlignment="1" applyProtection="1">
      <alignment horizontal="center" vertical="center"/>
    </xf>
    <xf numFmtId="180" fontId="211" fillId="8" borderId="2" xfId="16" applyNumberFormat="1" applyFont="1" applyFill="1" applyBorder="1" applyAlignment="1">
      <alignment horizontal="center" vertical="center"/>
    </xf>
    <xf numFmtId="182" fontId="71" fillId="11" borderId="2" xfId="0" applyNumberFormat="1" applyFont="1" applyFill="1" applyBorder="1" applyAlignment="1" applyProtection="1">
      <alignment vertical="center"/>
      <protection locked="0"/>
    </xf>
    <xf numFmtId="177" fontId="292" fillId="0" borderId="0" xfId="16" applyNumberFormat="1" applyFont="1" applyAlignment="1">
      <alignment horizontal="center" vertical="center"/>
    </xf>
    <xf numFmtId="0" fontId="293" fillId="0" borderId="0" xfId="17">
      <alignment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4" fillId="0" borderId="2" xfId="7" applyFont="1" applyBorder="1" applyAlignment="1">
      <alignment horizontal="left" vertical="center"/>
    </xf>
    <xf numFmtId="0" fontId="274" fillId="0" borderId="5" xfId="7" applyFont="1" applyBorder="1" applyAlignment="1">
      <alignment horizontal="left" vertical="center"/>
    </xf>
    <xf numFmtId="0" fontId="274" fillId="0" borderId="154" xfId="7" applyFont="1" applyBorder="1" applyAlignment="1">
      <alignment horizontal="left" vertical="center"/>
    </xf>
    <xf numFmtId="0" fontId="275" fillId="6" borderId="5" xfId="7" applyFont="1" applyFill="1" applyBorder="1" applyAlignment="1">
      <alignment horizontal="left" vertical="center"/>
    </xf>
    <xf numFmtId="0" fontId="275"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283" fillId="0" borderId="0" xfId="16" applyFont="1" applyAlignment="1">
      <alignment horizontal="left" vertical="center"/>
    </xf>
    <xf numFmtId="0" fontId="283" fillId="0" borderId="0" xfId="16" applyFont="1" applyAlignment="1">
      <alignment horizontal="center" vertical="center"/>
    </xf>
    <xf numFmtId="0" fontId="288" fillId="0" borderId="2" xfId="16" applyFont="1" applyBorder="1" applyAlignment="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8" fillId="5" borderId="10" xfId="0" applyFont="1" applyFill="1" applyBorder="1" applyAlignment="1" applyProtection="1">
      <alignment vertical="center" wrapText="1"/>
    </xf>
    <xf numFmtId="0" fontId="268" fillId="5" borderId="3" xfId="0" applyFont="1" applyFill="1" applyBorder="1" applyAlignment="1" applyProtection="1">
      <alignment vertical="center" wrapText="1"/>
    </xf>
    <xf numFmtId="0" fontId="268"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8">
    <cellStyle name="百分比 2" xfId="11" xr:uid="{00000000-0005-0000-0000-000000000000}"/>
    <cellStyle name="常规" xfId="0" builtinId="0"/>
    <cellStyle name="常规 11" xfId="16" xr:uid="{00000000-0005-0000-0000-000002000000}"/>
    <cellStyle name="常规 16" xfId="1" xr:uid="{00000000-0005-0000-0000-000003000000}"/>
    <cellStyle name="常规 2" xfId="2" xr:uid="{00000000-0005-0000-0000-000004000000}"/>
    <cellStyle name="常规 2 2" xfId="3" xr:uid="{00000000-0005-0000-0000-000005000000}"/>
    <cellStyle name="常规 2 2 2 2 3" xfId="12" xr:uid="{00000000-0005-0000-0000-000006000000}"/>
    <cellStyle name="常规 3" xfId="4" xr:uid="{00000000-0005-0000-0000-000007000000}"/>
    <cellStyle name="常规 3 2" xfId="5" xr:uid="{00000000-0005-0000-0000-000008000000}"/>
    <cellStyle name="常规 4" xfId="6" xr:uid="{00000000-0005-0000-0000-000009000000}"/>
    <cellStyle name="常规 5" xfId="7" xr:uid="{00000000-0005-0000-0000-00000A000000}"/>
    <cellStyle name="常规 6" xfId="8" xr:uid="{00000000-0005-0000-0000-00000B000000}"/>
    <cellStyle name="常规 6 2" xfId="10" xr:uid="{00000000-0005-0000-0000-00000C000000}"/>
    <cellStyle name="常规 6 2 2" xfId="13" xr:uid="{00000000-0005-0000-0000-00000D000000}"/>
    <cellStyle name="常规 7" xfId="9" xr:uid="{00000000-0005-0000-0000-00000E000000}"/>
    <cellStyle name="常规 8" xfId="15" xr:uid="{00000000-0005-0000-0000-00000F000000}"/>
    <cellStyle name="常规 9" xfId="14" xr:uid="{00000000-0005-0000-0000-000010000000}"/>
    <cellStyle name="超链接" xfId="17" builtinId="8"/>
  </cellStyles>
  <dxfs count="23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4.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14</xdr:col>
      <xdr:colOff>228432</xdr:colOff>
      <xdr:row>22</xdr:row>
      <xdr:rowOff>113981</xdr:rowOff>
    </xdr:to>
    <xdr:pic>
      <xdr:nvPicPr>
        <xdr:cNvPr id="3" name="图片 2">
          <a:extLst>
            <a:ext uri="{FF2B5EF4-FFF2-40B4-BE49-F238E27FC236}">
              <a16:creationId xmlns:a16="http://schemas.microsoft.com/office/drawing/2014/main" id="{350687D0-DF44-4032-B925-BB15CAA35C9D}"/>
            </a:ext>
          </a:extLst>
        </xdr:cNvPr>
        <xdr:cNvPicPr>
          <a:picLocks noChangeAspect="1"/>
        </xdr:cNvPicPr>
      </xdr:nvPicPr>
      <xdr:blipFill>
        <a:blip xmlns:r="http://schemas.openxmlformats.org/officeDocument/2006/relationships" r:embed="rId1"/>
        <a:stretch>
          <a:fillRect/>
        </a:stretch>
      </xdr:blipFill>
      <xdr:spPr>
        <a:xfrm>
          <a:off x="8077200" y="180975"/>
          <a:ext cx="1342857" cy="25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170571</xdr:colOff>
      <xdr:row>32</xdr:row>
      <xdr:rowOff>104076</xdr:rowOff>
    </xdr:to>
    <xdr:pic>
      <xdr:nvPicPr>
        <xdr:cNvPr id="2" name="图片 1">
          <a:extLst>
            <a:ext uri="{FF2B5EF4-FFF2-40B4-BE49-F238E27FC236}">
              <a16:creationId xmlns:a16="http://schemas.microsoft.com/office/drawing/2014/main" id="{91E62280-51B0-46CD-BEDB-D3283A22A88F}"/>
            </a:ext>
          </a:extLst>
        </xdr:cNvPr>
        <xdr:cNvPicPr>
          <a:picLocks noChangeAspect="1"/>
        </xdr:cNvPicPr>
      </xdr:nvPicPr>
      <xdr:blipFill>
        <a:blip xmlns:r="http://schemas.openxmlformats.org/officeDocument/2006/relationships" r:embed="rId1"/>
        <a:stretch>
          <a:fillRect/>
        </a:stretch>
      </xdr:blipFill>
      <xdr:spPr>
        <a:xfrm>
          <a:off x="0" y="0"/>
          <a:ext cx="7028571" cy="5590476"/>
        </a:xfrm>
        <a:prstGeom prst="rect">
          <a:avLst/>
        </a:prstGeom>
      </xdr:spPr>
    </xdr:pic>
    <xdr:clientData/>
  </xdr:twoCellAnchor>
  <xdr:twoCellAnchor editAs="oneCell">
    <xdr:from>
      <xdr:col>0</xdr:col>
      <xdr:colOff>0</xdr:colOff>
      <xdr:row>35</xdr:row>
      <xdr:rowOff>0</xdr:rowOff>
    </xdr:from>
    <xdr:to>
      <xdr:col>9</xdr:col>
      <xdr:colOff>332562</xdr:colOff>
      <xdr:row>63</xdr:row>
      <xdr:rowOff>18448</xdr:rowOff>
    </xdr:to>
    <xdr:pic>
      <xdr:nvPicPr>
        <xdr:cNvPr id="3" name="图片 2">
          <a:extLst>
            <a:ext uri="{FF2B5EF4-FFF2-40B4-BE49-F238E27FC236}">
              <a16:creationId xmlns:a16="http://schemas.microsoft.com/office/drawing/2014/main" id="{32ADC818-3152-4BF9-8C20-32A393F4EAC1}"/>
            </a:ext>
          </a:extLst>
        </xdr:cNvPr>
        <xdr:cNvPicPr>
          <a:picLocks noChangeAspect="1"/>
        </xdr:cNvPicPr>
      </xdr:nvPicPr>
      <xdr:blipFill>
        <a:blip xmlns:r="http://schemas.openxmlformats.org/officeDocument/2006/relationships" r:embed="rId2"/>
        <a:stretch>
          <a:fillRect/>
        </a:stretch>
      </xdr:blipFill>
      <xdr:spPr>
        <a:xfrm>
          <a:off x="0" y="6000750"/>
          <a:ext cx="6504762" cy="48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5</xdr:col>
      <xdr:colOff>219075</xdr:colOff>
      <xdr:row>12</xdr:row>
      <xdr:rowOff>53381</xdr:rowOff>
    </xdr:to>
    <xdr:pic>
      <xdr:nvPicPr>
        <xdr:cNvPr id="3" name="图片 2">
          <a:extLst>
            <a:ext uri="{FF2B5EF4-FFF2-40B4-BE49-F238E27FC236}">
              <a16:creationId xmlns:a16="http://schemas.microsoft.com/office/drawing/2014/main" id="{1DE3CDD9-D78D-4C2E-9F70-EC320320E8A8}"/>
            </a:ext>
          </a:extLst>
        </xdr:cNvPr>
        <xdr:cNvPicPr>
          <a:picLocks noChangeAspect="1"/>
        </xdr:cNvPicPr>
      </xdr:nvPicPr>
      <xdr:blipFill>
        <a:blip xmlns:r="http://schemas.openxmlformats.org/officeDocument/2006/relationships" r:embed="rId1"/>
        <a:stretch>
          <a:fillRect/>
        </a:stretch>
      </xdr:blipFill>
      <xdr:spPr>
        <a:xfrm>
          <a:off x="685800" y="171450"/>
          <a:ext cx="2962275" cy="1939331"/>
        </a:xfrm>
        <a:prstGeom prst="rect">
          <a:avLst/>
        </a:prstGeom>
      </xdr:spPr>
    </xdr:pic>
    <xdr:clientData/>
  </xdr:twoCellAnchor>
  <xdr:twoCellAnchor editAs="oneCell">
    <xdr:from>
      <xdr:col>6</xdr:col>
      <xdr:colOff>0</xdr:colOff>
      <xdr:row>1</xdr:row>
      <xdr:rowOff>1</xdr:rowOff>
    </xdr:from>
    <xdr:to>
      <xdr:col>10</xdr:col>
      <xdr:colOff>0</xdr:colOff>
      <xdr:row>12</xdr:row>
      <xdr:rowOff>143429</xdr:rowOff>
    </xdr:to>
    <xdr:pic>
      <xdr:nvPicPr>
        <xdr:cNvPr id="4" name="图片 3">
          <a:extLst>
            <a:ext uri="{FF2B5EF4-FFF2-40B4-BE49-F238E27FC236}">
              <a16:creationId xmlns:a16="http://schemas.microsoft.com/office/drawing/2014/main" id="{0DF824CB-4A12-4A38-9156-D05C4CD6B78F}"/>
            </a:ext>
          </a:extLst>
        </xdr:cNvPr>
        <xdr:cNvPicPr>
          <a:picLocks noChangeAspect="1"/>
        </xdr:cNvPicPr>
      </xdr:nvPicPr>
      <xdr:blipFill>
        <a:blip xmlns:r="http://schemas.openxmlformats.org/officeDocument/2006/relationships" r:embed="rId2"/>
        <a:stretch>
          <a:fillRect/>
        </a:stretch>
      </xdr:blipFill>
      <xdr:spPr>
        <a:xfrm>
          <a:off x="4114800" y="171451"/>
          <a:ext cx="2743200" cy="2029378"/>
        </a:xfrm>
        <a:prstGeom prst="rect">
          <a:avLst/>
        </a:prstGeom>
      </xdr:spPr>
    </xdr:pic>
    <xdr:clientData/>
  </xdr:twoCellAnchor>
  <xdr:twoCellAnchor editAs="oneCell">
    <xdr:from>
      <xdr:col>10</xdr:col>
      <xdr:colOff>95564</xdr:colOff>
      <xdr:row>1</xdr:row>
      <xdr:rowOff>1</xdr:rowOff>
    </xdr:from>
    <xdr:to>
      <xdr:col>18</xdr:col>
      <xdr:colOff>27623</xdr:colOff>
      <xdr:row>13</xdr:row>
      <xdr:rowOff>38100</xdr:rowOff>
    </xdr:to>
    <xdr:pic>
      <xdr:nvPicPr>
        <xdr:cNvPr id="5" name="图片 4">
          <a:extLst>
            <a:ext uri="{FF2B5EF4-FFF2-40B4-BE49-F238E27FC236}">
              <a16:creationId xmlns:a16="http://schemas.microsoft.com/office/drawing/2014/main" id="{B8334D2A-56F8-4DD0-821D-19E50EA34E04}"/>
            </a:ext>
          </a:extLst>
        </xdr:cNvPr>
        <xdr:cNvPicPr>
          <a:picLocks noChangeAspect="1"/>
        </xdr:cNvPicPr>
      </xdr:nvPicPr>
      <xdr:blipFill>
        <a:blip xmlns:r="http://schemas.openxmlformats.org/officeDocument/2006/relationships" r:embed="rId3"/>
        <a:stretch>
          <a:fillRect/>
        </a:stretch>
      </xdr:blipFill>
      <xdr:spPr>
        <a:xfrm>
          <a:off x="6953564" y="171451"/>
          <a:ext cx="5418459" cy="2095499"/>
        </a:xfrm>
        <a:prstGeom prst="rect">
          <a:avLst/>
        </a:prstGeom>
      </xdr:spPr>
    </xdr:pic>
    <xdr:clientData/>
  </xdr:twoCellAnchor>
  <xdr:twoCellAnchor editAs="oneCell">
    <xdr:from>
      <xdr:col>1</xdr:col>
      <xdr:colOff>142874</xdr:colOff>
      <xdr:row>16</xdr:row>
      <xdr:rowOff>64812</xdr:rowOff>
    </xdr:from>
    <xdr:to>
      <xdr:col>5</xdr:col>
      <xdr:colOff>135581</xdr:colOff>
      <xdr:row>28</xdr:row>
      <xdr:rowOff>152400</xdr:rowOff>
    </xdr:to>
    <xdr:pic>
      <xdr:nvPicPr>
        <xdr:cNvPr id="6" name="图片 5">
          <a:extLst>
            <a:ext uri="{FF2B5EF4-FFF2-40B4-BE49-F238E27FC236}">
              <a16:creationId xmlns:a16="http://schemas.microsoft.com/office/drawing/2014/main" id="{37447FA1-18FC-4CBA-9600-A3112E16006A}"/>
            </a:ext>
          </a:extLst>
        </xdr:cNvPr>
        <xdr:cNvPicPr>
          <a:picLocks noChangeAspect="1"/>
        </xdr:cNvPicPr>
      </xdr:nvPicPr>
      <xdr:blipFill>
        <a:blip xmlns:r="http://schemas.openxmlformats.org/officeDocument/2006/relationships" r:embed="rId4"/>
        <a:stretch>
          <a:fillRect/>
        </a:stretch>
      </xdr:blipFill>
      <xdr:spPr>
        <a:xfrm>
          <a:off x="828674" y="2808012"/>
          <a:ext cx="2735907" cy="2144988"/>
        </a:xfrm>
        <a:prstGeom prst="rect">
          <a:avLst/>
        </a:prstGeom>
      </xdr:spPr>
    </xdr:pic>
    <xdr:clientData/>
  </xdr:twoCellAnchor>
  <xdr:twoCellAnchor editAs="oneCell">
    <xdr:from>
      <xdr:col>5</xdr:col>
      <xdr:colOff>533400</xdr:colOff>
      <xdr:row>16</xdr:row>
      <xdr:rowOff>104453</xdr:rowOff>
    </xdr:from>
    <xdr:to>
      <xdr:col>10</xdr:col>
      <xdr:colOff>275627</xdr:colOff>
      <xdr:row>29</xdr:row>
      <xdr:rowOff>94831</xdr:rowOff>
    </xdr:to>
    <xdr:pic>
      <xdr:nvPicPr>
        <xdr:cNvPr id="7" name="图片 6">
          <a:extLst>
            <a:ext uri="{FF2B5EF4-FFF2-40B4-BE49-F238E27FC236}">
              <a16:creationId xmlns:a16="http://schemas.microsoft.com/office/drawing/2014/main" id="{E07C9AA6-1F4B-4AF7-BB68-E228AAE8AE56}"/>
            </a:ext>
          </a:extLst>
        </xdr:cNvPr>
        <xdr:cNvPicPr>
          <a:picLocks noChangeAspect="1"/>
        </xdr:cNvPicPr>
      </xdr:nvPicPr>
      <xdr:blipFill>
        <a:blip xmlns:r="http://schemas.openxmlformats.org/officeDocument/2006/relationships" r:embed="rId5"/>
        <a:stretch>
          <a:fillRect/>
        </a:stretch>
      </xdr:blipFill>
      <xdr:spPr>
        <a:xfrm>
          <a:off x="3962400" y="2847653"/>
          <a:ext cx="3171227" cy="2219228"/>
        </a:xfrm>
        <a:prstGeom prst="rect">
          <a:avLst/>
        </a:prstGeom>
      </xdr:spPr>
    </xdr:pic>
    <xdr:clientData/>
  </xdr:twoCellAnchor>
  <xdr:twoCellAnchor editAs="oneCell">
    <xdr:from>
      <xdr:col>10</xdr:col>
      <xdr:colOff>676274</xdr:colOff>
      <xdr:row>16</xdr:row>
      <xdr:rowOff>66205</xdr:rowOff>
    </xdr:from>
    <xdr:to>
      <xdr:col>18</xdr:col>
      <xdr:colOff>494311</xdr:colOff>
      <xdr:row>28</xdr:row>
      <xdr:rowOff>9153</xdr:rowOff>
    </xdr:to>
    <xdr:pic>
      <xdr:nvPicPr>
        <xdr:cNvPr id="8" name="图片 7">
          <a:extLst>
            <a:ext uri="{FF2B5EF4-FFF2-40B4-BE49-F238E27FC236}">
              <a16:creationId xmlns:a16="http://schemas.microsoft.com/office/drawing/2014/main" id="{621A7ED2-3ABA-41B0-B289-DB00B3A6F46D}"/>
            </a:ext>
          </a:extLst>
        </xdr:cNvPr>
        <xdr:cNvPicPr>
          <a:picLocks noChangeAspect="1"/>
        </xdr:cNvPicPr>
      </xdr:nvPicPr>
      <xdr:blipFill>
        <a:blip xmlns:r="http://schemas.openxmlformats.org/officeDocument/2006/relationships" r:embed="rId6"/>
        <a:stretch>
          <a:fillRect/>
        </a:stretch>
      </xdr:blipFill>
      <xdr:spPr>
        <a:xfrm>
          <a:off x="7534274" y="2809405"/>
          <a:ext cx="5304437" cy="2000348"/>
        </a:xfrm>
        <a:prstGeom prst="rect">
          <a:avLst/>
        </a:prstGeom>
      </xdr:spPr>
    </xdr:pic>
    <xdr:clientData/>
  </xdr:twoCellAnchor>
  <xdr:twoCellAnchor editAs="oneCell">
    <xdr:from>
      <xdr:col>5</xdr:col>
      <xdr:colOff>342900</xdr:colOff>
      <xdr:row>32</xdr:row>
      <xdr:rowOff>67202</xdr:rowOff>
    </xdr:from>
    <xdr:to>
      <xdr:col>10</xdr:col>
      <xdr:colOff>180396</xdr:colOff>
      <xdr:row>45</xdr:row>
      <xdr:rowOff>85325</xdr:rowOff>
    </xdr:to>
    <xdr:pic>
      <xdr:nvPicPr>
        <xdr:cNvPr id="9" name="图片 8">
          <a:extLst>
            <a:ext uri="{FF2B5EF4-FFF2-40B4-BE49-F238E27FC236}">
              <a16:creationId xmlns:a16="http://schemas.microsoft.com/office/drawing/2014/main" id="{8F2EA1D3-6836-4254-A204-88884086777F}"/>
            </a:ext>
          </a:extLst>
        </xdr:cNvPr>
        <xdr:cNvPicPr>
          <a:picLocks noChangeAspect="1"/>
        </xdr:cNvPicPr>
      </xdr:nvPicPr>
      <xdr:blipFill>
        <a:blip xmlns:r="http://schemas.openxmlformats.org/officeDocument/2006/relationships" r:embed="rId7"/>
        <a:stretch>
          <a:fillRect/>
        </a:stretch>
      </xdr:blipFill>
      <xdr:spPr>
        <a:xfrm>
          <a:off x="3771900" y="5553602"/>
          <a:ext cx="3266496" cy="2246973"/>
        </a:xfrm>
        <a:prstGeom prst="rect">
          <a:avLst/>
        </a:prstGeom>
      </xdr:spPr>
    </xdr:pic>
    <xdr:clientData/>
  </xdr:twoCellAnchor>
  <xdr:twoCellAnchor editAs="oneCell">
    <xdr:from>
      <xdr:col>10</xdr:col>
      <xdr:colOff>638175</xdr:colOff>
      <xdr:row>33</xdr:row>
      <xdr:rowOff>107200</xdr:rowOff>
    </xdr:from>
    <xdr:to>
      <xdr:col>20</xdr:col>
      <xdr:colOff>322883</xdr:colOff>
      <xdr:row>47</xdr:row>
      <xdr:rowOff>56803</xdr:rowOff>
    </xdr:to>
    <xdr:pic>
      <xdr:nvPicPr>
        <xdr:cNvPr id="10" name="图片 9">
          <a:extLst>
            <a:ext uri="{FF2B5EF4-FFF2-40B4-BE49-F238E27FC236}">
              <a16:creationId xmlns:a16="http://schemas.microsoft.com/office/drawing/2014/main" id="{E689FB46-61BA-4FDD-A1DD-649D3B8C8184}"/>
            </a:ext>
          </a:extLst>
        </xdr:cNvPr>
        <xdr:cNvPicPr>
          <a:picLocks noChangeAspect="1"/>
        </xdr:cNvPicPr>
      </xdr:nvPicPr>
      <xdr:blipFill>
        <a:blip xmlns:r="http://schemas.openxmlformats.org/officeDocument/2006/relationships" r:embed="rId8"/>
        <a:stretch>
          <a:fillRect/>
        </a:stretch>
      </xdr:blipFill>
      <xdr:spPr>
        <a:xfrm>
          <a:off x="7496175" y="5765050"/>
          <a:ext cx="6542708" cy="2349903"/>
        </a:xfrm>
        <a:prstGeom prst="rect">
          <a:avLst/>
        </a:prstGeom>
      </xdr:spPr>
    </xdr:pic>
    <xdr:clientData/>
  </xdr:twoCellAnchor>
  <xdr:twoCellAnchor editAs="oneCell">
    <xdr:from>
      <xdr:col>1</xdr:col>
      <xdr:colOff>142875</xdr:colOff>
      <xdr:row>32</xdr:row>
      <xdr:rowOff>66674</xdr:rowOff>
    </xdr:from>
    <xdr:to>
      <xdr:col>5</xdr:col>
      <xdr:colOff>188437</xdr:colOff>
      <xdr:row>44</xdr:row>
      <xdr:rowOff>38099</xdr:rowOff>
    </xdr:to>
    <xdr:pic>
      <xdr:nvPicPr>
        <xdr:cNvPr id="11" name="图片 10">
          <a:extLst>
            <a:ext uri="{FF2B5EF4-FFF2-40B4-BE49-F238E27FC236}">
              <a16:creationId xmlns:a16="http://schemas.microsoft.com/office/drawing/2014/main" id="{747B065D-41D2-4744-BD3E-0764D57EE920}"/>
            </a:ext>
          </a:extLst>
        </xdr:cNvPr>
        <xdr:cNvPicPr>
          <a:picLocks noChangeAspect="1"/>
        </xdr:cNvPicPr>
      </xdr:nvPicPr>
      <xdr:blipFill>
        <a:blip xmlns:r="http://schemas.openxmlformats.org/officeDocument/2006/relationships" r:embed="rId9"/>
        <a:stretch>
          <a:fillRect/>
        </a:stretch>
      </xdr:blipFill>
      <xdr:spPr>
        <a:xfrm>
          <a:off x="828675" y="5553074"/>
          <a:ext cx="2788762" cy="2028825"/>
        </a:xfrm>
        <a:prstGeom prst="rect">
          <a:avLst/>
        </a:prstGeom>
      </xdr:spPr>
    </xdr:pic>
    <xdr:clientData/>
  </xdr:twoCellAnchor>
  <xdr:twoCellAnchor editAs="oneCell">
    <xdr:from>
      <xdr:col>3</xdr:col>
      <xdr:colOff>0</xdr:colOff>
      <xdr:row>59</xdr:row>
      <xdr:rowOff>0</xdr:rowOff>
    </xdr:from>
    <xdr:to>
      <xdr:col>16</xdr:col>
      <xdr:colOff>360790</xdr:colOff>
      <xdr:row>90</xdr:row>
      <xdr:rowOff>56479</xdr:rowOff>
    </xdr:to>
    <xdr:pic>
      <xdr:nvPicPr>
        <xdr:cNvPr id="12" name="图片 11">
          <a:extLst>
            <a:ext uri="{FF2B5EF4-FFF2-40B4-BE49-F238E27FC236}">
              <a16:creationId xmlns:a16="http://schemas.microsoft.com/office/drawing/2014/main" id="{0EDA8F3A-144D-4721-AFFA-80DEFD8C7A30}"/>
            </a:ext>
          </a:extLst>
        </xdr:cNvPr>
        <xdr:cNvPicPr>
          <a:picLocks noChangeAspect="1"/>
        </xdr:cNvPicPr>
      </xdr:nvPicPr>
      <xdr:blipFill>
        <a:blip xmlns:r="http://schemas.openxmlformats.org/officeDocument/2006/relationships" r:embed="rId10"/>
        <a:stretch>
          <a:fillRect/>
        </a:stretch>
      </xdr:blipFill>
      <xdr:spPr>
        <a:xfrm>
          <a:off x="2057400" y="10115550"/>
          <a:ext cx="9276190" cy="53714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200026</xdr:colOff>
      <xdr:row>1</xdr:row>
      <xdr:rowOff>133350</xdr:rowOff>
    </xdr:from>
    <xdr:to>
      <xdr:col>5</xdr:col>
      <xdr:colOff>61760</xdr:colOff>
      <xdr:row>14</xdr:row>
      <xdr:rowOff>94761</xdr:rowOff>
    </xdr:to>
    <xdr:pic>
      <xdr:nvPicPr>
        <xdr:cNvPr id="3" name="图片 2">
          <a:extLst>
            <a:ext uri="{FF2B5EF4-FFF2-40B4-BE49-F238E27FC236}">
              <a16:creationId xmlns:a16="http://schemas.microsoft.com/office/drawing/2014/main" id="{7E6930B8-26FC-4A4F-9DFD-79E73F553F76}"/>
            </a:ext>
          </a:extLst>
        </xdr:cNvPr>
        <xdr:cNvPicPr>
          <a:picLocks noChangeAspect="1"/>
        </xdr:cNvPicPr>
      </xdr:nvPicPr>
      <xdr:blipFill>
        <a:blip xmlns:r="http://schemas.openxmlformats.org/officeDocument/2006/relationships" r:embed="rId1"/>
        <a:stretch>
          <a:fillRect/>
        </a:stretch>
      </xdr:blipFill>
      <xdr:spPr>
        <a:xfrm>
          <a:off x="200026" y="304800"/>
          <a:ext cx="3290734" cy="2190261"/>
        </a:xfrm>
        <a:prstGeom prst="rect">
          <a:avLst/>
        </a:prstGeom>
      </xdr:spPr>
    </xdr:pic>
    <xdr:clientData/>
  </xdr:twoCellAnchor>
  <xdr:twoCellAnchor editAs="oneCell">
    <xdr:from>
      <xdr:col>5</xdr:col>
      <xdr:colOff>285749</xdr:colOff>
      <xdr:row>0</xdr:row>
      <xdr:rowOff>140210</xdr:rowOff>
    </xdr:from>
    <xdr:to>
      <xdr:col>10</xdr:col>
      <xdr:colOff>370934</xdr:colOff>
      <xdr:row>15</xdr:row>
      <xdr:rowOff>161526</xdr:rowOff>
    </xdr:to>
    <xdr:pic>
      <xdr:nvPicPr>
        <xdr:cNvPr id="4" name="图片 3">
          <a:extLst>
            <a:ext uri="{FF2B5EF4-FFF2-40B4-BE49-F238E27FC236}">
              <a16:creationId xmlns:a16="http://schemas.microsoft.com/office/drawing/2014/main" id="{07F2D69E-171B-4317-BEB8-3126BCB46AC1}"/>
            </a:ext>
          </a:extLst>
        </xdr:cNvPr>
        <xdr:cNvPicPr>
          <a:picLocks noChangeAspect="1"/>
        </xdr:cNvPicPr>
      </xdr:nvPicPr>
      <xdr:blipFill>
        <a:blip xmlns:r="http://schemas.openxmlformats.org/officeDocument/2006/relationships" r:embed="rId2"/>
        <a:stretch>
          <a:fillRect/>
        </a:stretch>
      </xdr:blipFill>
      <xdr:spPr>
        <a:xfrm>
          <a:off x="3714749" y="140210"/>
          <a:ext cx="3514185" cy="2593066"/>
        </a:xfrm>
        <a:prstGeom prst="rect">
          <a:avLst/>
        </a:prstGeom>
      </xdr:spPr>
    </xdr:pic>
    <xdr:clientData/>
  </xdr:twoCellAnchor>
  <xdr:twoCellAnchor editAs="oneCell">
    <xdr:from>
      <xdr:col>0</xdr:col>
      <xdr:colOff>295276</xdr:colOff>
      <xdr:row>15</xdr:row>
      <xdr:rowOff>71668</xdr:rowOff>
    </xdr:from>
    <xdr:to>
      <xdr:col>8</xdr:col>
      <xdr:colOff>104776</xdr:colOff>
      <xdr:row>30</xdr:row>
      <xdr:rowOff>28147</xdr:rowOff>
    </xdr:to>
    <xdr:pic>
      <xdr:nvPicPr>
        <xdr:cNvPr id="5" name="图片 4">
          <a:extLst>
            <a:ext uri="{FF2B5EF4-FFF2-40B4-BE49-F238E27FC236}">
              <a16:creationId xmlns:a16="http://schemas.microsoft.com/office/drawing/2014/main" id="{465B11E5-8CA9-47FB-964A-6848F2AE1260}"/>
            </a:ext>
          </a:extLst>
        </xdr:cNvPr>
        <xdr:cNvPicPr>
          <a:picLocks noChangeAspect="1"/>
        </xdr:cNvPicPr>
      </xdr:nvPicPr>
      <xdr:blipFill>
        <a:blip xmlns:r="http://schemas.openxmlformats.org/officeDocument/2006/relationships" r:embed="rId3"/>
        <a:stretch>
          <a:fillRect/>
        </a:stretch>
      </xdr:blipFill>
      <xdr:spPr>
        <a:xfrm>
          <a:off x="295276" y="2643418"/>
          <a:ext cx="5295900" cy="2528229"/>
        </a:xfrm>
        <a:prstGeom prst="rect">
          <a:avLst/>
        </a:prstGeom>
      </xdr:spPr>
    </xdr:pic>
    <xdr:clientData/>
  </xdr:twoCellAnchor>
  <xdr:twoCellAnchor editAs="oneCell">
    <xdr:from>
      <xdr:col>1</xdr:col>
      <xdr:colOff>0</xdr:colOff>
      <xdr:row>39</xdr:row>
      <xdr:rowOff>0</xdr:rowOff>
    </xdr:from>
    <xdr:to>
      <xdr:col>6</xdr:col>
      <xdr:colOff>428143</xdr:colOff>
      <xdr:row>54</xdr:row>
      <xdr:rowOff>56822</xdr:rowOff>
    </xdr:to>
    <xdr:pic>
      <xdr:nvPicPr>
        <xdr:cNvPr id="6" name="图片 5">
          <a:extLst>
            <a:ext uri="{FF2B5EF4-FFF2-40B4-BE49-F238E27FC236}">
              <a16:creationId xmlns:a16="http://schemas.microsoft.com/office/drawing/2014/main" id="{A935BB07-365F-4F57-8013-025CD27F64DC}"/>
            </a:ext>
          </a:extLst>
        </xdr:cNvPr>
        <xdr:cNvPicPr>
          <a:picLocks noChangeAspect="1"/>
        </xdr:cNvPicPr>
      </xdr:nvPicPr>
      <xdr:blipFill>
        <a:blip xmlns:r="http://schemas.openxmlformats.org/officeDocument/2006/relationships" r:embed="rId4"/>
        <a:stretch>
          <a:fillRect/>
        </a:stretch>
      </xdr:blipFill>
      <xdr:spPr>
        <a:xfrm>
          <a:off x="685800" y="6686550"/>
          <a:ext cx="3857143" cy="2628572"/>
        </a:xfrm>
        <a:prstGeom prst="rect">
          <a:avLst/>
        </a:prstGeom>
      </xdr:spPr>
    </xdr:pic>
    <xdr:clientData/>
  </xdr:twoCellAnchor>
  <xdr:twoCellAnchor editAs="oneCell">
    <xdr:from>
      <xdr:col>7</xdr:col>
      <xdr:colOff>171450</xdr:colOff>
      <xdr:row>37</xdr:row>
      <xdr:rowOff>61366</xdr:rowOff>
    </xdr:from>
    <xdr:to>
      <xdr:col>17</xdr:col>
      <xdr:colOff>341594</xdr:colOff>
      <xdr:row>54</xdr:row>
      <xdr:rowOff>142318</xdr:rowOff>
    </xdr:to>
    <xdr:pic>
      <xdr:nvPicPr>
        <xdr:cNvPr id="7" name="图片 6">
          <a:extLst>
            <a:ext uri="{FF2B5EF4-FFF2-40B4-BE49-F238E27FC236}">
              <a16:creationId xmlns:a16="http://schemas.microsoft.com/office/drawing/2014/main" id="{A04B51C1-E4CF-4939-A4D1-B7667DDA473C}"/>
            </a:ext>
          </a:extLst>
        </xdr:cNvPr>
        <xdr:cNvPicPr>
          <a:picLocks noChangeAspect="1"/>
        </xdr:cNvPicPr>
      </xdr:nvPicPr>
      <xdr:blipFill>
        <a:blip xmlns:r="http://schemas.openxmlformats.org/officeDocument/2006/relationships" r:embed="rId5"/>
        <a:stretch>
          <a:fillRect/>
        </a:stretch>
      </xdr:blipFill>
      <xdr:spPr>
        <a:xfrm>
          <a:off x="4972050" y="6405016"/>
          <a:ext cx="7028144" cy="2995602"/>
        </a:xfrm>
        <a:prstGeom prst="rect">
          <a:avLst/>
        </a:prstGeom>
      </xdr:spPr>
    </xdr:pic>
    <xdr:clientData/>
  </xdr:twoCellAnchor>
  <xdr:twoCellAnchor editAs="oneCell">
    <xdr:from>
      <xdr:col>0</xdr:col>
      <xdr:colOff>638175</xdr:colOff>
      <xdr:row>55</xdr:row>
      <xdr:rowOff>4624</xdr:rowOff>
    </xdr:from>
    <xdr:to>
      <xdr:col>7</xdr:col>
      <xdr:colOff>84789</xdr:colOff>
      <xdr:row>65</xdr:row>
      <xdr:rowOff>151990</xdr:rowOff>
    </xdr:to>
    <xdr:pic>
      <xdr:nvPicPr>
        <xdr:cNvPr id="8" name="图片 7">
          <a:extLst>
            <a:ext uri="{FF2B5EF4-FFF2-40B4-BE49-F238E27FC236}">
              <a16:creationId xmlns:a16="http://schemas.microsoft.com/office/drawing/2014/main" id="{4687536C-2FBA-46C0-8E48-0155505F1BC7}"/>
            </a:ext>
          </a:extLst>
        </xdr:cNvPr>
        <xdr:cNvPicPr>
          <a:picLocks noChangeAspect="1"/>
        </xdr:cNvPicPr>
      </xdr:nvPicPr>
      <xdr:blipFill>
        <a:blip xmlns:r="http://schemas.openxmlformats.org/officeDocument/2006/relationships" r:embed="rId6"/>
        <a:stretch>
          <a:fillRect/>
        </a:stretch>
      </xdr:blipFill>
      <xdr:spPr>
        <a:xfrm>
          <a:off x="638175" y="9434374"/>
          <a:ext cx="4247214" cy="1861866"/>
        </a:xfrm>
        <a:prstGeom prst="rect">
          <a:avLst/>
        </a:prstGeom>
      </xdr:spPr>
    </xdr:pic>
    <xdr:clientData/>
  </xdr:twoCellAnchor>
  <xdr:twoCellAnchor editAs="oneCell">
    <xdr:from>
      <xdr:col>0</xdr:col>
      <xdr:colOff>304800</xdr:colOff>
      <xdr:row>68</xdr:row>
      <xdr:rowOff>67888</xdr:rowOff>
    </xdr:from>
    <xdr:to>
      <xdr:col>5</xdr:col>
      <xdr:colOff>142305</xdr:colOff>
      <xdr:row>81</xdr:row>
      <xdr:rowOff>75810</xdr:rowOff>
    </xdr:to>
    <xdr:pic>
      <xdr:nvPicPr>
        <xdr:cNvPr id="9" name="图片 8">
          <a:extLst>
            <a:ext uri="{FF2B5EF4-FFF2-40B4-BE49-F238E27FC236}">
              <a16:creationId xmlns:a16="http://schemas.microsoft.com/office/drawing/2014/main" id="{122245C5-2F41-4B27-B086-481E78802E1E}"/>
            </a:ext>
          </a:extLst>
        </xdr:cNvPr>
        <xdr:cNvPicPr>
          <a:picLocks noChangeAspect="1"/>
        </xdr:cNvPicPr>
      </xdr:nvPicPr>
      <xdr:blipFill>
        <a:blip xmlns:r="http://schemas.openxmlformats.org/officeDocument/2006/relationships" r:embed="rId7"/>
        <a:stretch>
          <a:fillRect/>
        </a:stretch>
      </xdr:blipFill>
      <xdr:spPr>
        <a:xfrm>
          <a:off x="304800" y="11726488"/>
          <a:ext cx="3266505" cy="2236772"/>
        </a:xfrm>
        <a:prstGeom prst="rect">
          <a:avLst/>
        </a:prstGeom>
      </xdr:spPr>
    </xdr:pic>
    <xdr:clientData/>
  </xdr:twoCellAnchor>
  <xdr:twoCellAnchor editAs="oneCell">
    <xdr:from>
      <xdr:col>5</xdr:col>
      <xdr:colOff>504824</xdr:colOff>
      <xdr:row>67</xdr:row>
      <xdr:rowOff>167432</xdr:rowOff>
    </xdr:from>
    <xdr:to>
      <xdr:col>10</xdr:col>
      <xdr:colOff>170947</xdr:colOff>
      <xdr:row>80</xdr:row>
      <xdr:rowOff>94900</xdr:rowOff>
    </xdr:to>
    <xdr:pic>
      <xdr:nvPicPr>
        <xdr:cNvPr id="10" name="图片 9">
          <a:extLst>
            <a:ext uri="{FF2B5EF4-FFF2-40B4-BE49-F238E27FC236}">
              <a16:creationId xmlns:a16="http://schemas.microsoft.com/office/drawing/2014/main" id="{88A71A2E-7312-4886-A244-DCD7CC9C5A76}"/>
            </a:ext>
          </a:extLst>
        </xdr:cNvPr>
        <xdr:cNvPicPr>
          <a:picLocks noChangeAspect="1"/>
        </xdr:cNvPicPr>
      </xdr:nvPicPr>
      <xdr:blipFill>
        <a:blip xmlns:r="http://schemas.openxmlformats.org/officeDocument/2006/relationships" r:embed="rId8"/>
        <a:stretch>
          <a:fillRect/>
        </a:stretch>
      </xdr:blipFill>
      <xdr:spPr>
        <a:xfrm>
          <a:off x="3933824" y="11654582"/>
          <a:ext cx="3095123" cy="2156318"/>
        </a:xfrm>
        <a:prstGeom prst="rect">
          <a:avLst/>
        </a:prstGeom>
      </xdr:spPr>
    </xdr:pic>
    <xdr:clientData/>
  </xdr:twoCellAnchor>
  <xdr:twoCellAnchor editAs="oneCell">
    <xdr:from>
      <xdr:col>10</xdr:col>
      <xdr:colOff>680147</xdr:colOff>
      <xdr:row>66</xdr:row>
      <xdr:rowOff>104775</xdr:rowOff>
    </xdr:from>
    <xdr:to>
      <xdr:col>18</xdr:col>
      <xdr:colOff>65849</xdr:colOff>
      <xdr:row>86</xdr:row>
      <xdr:rowOff>94671</xdr:rowOff>
    </xdr:to>
    <xdr:pic>
      <xdr:nvPicPr>
        <xdr:cNvPr id="11" name="图片 10">
          <a:extLst>
            <a:ext uri="{FF2B5EF4-FFF2-40B4-BE49-F238E27FC236}">
              <a16:creationId xmlns:a16="http://schemas.microsoft.com/office/drawing/2014/main" id="{573B4993-5318-45A9-A23D-D395D3DB5E0E}"/>
            </a:ext>
          </a:extLst>
        </xdr:cNvPr>
        <xdr:cNvPicPr>
          <a:picLocks noChangeAspect="1"/>
        </xdr:cNvPicPr>
      </xdr:nvPicPr>
      <xdr:blipFill>
        <a:blip xmlns:r="http://schemas.openxmlformats.org/officeDocument/2006/relationships" r:embed="rId9"/>
        <a:stretch>
          <a:fillRect/>
        </a:stretch>
      </xdr:blipFill>
      <xdr:spPr>
        <a:xfrm>
          <a:off x="7538147" y="11420475"/>
          <a:ext cx="4872102" cy="3418896"/>
        </a:xfrm>
        <a:prstGeom prst="rect">
          <a:avLst/>
        </a:prstGeom>
      </xdr:spPr>
    </xdr:pic>
    <xdr:clientData/>
  </xdr:twoCellAnchor>
  <xdr:twoCellAnchor editAs="oneCell">
    <xdr:from>
      <xdr:col>0</xdr:col>
      <xdr:colOff>0</xdr:colOff>
      <xdr:row>87</xdr:row>
      <xdr:rowOff>0</xdr:rowOff>
    </xdr:from>
    <xdr:to>
      <xdr:col>11</xdr:col>
      <xdr:colOff>122867</xdr:colOff>
      <xdr:row>117</xdr:row>
      <xdr:rowOff>132690</xdr:rowOff>
    </xdr:to>
    <xdr:pic>
      <xdr:nvPicPr>
        <xdr:cNvPr id="12" name="图片 11">
          <a:extLst>
            <a:ext uri="{FF2B5EF4-FFF2-40B4-BE49-F238E27FC236}">
              <a16:creationId xmlns:a16="http://schemas.microsoft.com/office/drawing/2014/main" id="{AFACBE8F-0809-4534-9C26-E9A203B7D288}"/>
            </a:ext>
          </a:extLst>
        </xdr:cNvPr>
        <xdr:cNvPicPr>
          <a:picLocks noChangeAspect="1"/>
        </xdr:cNvPicPr>
      </xdr:nvPicPr>
      <xdr:blipFill>
        <a:blip xmlns:r="http://schemas.openxmlformats.org/officeDocument/2006/relationships" r:embed="rId10"/>
        <a:stretch>
          <a:fillRect/>
        </a:stretch>
      </xdr:blipFill>
      <xdr:spPr>
        <a:xfrm>
          <a:off x="0" y="14916150"/>
          <a:ext cx="7666667" cy="5276190"/>
        </a:xfrm>
        <a:prstGeom prst="rect">
          <a:avLst/>
        </a:prstGeom>
      </xdr:spPr>
    </xdr:pic>
    <xdr:clientData/>
  </xdr:twoCellAnchor>
  <xdr:twoCellAnchor editAs="oneCell">
    <xdr:from>
      <xdr:col>12</xdr:col>
      <xdr:colOff>0</xdr:colOff>
      <xdr:row>89</xdr:row>
      <xdr:rowOff>0</xdr:rowOff>
    </xdr:from>
    <xdr:to>
      <xdr:col>23</xdr:col>
      <xdr:colOff>160962</xdr:colOff>
      <xdr:row>125</xdr:row>
      <xdr:rowOff>18276</xdr:rowOff>
    </xdr:to>
    <xdr:pic>
      <xdr:nvPicPr>
        <xdr:cNvPr id="2" name="图片 1">
          <a:extLst>
            <a:ext uri="{FF2B5EF4-FFF2-40B4-BE49-F238E27FC236}">
              <a16:creationId xmlns:a16="http://schemas.microsoft.com/office/drawing/2014/main" id="{DD3BF479-68F2-4F32-BF38-6AFAEC41670C}"/>
            </a:ext>
          </a:extLst>
        </xdr:cNvPr>
        <xdr:cNvPicPr>
          <a:picLocks noChangeAspect="1"/>
        </xdr:cNvPicPr>
      </xdr:nvPicPr>
      <xdr:blipFill>
        <a:blip xmlns:r="http://schemas.openxmlformats.org/officeDocument/2006/relationships" r:embed="rId11"/>
        <a:stretch>
          <a:fillRect/>
        </a:stretch>
      </xdr:blipFill>
      <xdr:spPr>
        <a:xfrm>
          <a:off x="8229600" y="15259050"/>
          <a:ext cx="7704762" cy="61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4352;&#23478;&#28286;&#35199;/&#21442;&#32771;/F02&#30005;&#31639;&#34920;&#38750;&#20303;&#23429;&#24352;&#23478;&#28286;&#36710;&#36742;&#27573;&#25913;&#24314;&#23433;-&#40644;&#33521;20210729-16444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基准地价车位"/>
      <sheetName val="基准地价仓储"/>
      <sheetName val="地价"/>
      <sheetName val="基准地价（汇总）"/>
      <sheetName val="收益还原法仓储"/>
      <sheetName val="收益还原法车位"/>
      <sheetName val="酒店收入计算"/>
      <sheetName val="成本逼近法"/>
      <sheetName val="不动产比较法-住宅"/>
      <sheetName val="住宅案例截图及地图"/>
      <sheetName val="不动产比较法-商业"/>
      <sheetName val="商业案例截图及地图"/>
      <sheetName val="不动产收益法商业"/>
      <sheetName val="剩余法商业"/>
      <sheetName val="不动产比较法-办公"/>
      <sheetName val="办公案例截图及地图"/>
      <sheetName val="不动产收益法办公"/>
      <sheetName val="剩余法办公"/>
      <sheetName val="剩余法车位"/>
      <sheetName val="不动产收益法车位"/>
      <sheetName val="剩余法仓储"/>
      <sheetName val="不动产收益法仓储"/>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剩余法住宅</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基准地价住宅</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不动产收益法商业</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收益还原法车位</v>
          </cell>
        </row>
        <row r="20">
          <cell r="A20" t="str">
            <v>车库</v>
          </cell>
          <cell r="B20" t="str">
            <v>典型户型修正</v>
          </cell>
        </row>
        <row r="21">
          <cell r="A21" t="str">
            <v>戊类库房</v>
          </cell>
          <cell r="B21" t="str">
            <v>基准地价商业</v>
          </cell>
        </row>
        <row r="22">
          <cell r="A22" t="str">
            <v>燃品库房</v>
          </cell>
          <cell r="B22" t="str">
            <v>基准地价办公</v>
          </cell>
        </row>
        <row r="23">
          <cell r="A23" t="str">
            <v>非燃品库房</v>
          </cell>
          <cell r="B23" t="str">
            <v>剩余法办公</v>
          </cell>
        </row>
        <row r="24">
          <cell r="A24" t="str">
            <v>——</v>
          </cell>
          <cell r="B24" t="str">
            <v>剩余法商业</v>
          </cell>
        </row>
        <row r="25">
          <cell r="A25" t="str">
            <v>限价商品房</v>
          </cell>
          <cell r="B25" t="str">
            <v>不动产收益法办公</v>
          </cell>
        </row>
        <row r="26">
          <cell r="A26" t="str">
            <v>自住商品房</v>
          </cell>
          <cell r="B26" t="str">
            <v>基准地价车位</v>
          </cell>
        </row>
        <row r="27">
          <cell r="A27" t="str">
            <v>*</v>
          </cell>
          <cell r="B27" t="str">
            <v>基准地价仓储</v>
          </cell>
        </row>
        <row r="28">
          <cell r="A28" t="str">
            <v>*</v>
          </cell>
          <cell r="B28" t="str">
            <v>剩余法车位</v>
          </cell>
        </row>
        <row r="29">
          <cell r="A29" t="str">
            <v>*</v>
          </cell>
          <cell r="B29" t="str">
            <v>剩余法仓储</v>
          </cell>
        </row>
        <row r="30">
          <cell r="A30" t="str">
            <v>*</v>
          </cell>
          <cell r="B30" t="str">
            <v>不动产收益法仓储</v>
          </cell>
        </row>
        <row r="31">
          <cell r="A31" t="str">
            <v>*</v>
          </cell>
          <cell r="B31" t="str">
            <v>剩余法仓储</v>
          </cell>
        </row>
        <row r="32">
          <cell r="A32" t="str">
            <v>*</v>
          </cell>
          <cell r="B32" t="str">
            <v>剩余法车位</v>
          </cell>
        </row>
        <row r="33">
          <cell r="A33" t="str">
            <v>*</v>
          </cell>
          <cell r="B33" t="str">
            <v>不动产收益法车位</v>
          </cell>
        </row>
        <row r="34">
          <cell r="A34" t="str">
            <v>*</v>
          </cell>
          <cell r="B34" t="str">
            <v>收益还原法仓储</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住宅</v>
          </cell>
        </row>
        <row r="20">
          <cell r="C20" t="str">
            <v>商业</v>
          </cell>
        </row>
        <row r="21">
          <cell r="C21" t="str">
            <v>办公</v>
          </cell>
        </row>
        <row r="22">
          <cell r="C22" t="str">
            <v>地下车库</v>
          </cell>
        </row>
        <row r="23">
          <cell r="C23" t="str">
            <v>仓储</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sheetData sheetId="20"/>
      <sheetData sheetId="21">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2">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3"/>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5"/>
      <sheetData sheetId="26"/>
      <sheetData sheetId="27"/>
      <sheetData sheetId="28">
        <row r="6">
          <cell r="C6">
            <v>5280</v>
          </cell>
        </row>
        <row r="7">
          <cell r="C7">
            <v>1</v>
          </cell>
        </row>
        <row r="12">
          <cell r="C12">
            <v>1</v>
          </cell>
        </row>
        <row r="16">
          <cell r="C16">
            <v>-18</v>
          </cell>
        </row>
        <row r="18">
          <cell r="C18">
            <v>1</v>
          </cell>
        </row>
        <row r="19">
          <cell r="C19">
            <v>1.3906000000000001</v>
          </cell>
        </row>
        <row r="20">
          <cell r="C20">
            <v>1</v>
          </cell>
        </row>
        <row r="24">
          <cell r="C24">
            <v>1.0749</v>
          </cell>
        </row>
        <row r="39">
          <cell r="F39">
            <v>0.15</v>
          </cell>
        </row>
        <row r="41">
          <cell r="C41">
            <v>1</v>
          </cell>
        </row>
      </sheetData>
      <sheetData sheetId="29">
        <row r="6">
          <cell r="C6">
            <v>5250</v>
          </cell>
        </row>
        <row r="16">
          <cell r="C16">
            <v>-18</v>
          </cell>
        </row>
        <row r="18">
          <cell r="C18">
            <v>1</v>
          </cell>
        </row>
        <row r="19">
          <cell r="C19">
            <v>1.3906000000000001</v>
          </cell>
        </row>
        <row r="20">
          <cell r="C20">
            <v>1</v>
          </cell>
        </row>
        <row r="24">
          <cell r="C24">
            <v>1.0788</v>
          </cell>
        </row>
        <row r="39">
          <cell r="F39">
            <v>0.15</v>
          </cell>
        </row>
      </sheetData>
      <sheetData sheetId="30">
        <row r="6">
          <cell r="C6">
            <v>5250</v>
          </cell>
        </row>
        <row r="18">
          <cell r="C18">
            <v>0.5</v>
          </cell>
        </row>
        <row r="24">
          <cell r="C24">
            <v>1.0698000000000001</v>
          </cell>
        </row>
      </sheetData>
      <sheetData sheetId="31"/>
      <sheetData sheetId="32"/>
      <sheetData sheetId="33"/>
      <sheetData sheetId="34"/>
      <sheetData sheetId="35"/>
      <sheetData sheetId="36"/>
      <sheetData sheetId="37"/>
      <sheetData sheetId="38">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9"/>
      <sheetData sheetId="40">
        <row r="61">
          <cell r="A61" t="str">
            <v>交易情况</v>
          </cell>
          <cell r="C61" t="str">
            <v>正常</v>
          </cell>
        </row>
        <row r="63">
          <cell r="B63" t="str">
            <v>用途</v>
          </cell>
          <cell r="C63" t="str">
            <v>商业</v>
          </cell>
        </row>
        <row r="86">
          <cell r="B86" t="str">
            <v>临街状况</v>
          </cell>
          <cell r="C86" t="str">
            <v>高速路</v>
          </cell>
          <cell r="D86" t="str">
            <v>城市快速路</v>
          </cell>
          <cell r="E86" t="str">
            <v>城市主干道</v>
          </cell>
          <cell r="F86" t="str">
            <v>城市次干道</v>
          </cell>
          <cell r="G86" t="str">
            <v>城市支路</v>
          </cell>
        </row>
        <row r="90">
          <cell r="B90" t="str">
            <v>人流量</v>
          </cell>
          <cell r="C90" t="str">
            <v>大</v>
          </cell>
          <cell r="D90" t="str">
            <v>较大</v>
          </cell>
          <cell r="E90" t="str">
            <v>一般</v>
          </cell>
          <cell r="F90" t="str">
            <v>较小</v>
          </cell>
          <cell r="G90" t="str">
            <v>小</v>
          </cell>
        </row>
        <row r="92">
          <cell r="B92" t="str">
            <v>楼层</v>
          </cell>
          <cell r="C92" t="str">
            <v>1层</v>
          </cell>
        </row>
        <row r="100">
          <cell r="B100" t="str">
            <v>商业类型</v>
          </cell>
          <cell r="C100" t="str">
            <v>度假区配套</v>
          </cell>
          <cell r="D100" t="str">
            <v>综合体</v>
          </cell>
          <cell r="E100" t="str">
            <v>商业街店铺</v>
          </cell>
          <cell r="F100" t="str">
            <v>写字楼配套</v>
          </cell>
          <cell r="G100" t="str">
            <v>住宅配套</v>
          </cell>
        </row>
        <row r="105">
          <cell r="B105" t="str">
            <v>建筑结构</v>
          </cell>
          <cell r="C105" t="str">
            <v>钢混</v>
          </cell>
          <cell r="D105" t="str">
            <v>混合</v>
          </cell>
        </row>
        <row r="107">
          <cell r="B107" t="str">
            <v>公共部分装修</v>
          </cell>
          <cell r="C107" t="str">
            <v>精装修</v>
          </cell>
          <cell r="D107" t="str">
            <v>普通装修</v>
          </cell>
          <cell r="E107" t="str">
            <v>简单装修</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row>
        <row r="116">
          <cell r="B116" t="str">
            <v>层高</v>
          </cell>
          <cell r="C116" t="str">
            <v>特殊层高</v>
          </cell>
          <cell r="D116" t="str">
            <v>标准层高</v>
          </cell>
        </row>
        <row r="120">
          <cell r="B120" t="str">
            <v>进深比</v>
          </cell>
          <cell r="C120" t="str">
            <v>较好</v>
          </cell>
        </row>
        <row r="122">
          <cell r="B122" t="str">
            <v>内部装修</v>
          </cell>
          <cell r="C122" t="str">
            <v>精装修</v>
          </cell>
          <cell r="D122" t="str">
            <v>普通装修</v>
          </cell>
          <cell r="E122" t="str">
            <v>简单装修</v>
          </cell>
          <cell r="F122" t="str">
            <v>毛坯</v>
          </cell>
        </row>
      </sheetData>
      <sheetData sheetId="41"/>
      <sheetData sheetId="42"/>
      <sheetData sheetId="43"/>
      <sheetData sheetId="44">
        <row r="62">
          <cell r="A62" t="str">
            <v>交易情况</v>
          </cell>
          <cell r="C62" t="str">
            <v>正常</v>
          </cell>
        </row>
        <row r="64">
          <cell r="B64" t="str">
            <v>用途</v>
          </cell>
          <cell r="C64" t="str">
            <v>办公</v>
          </cell>
        </row>
        <row r="87">
          <cell r="B87" t="str">
            <v>毗邻道路的类型与等级</v>
          </cell>
          <cell r="C87" t="str">
            <v>高速路</v>
          </cell>
          <cell r="D87" t="str">
            <v>城市快速路</v>
          </cell>
          <cell r="E87" t="str">
            <v>城市主干道</v>
          </cell>
          <cell r="F87" t="str">
            <v>城市次干道</v>
          </cell>
          <cell r="G87" t="str">
            <v>城市支路</v>
          </cell>
        </row>
        <row r="89">
          <cell r="B89" t="str">
            <v>楼层</v>
          </cell>
          <cell r="C89">
            <v>1</v>
          </cell>
        </row>
        <row r="91">
          <cell r="B91" t="str">
            <v>朝向</v>
          </cell>
          <cell r="C91">
            <v>1</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专业物业公司</v>
          </cell>
        </row>
        <row r="117">
          <cell r="B117" t="str">
            <v>市政基础设施</v>
          </cell>
          <cell r="C117" t="str">
            <v>七通</v>
          </cell>
          <cell r="D117" t="str">
            <v>六通</v>
          </cell>
          <cell r="E117" t="str">
            <v>五通</v>
          </cell>
          <cell r="F117" t="str">
            <v>四通</v>
          </cell>
          <cell r="G117" t="str">
            <v>三通</v>
          </cell>
        </row>
        <row r="119">
          <cell r="B119" t="str">
            <v>层高</v>
          </cell>
          <cell r="C119" t="str">
            <v>标准层高</v>
          </cell>
        </row>
        <row r="123">
          <cell r="B123" t="str">
            <v>内部装修</v>
          </cell>
          <cell r="C123" t="str">
            <v>精装修</v>
          </cell>
          <cell r="D123" t="str">
            <v>普通装修</v>
          </cell>
          <cell r="E123" t="str">
            <v>简单装修</v>
          </cell>
          <cell r="F123" t="str">
            <v>毛坯</v>
          </cell>
        </row>
      </sheetData>
      <sheetData sheetId="45"/>
      <sheetData sheetId="46"/>
      <sheetData sheetId="47"/>
      <sheetData sheetId="48">
        <row r="3">
          <cell r="B3">
            <v>1213</v>
          </cell>
        </row>
      </sheetData>
      <sheetData sheetId="49">
        <row r="43">
          <cell r="C43">
            <v>3311</v>
          </cell>
        </row>
      </sheetData>
      <sheetData sheetId="50"/>
      <sheetData sheetId="51"/>
      <sheetData sheetId="5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5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map.sogou.com/t/84PLqG" TargetMode="External"/><Relationship Id="rId1" Type="http://schemas.openxmlformats.org/officeDocument/2006/relationships/hyperlink" Target="http://map.sogou.com/t/jE5icr"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2631</v>
      </c>
      <c r="B1" s="2608" t="s">
        <v>2728</v>
      </c>
    </row>
    <row r="2" spans="1:55" s="2612" customFormat="1" ht="15" thickTop="1">
      <c r="A2" s="2610" t="s">
        <v>2635</v>
      </c>
      <c r="B2" s="2611" t="str">
        <f>'预评函-封皮'!B37</f>
        <v>北京市出让国有建设用地使用权市场价格预评估</v>
      </c>
      <c r="AX2" s="2613"/>
      <c r="AZ2" s="2613"/>
      <c r="BA2" s="2614"/>
      <c r="BC2" s="2614"/>
    </row>
    <row r="3" spans="1:55" s="2615" customFormat="1">
      <c r="A3" s="2594" t="s">
        <v>2636</v>
      </c>
      <c r="B3" s="2597">
        <f>'预评函-封皮'!B40</f>
        <v>0</v>
      </c>
    </row>
    <row r="4" spans="1:55" s="2596" customFormat="1">
      <c r="A4" s="2594" t="s">
        <v>2637</v>
      </c>
      <c r="B4" s="2595" t="str">
        <f>'预评函-封皮'!B46</f>
        <v>陈颖、崔锴</v>
      </c>
      <c r="N4" s="2596" t="str">
        <f>'预评函-1'!A28</f>
        <v>——</v>
      </c>
    </row>
    <row r="5" spans="1:55" s="2609" customFormat="1" ht="15" thickBot="1">
      <c r="A5" s="2616" t="s">
        <v>2638</v>
      </c>
      <c r="B5" s="2617" t="str">
        <f>'预评函-封皮'!B49</f>
        <v>康正预评字号</v>
      </c>
    </row>
    <row r="6" spans="1:55" s="2618" customFormat="1" ht="15" thickTop="1">
      <c r="A6" s="2610" t="s">
        <v>2680</v>
      </c>
      <c r="B6" s="2611" t="str">
        <f>'预评函-1'!A4</f>
        <v>受贵公司委托，我公司对北京市出让国有建设用地使用权市场价格进行了预评估。</v>
      </c>
      <c r="AM6" s="2619"/>
    </row>
    <row r="7" spans="1:55" s="2593" customFormat="1">
      <c r="A7" s="2594" t="s">
        <v>2632</v>
      </c>
      <c r="B7" s="2595" t="str">
        <f>'预评函-1'!A6</f>
        <v>估价对象为使用的、位于北京市出让国有建设用地使用权。根据《国有土地使用证》[]，估价对象（分摊）出让国有建设用地使用权面积为32358.705平方米。根据《建设工程规划许可证》[]、《出让合同》[]，估价对象规划建筑面积为142378.302平方米。</v>
      </c>
    </row>
    <row r="8" spans="1:55" s="2593" customFormat="1">
      <c r="A8" s="2594" t="s">
        <v>2633</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2683</v>
      </c>
      <c r="B9" s="2595"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3" customFormat="1">
      <c r="A10" s="2594" t="s">
        <v>2634</v>
      </c>
      <c r="B10" s="2595" t="str">
        <f>'预评函-1'!A11</f>
        <v>2021年9月24日（评估专业人员勘察现场之日）</v>
      </c>
    </row>
    <row r="11" spans="1:55" s="2593" customFormat="1">
      <c r="A11" s="2594" t="s">
        <v>2640</v>
      </c>
      <c r="B11" s="2595" t="str">
        <f>'预评函-1'!A14</f>
        <v>根据《国有土地使用证》[]，本次评估估价对象证载（地类）用途为。</v>
      </c>
    </row>
    <row r="12" spans="1:55" s="2593" customFormat="1">
      <c r="A12" s="2594" t="s">
        <v>2641</v>
      </c>
      <c r="B12" s="2595" t="str">
        <f>'预评函-1'!A15</f>
        <v>本次评估设定用途即为证载用途。</v>
      </c>
    </row>
    <row r="13" spans="1:55" s="2593" customFormat="1">
      <c r="A13" s="2594" t="s">
        <v>2642</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2643</v>
      </c>
      <c r="B14" s="2595" t="str">
        <f>'预评函-1'!A18</f>
        <v>。本次评估设定土地开发程度为红线外市政基础设施达“七通”、宗地红线内场地平整。</v>
      </c>
    </row>
    <row r="15" spans="1:55" s="2593" customFormat="1">
      <c r="A15" s="2594" t="s">
        <v>2639</v>
      </c>
      <c r="B15" s="2595" t="str">
        <f>'预评函-1'!A20</f>
        <v>根据《国有土地使用证》[]，估价对象（分摊）出让国有建设用地使用权面积为32358.705平方米。根据《建设工程规划许可证》[]、《出让合同》[]，估价对象规划建筑面积为142378.302平方米。</v>
      </c>
    </row>
    <row r="16" spans="1:55" s="2593" customFormat="1">
      <c r="A16" s="2594" t="s">
        <v>2644</v>
      </c>
      <c r="B16" s="2595" t="str">
        <f>'预评函-1'!A22</f>
        <v>本次估价对象为出让国有建设用地使用权，《国有土地使用证》[]证载土地终止日期为商业2061年9月20日、办公2071年9月23日。截至估价期日，出让国有建设用地使用权剩余土地使用年限为。</v>
      </c>
    </row>
    <row r="17" spans="1:48" s="2593" customFormat="1">
      <c r="A17" s="2594" t="s">
        <v>2645</v>
      </c>
      <c r="B17" s="2595" t="str">
        <f>'预评函-1'!A23</f>
        <v>本次评估设定估价对象剩余土地使用年限为。</v>
      </c>
    </row>
    <row r="18" spans="1:48" s="2593" customFormat="1">
      <c r="A18" s="2594" t="s">
        <v>2646</v>
      </c>
      <c r="B18" s="2595" t="str">
        <f>'预评函-1'!A25</f>
        <v>本次估价的“出让国有建设用地使用权价格”是指在估价对象土地所有权为国家所有，使用权性质为出让，在公开市场条件下、于估价期日2021年9月24日，在规划利用条件下、设定土地开发程度为红线外“七通”、宗地内场地，设定用途为，剩余土地使用年限为的出让国有建设用地使用权价格。</v>
      </c>
    </row>
    <row r="19" spans="1:48" s="2593" customFormat="1">
      <c r="A19" s="2594" t="s">
        <v>2647</v>
      </c>
      <c r="B19" s="2595" t="str">
        <f>'预评函-1'!A26</f>
        <v>——</v>
      </c>
    </row>
    <row r="20" spans="1:48" s="2593" customFormat="1">
      <c r="A20" s="2594" t="s">
        <v>2648</v>
      </c>
      <c r="B20" s="2595" t="str">
        <f>'预评函-1'!A27</f>
        <v>——</v>
      </c>
    </row>
    <row r="21" spans="1:48" s="2609" customFormat="1" ht="15" thickBot="1">
      <c r="A21" s="2616" t="s">
        <v>2649</v>
      </c>
      <c r="B21" s="2617" t="str">
        <f>'预评函-1'!A28</f>
        <v>——</v>
      </c>
    </row>
    <row r="22" spans="1:48" ht="15" thickTop="1">
      <c r="A22" s="2605" t="s">
        <v>2650</v>
      </c>
      <c r="B22" s="2606"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94" t="s">
        <v>2651</v>
      </c>
      <c r="B23" s="2595" t="str">
        <f>'预评函-2'!K2</f>
        <v>估价期日：2021年9月24日</v>
      </c>
    </row>
    <row r="24" spans="1:48">
      <c r="A24" s="2594" t="s">
        <v>2652</v>
      </c>
      <c r="B24" s="2595" t="str">
        <f>'预评函-2'!R2</f>
        <v>估价期日的国有建设用地使用权性质：出让</v>
      </c>
    </row>
    <row r="25" spans="1:48">
      <c r="A25" s="2594" t="s">
        <v>2708</v>
      </c>
      <c r="B25" s="2595" t="str">
        <f>'预评函-2'!A3</f>
        <v>估价期日土地使用者</v>
      </c>
    </row>
    <row r="26" spans="1:48">
      <c r="A26" s="2594" t="s">
        <v>2684</v>
      </c>
      <c r="B26" s="2595" t="str">
        <f>'预评函-2'!A5</f>
        <v>中信开发</v>
      </c>
    </row>
    <row r="27" spans="1:48">
      <c r="A27" s="2594" t="s">
        <v>2709</v>
      </c>
      <c r="B27" s="2595" t="str">
        <f>'预评函-2'!B3</f>
        <v>宗地编号/不动产单元号</v>
      </c>
    </row>
    <row r="28" spans="1:48">
      <c r="A28" s="2594" t="s">
        <v>2685</v>
      </c>
      <c r="B28" s="2595" t="str">
        <f>'预评函-2'!B5</f>
        <v>11111111111</v>
      </c>
    </row>
    <row r="29" spans="1:48">
      <c r="A29" s="2594" t="s">
        <v>2711</v>
      </c>
      <c r="B29" s="2595">
        <f>'预评函-2'!C5</f>
        <v>22</v>
      </c>
    </row>
    <row r="30" spans="1:48">
      <c r="A30" s="2594" t="s">
        <v>2712</v>
      </c>
      <c r="B30" s="2595" t="str">
        <f>'预评函-2'!D3</f>
        <v>土地使用证编号/不动产权证书编号</v>
      </c>
    </row>
    <row r="31" spans="1:48">
      <c r="A31" s="2594" t="s">
        <v>2686</v>
      </c>
      <c r="B31" s="2595" t="str">
        <f>'预评函-2'!D5</f>
        <v>京国土字第111号</v>
      </c>
    </row>
    <row r="32" spans="1:48">
      <c r="A32" s="2594" t="s">
        <v>2687</v>
      </c>
      <c r="B32" s="2595">
        <f>'预评函-2'!E5</f>
        <v>0</v>
      </c>
      <c r="AV32" s="2599"/>
    </row>
    <row r="33" spans="1:2">
      <c r="A33" s="2594" t="s">
        <v>2688</v>
      </c>
      <c r="B33" s="2595">
        <f>'预评函-2'!F5</f>
        <v>258</v>
      </c>
    </row>
    <row r="34" spans="1:2">
      <c r="A34" s="2594" t="s">
        <v>2689</v>
      </c>
      <c r="B34" s="2595">
        <f>'预评函-2'!G5</f>
        <v>0</v>
      </c>
    </row>
    <row r="35" spans="1:2">
      <c r="A35" s="2594" t="s">
        <v>2690</v>
      </c>
      <c r="B35" s="2595">
        <f>'预评函-2'!H5</f>
        <v>1.5</v>
      </c>
    </row>
    <row r="36" spans="1:2">
      <c r="A36" s="2594" t="s">
        <v>2691</v>
      </c>
      <c r="B36" s="2595">
        <f>'预评函-2'!I5</f>
        <v>1.5</v>
      </c>
    </row>
    <row r="37" spans="1:2">
      <c r="A37" s="2594" t="s">
        <v>2692</v>
      </c>
      <c r="B37" s="2595">
        <f>'预评函-2'!J5</f>
        <v>1.5</v>
      </c>
    </row>
    <row r="38" spans="1:2">
      <c r="A38" s="2594" t="s">
        <v>2693</v>
      </c>
      <c r="B38" s="2595" t="str">
        <f>'预评函-2'!K5</f>
        <v>红线外七通、宗地红线内</v>
      </c>
    </row>
    <row r="39" spans="1:2">
      <c r="A39" s="2594" t="s">
        <v>2694</v>
      </c>
      <c r="B39" s="2595" t="str">
        <f>'预评函-2'!L5</f>
        <v>红线外七通、宗地红线内场地</v>
      </c>
    </row>
    <row r="40" spans="1:2">
      <c r="A40" s="2594" t="s">
        <v>2713</v>
      </c>
      <c r="B40" s="2595" t="str">
        <f>'预评函-2'!M3</f>
        <v>（剩余）土地使用年限/年</v>
      </c>
    </row>
    <row r="41" spans="1:2">
      <c r="A41" s="2594" t="s">
        <v>2695</v>
      </c>
      <c r="B41" s="2595">
        <f>'预评函-2'!M5</f>
        <v>0</v>
      </c>
    </row>
    <row r="42" spans="1:2">
      <c r="A42" s="2594" t="s">
        <v>2714</v>
      </c>
      <c r="B42" s="2595" t="str">
        <f>'预评函-2'!N3</f>
        <v>（分摊）出让国有建设用地使用权面积/㎡</v>
      </c>
    </row>
    <row r="43" spans="1:2">
      <c r="A43" s="2594" t="s">
        <v>2696</v>
      </c>
      <c r="B43" s="2595">
        <f>'预评函-2'!N5</f>
        <v>32358.705000000002</v>
      </c>
    </row>
    <row r="44" spans="1:2">
      <c r="A44" s="2594" t="s">
        <v>2715</v>
      </c>
      <c r="B44" s="2595" t="str">
        <f>'预评函-2'!O3</f>
        <v>规划建筑面积/㎡</v>
      </c>
    </row>
    <row r="45" spans="1:2">
      <c r="A45" s="2594" t="s">
        <v>2697</v>
      </c>
      <c r="B45" s="2595">
        <f>'预评函-2'!O5</f>
        <v>142378.302</v>
      </c>
    </row>
    <row r="46" spans="1:2">
      <c r="A46" s="2594" t="s">
        <v>2698</v>
      </c>
      <c r="B46" s="2595">
        <f ca="1">'预评函-2'!P5</f>
        <v>22001</v>
      </c>
    </row>
    <row r="47" spans="1:2">
      <c r="A47" s="2594" t="s">
        <v>2699</v>
      </c>
      <c r="B47" s="2595">
        <f ca="1">'预评函-2'!Q5</f>
        <v>5000</v>
      </c>
    </row>
    <row r="48" spans="1:2">
      <c r="A48" s="2594" t="s">
        <v>2700</v>
      </c>
      <c r="B48" s="2595">
        <f ca="1">'预评函-2'!R5</f>
        <v>71192</v>
      </c>
    </row>
    <row r="49" spans="1:2">
      <c r="A49" s="2594" t="s">
        <v>2716</v>
      </c>
      <c r="B49" s="2595" t="str">
        <f>'预评函-2'!A6</f>
        <v>——</v>
      </c>
    </row>
    <row r="50" spans="1:2">
      <c r="A50" s="2594" t="s">
        <v>2701</v>
      </c>
      <c r="B50" s="2595" t="str">
        <f>'预评函-2'!R6</f>
        <v>——</v>
      </c>
    </row>
    <row r="51" spans="1:2">
      <c r="A51" s="2594" t="s">
        <v>2717</v>
      </c>
      <c r="B51" s="2595" t="str">
        <f>'预评函-2'!A7</f>
        <v>——</v>
      </c>
    </row>
    <row r="52" spans="1:2">
      <c r="A52" s="2594" t="s">
        <v>2702</v>
      </c>
      <c r="B52" s="2595" t="str">
        <f>'预评函-2'!R7</f>
        <v>——</v>
      </c>
    </row>
    <row r="53" spans="1:2">
      <c r="A53" s="2594" t="s">
        <v>2718</v>
      </c>
      <c r="B53" s="2595" t="str">
        <f>'预评函-2'!A8</f>
        <v>——</v>
      </c>
    </row>
    <row r="54" spans="1:2" s="2609" customFormat="1" ht="15" thickBot="1">
      <c r="A54" s="2616" t="s">
        <v>2703</v>
      </c>
      <c r="B54" s="2617" t="str">
        <f>'预评函-2'!R8</f>
        <v>——</v>
      </c>
    </row>
    <row r="55" spans="1:2" ht="15" thickTop="1">
      <c r="A55" s="2605" t="s">
        <v>2653</v>
      </c>
      <c r="B55" s="2606" t="str">
        <f>'预评函-3'!A2</f>
        <v>1.权利限制：根据估价对象《不动产权证书》原件、《国有土地使用权》复印件，截至估价期日，估价对象抵押权未见登记。未设定租赁等其他他项权利。</v>
      </c>
    </row>
    <row r="56" spans="1:2">
      <c r="A56" s="2594" t="s">
        <v>2654</v>
      </c>
      <c r="B56" s="2595" t="str">
        <f>'预评函-3'!A3</f>
        <v>2.基础设施条件：估价对象实际开发程度为红线外七通、宗地红线内；本次评估设定开发程度为红线外七通、宗地红线内场地。</v>
      </c>
    </row>
    <row r="57" spans="1:2">
      <c r="A57" s="2594" t="s">
        <v>2655</v>
      </c>
      <c r="B57" s="2595" t="str">
        <f>'预评函-3'!A4</f>
        <v>3.估价规划限制条件：详见《建设工程规划许可证》[]、《出让合同》[]。</v>
      </c>
    </row>
    <row r="58" spans="1:2" s="2609" customFormat="1" ht="15" thickBot="1">
      <c r="A58" s="2616" t="s">
        <v>2704</v>
      </c>
      <c r="B58" s="2617" t="str">
        <f>'预评函-3'!A5</f>
        <v>4.影响价格的其他限定条件：无。</v>
      </c>
    </row>
    <row r="59" spans="1:2" ht="15" thickTop="1">
      <c r="A59" s="2605" t="s">
        <v>2656</v>
      </c>
      <c r="B59" s="2606" t="str">
        <f>'预评函-3'!A8</f>
        <v>2.本《评估意见函》仅供金融机构进行内部审核使用，不做其他目的之用。</v>
      </c>
    </row>
    <row r="60" spans="1:2">
      <c r="A60" s="2594" t="s">
        <v>2657</v>
      </c>
      <c r="B60" s="2595" t="str">
        <f>'预评函-3'!A9</f>
        <v>3.抵押双方在办理抵押登记手续时，应使用本公司出具的正式《土地估价报告》，特提请报告使用者注意。</v>
      </c>
    </row>
    <row r="61" spans="1:2">
      <c r="A61" s="2594" t="s">
        <v>2659</v>
      </c>
      <c r="B61" s="2595" t="str">
        <f>'预评函-3'!A10</f>
        <v>4.估价师所知悉的法定优先受偿款情况为：</v>
      </c>
    </row>
    <row r="62" spans="1:2">
      <c r="A62" s="2594" t="s">
        <v>2658</v>
      </c>
      <c r="B62" s="25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4" t="s">
        <v>2660</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2661</v>
      </c>
      <c r="B64" s="2600" t="str">
        <f>'预评函-3'!A13</f>
        <v>（3）。</v>
      </c>
    </row>
    <row r="65" spans="1:2">
      <c r="A65" s="2594" t="s">
        <v>2662</v>
      </c>
      <c r="B65" s="2601" t="str">
        <f>'预评函-3'!A14</f>
        <v>综上，本次评估不存在估价师知悉的法定优先受偿款</v>
      </c>
    </row>
    <row r="66" spans="1:2">
      <c r="A66" s="2594" t="s">
        <v>2663</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2664</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2667</v>
      </c>
      <c r="B68" s="2620">
        <f>'预评函-3'!D30</f>
        <v>42558</v>
      </c>
    </row>
    <row r="69" spans="1:2" ht="15" thickTop="1">
      <c r="A69" s="2605" t="s">
        <v>2665</v>
      </c>
      <c r="B69" s="2606" t="str">
        <f>'预评函-3'!A20</f>
        <v>陈颖</v>
      </c>
    </row>
    <row r="70" spans="1:2">
      <c r="A70" s="2594" t="s">
        <v>2665</v>
      </c>
      <c r="B70" s="2601">
        <f ca="1">'预评函-3'!B20</f>
        <v>2004110096</v>
      </c>
    </row>
    <row r="71" spans="1:2">
      <c r="A71" s="2594" t="s">
        <v>2666</v>
      </c>
      <c r="B71" s="2595" t="str">
        <f>'预评函-3'!A21</f>
        <v>崔锴</v>
      </c>
    </row>
    <row r="72" spans="1:2" s="2609" customFormat="1" ht="15" thickBot="1">
      <c r="A72" s="2616" t="s">
        <v>2666</v>
      </c>
      <c r="B72" s="2622">
        <f ca="1">'预评函-3'!B21</f>
        <v>2010110070</v>
      </c>
    </row>
    <row r="73" spans="1:2" ht="15" thickTop="1">
      <c r="A73" s="2605" t="s">
        <v>2725</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2726</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2727</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2761</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topLeftCell="A19" zoomScale="90" zoomScaleNormal="100" zoomScaleSheetLayoutView="90" workbookViewId="0">
      <selection activeCell="B8" sqref="B8"/>
    </sheetView>
  </sheetViews>
  <sheetFormatPr defaultColWidth="10" defaultRowHeight="14.25"/>
  <cols>
    <col min="1" max="1" width="15.375" style="1612" customWidth="1"/>
    <col min="2" max="2" width="11.375" style="1612" customWidth="1"/>
    <col min="3" max="3" width="12.625" style="1612" customWidth="1"/>
    <col min="4" max="4" width="10"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8" customWidth="1"/>
    <col min="12" max="13" width="10" style="3069" customWidth="1"/>
    <col min="14" max="14" width="10" style="3054" customWidth="1"/>
    <col min="15" max="15" width="10" style="3070" customWidth="1"/>
    <col min="16" max="17" width="10" style="3054"/>
    <col min="18" max="18" width="10" style="3054" customWidth="1"/>
    <col min="19" max="28" width="10" style="3054"/>
    <col min="29" max="16384" width="10" style="1612"/>
  </cols>
  <sheetData>
    <row r="1" spans="1:21" ht="15" thickBot="1">
      <c r="A1" s="1585" t="s">
        <v>1921</v>
      </c>
      <c r="B1" s="3415" t="str">
        <f>IF(B10="北京市","北京市",C10)&amp;F10&amp;B16&amp;"国有建设用地使用权"&amp;B9&amp;"预评估"</f>
        <v>北京市出让国有建设用地使用权市场价格预评估</v>
      </c>
      <c r="C1" s="3416"/>
      <c r="D1" s="3416"/>
      <c r="E1" s="3416"/>
      <c r="F1" s="3416"/>
      <c r="G1" s="3416"/>
      <c r="H1" s="3416"/>
      <c r="I1" s="3417"/>
      <c r="J1" s="3072"/>
      <c r="K1" s="2309" t="str">
        <f>IF(B10="北京市","北京市",C10)&amp;F10&amp;B16&amp;"国有建设用地使用权"&amp;B9</f>
        <v>北京市出让国有建设用地使用权市场价格</v>
      </c>
      <c r="L1" s="3051"/>
      <c r="M1" s="3051"/>
      <c r="N1" s="3052"/>
      <c r="O1" s="3053"/>
      <c r="P1" s="3052"/>
      <c r="Q1" s="3052"/>
      <c r="R1" s="3052"/>
      <c r="S1" s="3052"/>
      <c r="T1" s="3052"/>
      <c r="U1" s="3052"/>
    </row>
    <row r="2" spans="1:21">
      <c r="A2" s="1586" t="s">
        <v>1922</v>
      </c>
      <c r="B2" s="1754"/>
      <c r="D2" s="3072"/>
      <c r="E2" s="3072"/>
      <c r="F2" s="3072"/>
      <c r="G2" s="3072"/>
      <c r="H2" s="3073"/>
      <c r="I2" s="3074"/>
      <c r="J2" s="3072"/>
      <c r="K2" s="2309" t="str">
        <f>IF(B10="北京市","北京市",C10)&amp;F10&amp;B16&amp;"国有建设用地使用权"</f>
        <v>北京市出让国有建设用地使用权</v>
      </c>
      <c r="L2" s="3051"/>
      <c r="M2" s="3051"/>
      <c r="N2" s="3052"/>
      <c r="O2" s="3053"/>
      <c r="P2" s="3052"/>
      <c r="Q2" s="3052"/>
      <c r="R2" s="3052"/>
      <c r="S2" s="3052"/>
      <c r="T2" s="3052"/>
      <c r="U2" s="3052"/>
    </row>
    <row r="3" spans="1:21">
      <c r="A3" s="1587" t="s">
        <v>1923</v>
      </c>
      <c r="B3" s="1588">
        <v>44463</v>
      </c>
      <c r="C3" s="2995" t="s">
        <v>1979</v>
      </c>
      <c r="D3" s="1588">
        <f>B3</f>
        <v>44463</v>
      </c>
      <c r="E3" s="3072"/>
      <c r="F3" s="3072"/>
      <c r="G3" s="3072"/>
      <c r="H3" s="3073"/>
      <c r="I3" s="3074"/>
      <c r="J3" s="3072"/>
      <c r="K3" s="3055"/>
      <c r="L3" s="3051"/>
      <c r="M3" s="3051"/>
      <c r="N3" s="3052"/>
      <c r="O3" s="3053"/>
      <c r="P3" s="3052"/>
      <c r="Q3" s="3052"/>
      <c r="R3" s="3052"/>
      <c r="S3" s="3052"/>
      <c r="T3" s="3052"/>
      <c r="U3" s="3052"/>
    </row>
    <row r="4" spans="1:21" ht="15" thickBot="1">
      <c r="A4" s="1590" t="s">
        <v>1924</v>
      </c>
      <c r="B4" s="1755" t="s">
        <v>2999</v>
      </c>
      <c r="C4" s="1758">
        <f ca="1">SUMIF(土地估价师,B4,估价师及机构信息!E3:E16)</f>
        <v>2004110096</v>
      </c>
      <c r="D4" s="1755" t="s">
        <v>3000</v>
      </c>
      <c r="E4" s="1758">
        <f ca="1">SUMIF(土地估价师,D4,估价师及机构信息!E3:E16)</f>
        <v>2010110070</v>
      </c>
      <c r="F4" s="1755" t="s">
        <v>941</v>
      </c>
      <c r="G4" s="1758">
        <f>SUMIF(土地估价师,F4,估价师及机构信息!E3:E16)</f>
        <v>0</v>
      </c>
      <c r="H4" s="1755" t="s">
        <v>941</v>
      </c>
      <c r="I4" s="1758">
        <f>SUMIF(土地估价师,H4,估价师及机构信息!E3:E16)</f>
        <v>0</v>
      </c>
      <c r="J4" s="3072"/>
      <c r="K4" s="2309" t="str">
        <f>IF(AND(F4="——",H4="——"),B4&amp;"、"&amp;D4,IF(AND(F4&lt;&gt;"——",H4="——"),B4&amp;"、"&amp;D4&amp;"、"&amp;F4,B4&amp;"、"&amp;D4&amp;"、"&amp;F4&amp;"、"&amp;H4))</f>
        <v>陈颖、崔锴</v>
      </c>
      <c r="L4" s="3051"/>
      <c r="M4" s="3051"/>
      <c r="N4" s="3052"/>
      <c r="O4" s="3053"/>
      <c r="P4" s="3052"/>
      <c r="Q4" s="3052"/>
      <c r="R4" s="3052"/>
      <c r="S4" s="3052"/>
      <c r="T4" s="3052"/>
      <c r="U4" s="3052"/>
    </row>
    <row r="5" spans="1:21" ht="15" thickTop="1">
      <c r="A5" s="1591" t="s">
        <v>1925</v>
      </c>
      <c r="B5" s="1702"/>
      <c r="C5" s="1592"/>
      <c r="D5" s="1593"/>
      <c r="E5" s="3072"/>
      <c r="F5" s="3072"/>
      <c r="G5" s="3072"/>
      <c r="H5" s="3073"/>
      <c r="I5" s="3074"/>
      <c r="J5" s="3072"/>
      <c r="K5" s="3055"/>
      <c r="L5" s="3051"/>
      <c r="M5" s="3051"/>
      <c r="N5" s="3052"/>
      <c r="O5" s="3053"/>
      <c r="P5" s="3052"/>
      <c r="Q5" s="3052"/>
      <c r="R5" s="3052"/>
      <c r="S5" s="3052"/>
      <c r="T5" s="3052"/>
      <c r="U5" s="3052"/>
    </row>
    <row r="6" spans="1:21" ht="26.25">
      <c r="A6" s="1589" t="s">
        <v>2681</v>
      </c>
      <c r="B6" s="1702"/>
      <c r="C6" s="1677"/>
      <c r="D6" s="1594"/>
      <c r="E6" s="3072"/>
      <c r="F6" s="3072"/>
      <c r="G6" s="3072"/>
      <c r="H6" s="3073"/>
      <c r="I6" s="3074"/>
      <c r="J6" s="3072"/>
      <c r="K6" s="3056" t="str">
        <f>IF(COUNTIF(B6,"*上海银行*"),"上海银行","")</f>
        <v/>
      </c>
      <c r="L6" s="3051"/>
      <c r="M6" s="3051"/>
      <c r="N6" s="3052"/>
      <c r="O6" s="3053"/>
      <c r="P6" s="3052"/>
      <c r="Q6" s="3052"/>
      <c r="R6" s="3052"/>
      <c r="S6" s="3052"/>
      <c r="T6" s="3052"/>
      <c r="U6" s="3052"/>
    </row>
    <row r="7" spans="1:21">
      <c r="A7" s="1595" t="s">
        <v>2682</v>
      </c>
      <c r="B7" s="1702"/>
      <c r="C7" s="1677"/>
      <c r="D7" s="1594"/>
      <c r="E7" s="3072"/>
      <c r="F7" s="3072"/>
      <c r="G7" s="3072"/>
      <c r="H7" s="3073"/>
      <c r="I7" s="3074"/>
      <c r="J7" s="3072"/>
      <c r="K7" s="3055"/>
      <c r="L7" s="3051"/>
      <c r="M7" s="3051"/>
      <c r="N7" s="3052"/>
      <c r="O7" s="3053"/>
      <c r="P7" s="3052"/>
      <c r="Q7" s="3052"/>
      <c r="R7" s="3052"/>
      <c r="S7" s="3052"/>
      <c r="T7" s="3052"/>
      <c r="U7" s="3052"/>
    </row>
    <row r="8" spans="1:21">
      <c r="A8" s="2996" t="s">
        <v>1926</v>
      </c>
      <c r="B8" s="1596" t="s">
        <v>3147</v>
      </c>
      <c r="C8" s="1597"/>
      <c r="D8" s="3421" t="s">
        <v>1928</v>
      </c>
      <c r="E8" s="1756"/>
      <c r="F8" s="1598"/>
      <c r="G8" s="3073"/>
      <c r="H8" s="3073"/>
      <c r="I8" s="3076"/>
      <c r="J8" s="3072"/>
      <c r="K8" s="3055"/>
      <c r="L8" s="3051"/>
      <c r="M8" s="3051"/>
      <c r="N8" s="3052"/>
      <c r="O8" s="3053"/>
      <c r="P8" s="3052"/>
      <c r="Q8" s="3052"/>
      <c r="R8" s="3052"/>
      <c r="S8" s="3052"/>
      <c r="T8" s="3052"/>
      <c r="U8" s="3052"/>
    </row>
    <row r="9" spans="1:21" ht="15" thickBot="1">
      <c r="A9" s="2997" t="s">
        <v>1927</v>
      </c>
      <c r="B9" s="1599" t="s">
        <v>3001</v>
      </c>
      <c r="C9" s="1600"/>
      <c r="D9" s="3422"/>
      <c r="E9" s="1599"/>
      <c r="F9" s="1663"/>
      <c r="G9" s="3077"/>
      <c r="H9" s="3077"/>
      <c r="I9" s="3078"/>
      <c r="J9" s="3072"/>
      <c r="K9" s="3055"/>
      <c r="L9" s="3051"/>
      <c r="M9" s="3051"/>
      <c r="N9" s="3052"/>
      <c r="O9" s="3053"/>
      <c r="P9" s="3052"/>
      <c r="Q9" s="3052"/>
      <c r="R9" s="3052"/>
      <c r="S9" s="3052"/>
      <c r="T9" s="3052"/>
      <c r="U9" s="3052"/>
    </row>
    <row r="10" spans="1:21" ht="15" thickTop="1">
      <c r="A10" s="2998" t="s">
        <v>1983</v>
      </c>
      <c r="B10" s="1639" t="s">
        <v>1929</v>
      </c>
      <c r="C10" s="1601"/>
      <c r="D10" s="1593"/>
      <c r="E10" s="1602" t="s">
        <v>1930</v>
      </c>
      <c r="F10" s="1603"/>
      <c r="G10" s="1661"/>
      <c r="H10" s="1662"/>
      <c r="I10" s="1593"/>
      <c r="J10" s="3072"/>
      <c r="K10" s="3055"/>
      <c r="L10" s="3051"/>
      <c r="M10" s="3051"/>
      <c r="N10" s="3052"/>
      <c r="O10" s="3053"/>
      <c r="P10" s="3052"/>
      <c r="Q10" s="3052"/>
      <c r="R10" s="3052"/>
      <c r="S10" s="3052"/>
      <c r="T10" s="3052"/>
      <c r="U10" s="3052"/>
    </row>
    <row r="11" spans="1:21">
      <c r="A11" s="2999" t="s">
        <v>1984</v>
      </c>
      <c r="B11" s="1618" t="s">
        <v>3002</v>
      </c>
      <c r="C11" s="1604"/>
      <c r="D11" s="1678"/>
      <c r="E11" s="3071"/>
      <c r="F11" s="3071"/>
      <c r="G11" s="3071"/>
      <c r="H11" s="3071"/>
      <c r="I11" s="3071"/>
      <c r="J11" s="3072"/>
      <c r="K11" s="3055"/>
      <c r="L11" s="3051"/>
      <c r="M11" s="3051"/>
      <c r="N11" s="3052"/>
      <c r="O11" s="3053"/>
      <c r="P11" s="3052"/>
      <c r="Q11" s="3052"/>
      <c r="R11" s="3052"/>
      <c r="S11" s="3052"/>
      <c r="T11" s="3052"/>
      <c r="U11" s="3052"/>
    </row>
    <row r="12" spans="1:21">
      <c r="A12" s="1698" t="s">
        <v>2042</v>
      </c>
      <c r="B12" s="3418"/>
      <c r="C12" s="3419"/>
      <c r="D12" s="3420"/>
      <c r="E12" s="1619" t="s">
        <v>2045</v>
      </c>
      <c r="F12" s="3436" t="s">
        <v>2862</v>
      </c>
      <c r="G12" s="3437"/>
      <c r="H12" s="3437"/>
      <c r="I12" s="3438"/>
      <c r="J12" s="3072"/>
      <c r="K12" s="3055"/>
      <c r="L12" s="3051"/>
      <c r="M12" s="3051"/>
      <c r="N12" s="3052"/>
      <c r="O12" s="3053"/>
      <c r="P12" s="3052"/>
      <c r="Q12" s="3052"/>
      <c r="R12" s="3052"/>
      <c r="S12" s="3052"/>
      <c r="T12" s="3052"/>
      <c r="U12" s="3052"/>
    </row>
    <row r="13" spans="1:21">
      <c r="A13" s="1610" t="s">
        <v>2043</v>
      </c>
      <c r="B13" s="3418"/>
      <c r="C13" s="3419"/>
      <c r="D13" s="3420"/>
      <c r="E13" s="1619" t="s">
        <v>2045</v>
      </c>
      <c r="F13" s="3436" t="s">
        <v>2863</v>
      </c>
      <c r="G13" s="3437"/>
      <c r="H13" s="3437"/>
      <c r="I13" s="3438"/>
      <c r="J13" s="3072"/>
      <c r="K13" s="3055"/>
      <c r="L13" s="3051"/>
      <c r="M13" s="3051"/>
      <c r="N13" s="3052"/>
      <c r="O13" s="3053"/>
      <c r="P13" s="3052"/>
      <c r="Q13" s="3052"/>
      <c r="R13" s="3052"/>
      <c r="S13" s="3052"/>
      <c r="T13" s="3052"/>
      <c r="U13" s="3052"/>
    </row>
    <row r="14" spans="1:21">
      <c r="A14" s="1587" t="s">
        <v>2046</v>
      </c>
      <c r="B14" s="1619"/>
      <c r="C14" s="1757" t="s">
        <v>3003</v>
      </c>
      <c r="D14" s="1653" t="str">
        <f>IF(C14="不一致","是否符合证载地类范围","")</f>
        <v/>
      </c>
      <c r="E14" s="1619"/>
      <c r="F14" s="1703"/>
      <c r="G14" s="1648"/>
      <c r="H14" s="1648"/>
      <c r="I14" s="1750"/>
      <c r="J14" s="3072"/>
      <c r="K14" s="3055"/>
      <c r="L14" s="3051"/>
      <c r="M14" s="3051"/>
      <c r="N14" s="3052"/>
      <c r="O14" s="3053"/>
      <c r="P14" s="3052"/>
      <c r="Q14" s="3052"/>
      <c r="R14" s="3052"/>
      <c r="S14" s="3052"/>
      <c r="T14" s="3052"/>
      <c r="U14" s="3052"/>
    </row>
    <row r="15" spans="1:21" hidden="1">
      <c r="A15" s="2486"/>
      <c r="B15" s="1589"/>
      <c r="C15" s="1589"/>
      <c r="D15" s="1682" t="s">
        <v>1933</v>
      </c>
      <c r="E15" s="1682" t="s">
        <v>1934</v>
      </c>
      <c r="F15" s="1682" t="s">
        <v>1935</v>
      </c>
      <c r="G15" s="1609" t="s">
        <v>1936</v>
      </c>
      <c r="H15" s="1609" t="s">
        <v>1937</v>
      </c>
      <c r="I15" s="1609" t="s">
        <v>1938</v>
      </c>
      <c r="J15" s="3072"/>
      <c r="K15" s="3055"/>
      <c r="L15" s="3051"/>
      <c r="M15" s="3051"/>
      <c r="N15" s="3052"/>
      <c r="O15" s="3053"/>
      <c r="P15" s="3052"/>
      <c r="Q15" s="3052"/>
      <c r="R15" s="3052"/>
      <c r="S15" s="3052"/>
      <c r="T15" s="3052"/>
      <c r="U15" s="3052"/>
    </row>
    <row r="16" spans="1:21" ht="28.5">
      <c r="A16" s="3000" t="s">
        <v>1931</v>
      </c>
      <c r="B16" s="1605" t="s">
        <v>2941</v>
      </c>
      <c r="C16" s="1619" t="s">
        <v>1932</v>
      </c>
      <c r="D16" s="2487" t="s">
        <v>1933</v>
      </c>
      <c r="E16" s="1642" t="s">
        <v>2996</v>
      </c>
      <c r="F16" s="1642" t="s">
        <v>1665</v>
      </c>
      <c r="G16" s="1642"/>
      <c r="H16" s="1642"/>
      <c r="I16" s="1609" t="s">
        <v>1938</v>
      </c>
      <c r="J16" s="3072"/>
      <c r="K16" s="2310" t="str">
        <f>IF(D17="","",D16&amp;TEXT(D17,"yyyy年m月d日;;"))</f>
        <v/>
      </c>
      <c r="L16" s="1619" t="str">
        <f>IF(OR(K16="",M16=""),"","、")</f>
        <v/>
      </c>
      <c r="M16" s="2310" t="str">
        <f>IF(E17="","",E16&amp;TEXT(E17,"yyyy年m月d日;;"))</f>
        <v>商业2061年9月20日</v>
      </c>
      <c r="N16" s="1619" t="str">
        <f>IF(OR(M16="",O16=""),"","、")</f>
        <v>、</v>
      </c>
      <c r="O16" s="2310" t="str">
        <f>IF(F17="","",F16&amp;TEXT(F17,"yyyy年m月d日;;"))</f>
        <v>办公2071年9月23日</v>
      </c>
      <c r="P16" s="1619" t="str">
        <f>IF(OR(O16="",Q16=""),"","、")</f>
        <v/>
      </c>
      <c r="Q16" s="2310" t="str">
        <f>IF(G17="","",G16&amp;TEXT(G17,"yyyy年m月d日;;"))</f>
        <v/>
      </c>
      <c r="R16" s="1619" t="str">
        <f>IF(OR(Q16="",S16=""),"","、")</f>
        <v/>
      </c>
      <c r="S16" s="2310" t="str">
        <f>IF(H17="","",H16&amp;TEXT(H17,"yyyy年m月d日;;"))</f>
        <v/>
      </c>
      <c r="T16" s="1619" t="str">
        <f>IF(OR(S16="",U16=""),"","、")</f>
        <v/>
      </c>
      <c r="U16" s="2310" t="str">
        <f>IF(I17="","",I16&amp;TEXT(I17,"yyyy年m月d日;;"))</f>
        <v/>
      </c>
    </row>
    <row r="17" spans="1:21">
      <c r="A17" s="1679"/>
      <c r="B17" s="1606"/>
      <c r="C17" s="3001" t="s">
        <v>1939</v>
      </c>
      <c r="D17" s="1620"/>
      <c r="E17" s="1620">
        <v>59069</v>
      </c>
      <c r="F17" s="1620">
        <v>62724</v>
      </c>
      <c r="G17" s="1620"/>
      <c r="H17" s="1620"/>
      <c r="I17" s="1620"/>
      <c r="J17" s="3072"/>
      <c r="K17" s="3050" t="str">
        <f>CONCATENATE(K16,L16,M16,N16,O16,P16,Q16,R16,S16,T16,,U16)</f>
        <v>商业2061年9月20日、办公2071年9月23日</v>
      </c>
      <c r="L17" s="3051"/>
      <c r="M17" s="3051"/>
      <c r="N17" s="3052"/>
      <c r="O17" s="3053"/>
      <c r="P17" s="3052"/>
      <c r="Q17" s="3052"/>
      <c r="R17" s="3052"/>
      <c r="S17" s="3052"/>
      <c r="T17" s="3052"/>
      <c r="U17" s="3052"/>
    </row>
    <row r="18" spans="1:21">
      <c r="A18" s="1679"/>
      <c r="B18" s="1606"/>
      <c r="C18" s="3001" t="s">
        <v>1940</v>
      </c>
      <c r="D18" s="1607"/>
      <c r="E18" s="1607">
        <v>40</v>
      </c>
      <c r="F18" s="1607">
        <v>50</v>
      </c>
      <c r="G18" s="1607"/>
      <c r="H18" s="1607"/>
      <c r="I18" s="1607"/>
      <c r="J18" s="3072"/>
      <c r="K18" s="3055"/>
      <c r="L18" s="3051"/>
      <c r="M18" s="3051"/>
      <c r="N18" s="3052"/>
      <c r="O18" s="3053"/>
      <c r="P18" s="3052"/>
      <c r="Q18" s="3052"/>
      <c r="R18" s="3052"/>
      <c r="S18" s="3052"/>
      <c r="T18" s="3052"/>
      <c r="U18" s="3052"/>
    </row>
    <row r="19" spans="1:21">
      <c r="A19" s="1679"/>
      <c r="B19" s="1606"/>
      <c r="C19" s="1586" t="s">
        <v>1941</v>
      </c>
      <c r="D19" s="1674" t="str">
        <f>IF(B16="出让",IF(D17="","",ROUNDDOWN(MIN((D17-$D$3)/365,D18),2)),D18)</f>
        <v/>
      </c>
      <c r="E19" s="1608">
        <f>IF(B16="出让",IF(E17="","",ROUNDDOWN(MIN((E17-$D$3)/365,E18),2)),E18)</f>
        <v>40</v>
      </c>
      <c r="F19" s="1608">
        <f>IF(B16="出让",IF(F17="","",ROUNDDOWN(MIN((F17-$D$3)/365,F18),2)),F18)</f>
        <v>50</v>
      </c>
      <c r="G19" s="1608" t="str">
        <f>IF(B16="出让",IF(G17="","",ROUNDDOWN(MIN((G17-$D$3)/365,G18),2)),G18)</f>
        <v/>
      </c>
      <c r="H19" s="1608" t="str">
        <f>IF(B16="出让",IF(H17="","",ROUNDDOWN(MIN((H17-$D$3)/365,H18),2)),H18)</f>
        <v/>
      </c>
      <c r="I19" s="1608" t="str">
        <f>IF(B16="出让",IF(I17="","",ROUNDDOWN(MIN((I17-$D$3)/365,I18),2)),I18)</f>
        <v/>
      </c>
      <c r="J19" s="3072"/>
      <c r="K19" s="3055"/>
      <c r="L19" s="3051"/>
      <c r="M19" s="3051"/>
      <c r="N19" s="3052"/>
      <c r="O19" s="3053"/>
      <c r="P19" s="3052"/>
      <c r="Q19" s="3052"/>
      <c r="R19" s="3052"/>
      <c r="S19" s="3052"/>
      <c r="T19" s="3052"/>
      <c r="U19" s="3052"/>
    </row>
    <row r="20" spans="1:21">
      <c r="A20" s="1699"/>
      <c r="B20" s="1700"/>
      <c r="C20" s="1701" t="s">
        <v>2044</v>
      </c>
      <c r="D20" s="3433"/>
      <c r="E20" s="3434"/>
      <c r="F20" s="3434"/>
      <c r="G20" s="3434"/>
      <c r="H20" s="3434"/>
      <c r="I20" s="3435"/>
      <c r="J20" s="3072"/>
      <c r="K20" s="3055"/>
      <c r="L20" s="3051"/>
      <c r="M20" s="3051"/>
      <c r="N20" s="3052"/>
      <c r="O20" s="3053"/>
      <c r="P20" s="3052"/>
      <c r="Q20" s="3052"/>
      <c r="R20" s="3052"/>
      <c r="S20" s="3052"/>
      <c r="T20" s="3052"/>
      <c r="U20" s="3052"/>
    </row>
    <row r="21" spans="1:21">
      <c r="A21" s="1679" t="s">
        <v>1942</v>
      </c>
      <c r="B21" s="1680" t="s">
        <v>1943</v>
      </c>
      <c r="C21" s="1675">
        <f>'数据-汇总表'!E3</f>
        <v>142378.302</v>
      </c>
      <c r="D21" s="1676" t="s">
        <v>1944</v>
      </c>
      <c r="E21" s="3423" t="s">
        <v>1982</v>
      </c>
      <c r="F21" s="3424"/>
      <c r="G21" s="3424"/>
      <c r="H21" s="3424"/>
      <c r="I21" s="3425"/>
      <c r="J21" s="3072"/>
      <c r="K21" s="3055"/>
      <c r="L21" s="3051"/>
      <c r="M21" s="3051"/>
      <c r="N21" s="3052"/>
      <c r="O21" s="3053"/>
      <c r="P21" s="3052"/>
      <c r="Q21" s="3052"/>
      <c r="R21" s="3052"/>
      <c r="S21" s="3052"/>
      <c r="T21" s="3052"/>
      <c r="U21" s="3052"/>
    </row>
    <row r="22" spans="1:21">
      <c r="A22" s="2800" t="s">
        <v>941</v>
      </c>
      <c r="B22" s="1587" t="s">
        <v>1945</v>
      </c>
      <c r="C22" s="1609">
        <f>'数据-汇总表'!D3</f>
        <v>32358.705000000002</v>
      </c>
      <c r="D22" s="1610" t="s">
        <v>1944</v>
      </c>
      <c r="E22" s="3423" t="s">
        <v>2864</v>
      </c>
      <c r="F22" s="3424"/>
      <c r="G22" s="3424"/>
      <c r="H22" s="3424"/>
      <c r="I22" s="3425"/>
      <c r="J22" s="3072"/>
      <c r="K22" s="3055"/>
      <c r="L22" s="3051"/>
      <c r="M22" s="3051"/>
      <c r="N22" s="3052"/>
      <c r="O22" s="3053"/>
      <c r="P22" s="3052"/>
      <c r="Q22" s="3052"/>
      <c r="R22" s="3052"/>
      <c r="S22" s="3052"/>
      <c r="T22" s="3052"/>
      <c r="U22" s="3052"/>
    </row>
    <row r="23" spans="1:21" ht="43.5" thickBot="1">
      <c r="A23" s="1681" t="s">
        <v>1946</v>
      </c>
      <c r="B23" s="1621" t="s">
        <v>1947</v>
      </c>
      <c r="C23" s="1622"/>
      <c r="D23" s="1623" t="s">
        <v>1948</v>
      </c>
      <c r="E23" s="1624"/>
      <c r="F23" s="1625" t="str">
        <f>IF(AND(C23="是",E23="否"),"是否提供他项权证或相关说明","")</f>
        <v/>
      </c>
      <c r="G23" s="1626"/>
      <c r="H23" s="3072"/>
      <c r="I23" s="3076"/>
      <c r="J23" s="3072"/>
      <c r="K23" s="3055"/>
      <c r="L23" s="3051"/>
      <c r="M23" s="3051"/>
      <c r="N23" s="3052"/>
      <c r="O23" s="3053"/>
      <c r="P23" s="3052"/>
      <c r="Q23" s="3052"/>
      <c r="R23" s="3052"/>
      <c r="S23" s="3052"/>
      <c r="T23" s="3052"/>
      <c r="U23" s="3052"/>
    </row>
    <row r="24" spans="1:21">
      <c r="A24" s="1666" t="s">
        <v>1949</v>
      </c>
      <c r="B24" s="3426" t="s">
        <v>1950</v>
      </c>
      <c r="C24" s="3427"/>
      <c r="D24" s="3428" t="s">
        <v>1951</v>
      </c>
      <c r="E24" s="3429"/>
      <c r="F24" s="1628" t="s">
        <v>1952</v>
      </c>
      <c r="G24" s="3072"/>
      <c r="H24" s="3072"/>
      <c r="I24" s="3076"/>
      <c r="J24" s="3072"/>
      <c r="K24" s="3414" t="s">
        <v>1953</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2"/>
      <c r="O24" s="3053"/>
      <c r="P24" s="3052"/>
      <c r="Q24" s="3052"/>
      <c r="R24" s="3052"/>
      <c r="S24" s="3052"/>
      <c r="T24" s="3052"/>
      <c r="U24" s="3052"/>
    </row>
    <row r="25" spans="1:21" ht="28.5">
      <c r="A25" s="1667"/>
      <c r="B25" s="1664" t="s">
        <v>2308</v>
      </c>
      <c r="C25" s="1629" t="s">
        <v>1954</v>
      </c>
      <c r="D25" s="1630"/>
      <c r="E25" s="1631" t="s">
        <v>941</v>
      </c>
      <c r="F25" s="1632"/>
      <c r="G25" s="3072"/>
      <c r="H25" s="3072"/>
      <c r="I25" s="3076"/>
      <c r="J25" s="3072"/>
      <c r="K25" s="3414"/>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2"/>
      <c r="O25" s="3053"/>
      <c r="P25" s="3052"/>
      <c r="Q25" s="3052"/>
      <c r="R25" s="3052"/>
      <c r="S25" s="3052"/>
      <c r="T25" s="3052"/>
      <c r="U25" s="3052"/>
    </row>
    <row r="26" spans="1:21" ht="29.25" thickBot="1">
      <c r="A26" s="1668"/>
      <c r="B26" s="1665" t="s">
        <v>1955</v>
      </c>
      <c r="C26" s="1629" t="s">
        <v>2309</v>
      </c>
      <c r="D26" s="3073"/>
      <c r="E26" s="3073"/>
      <c r="F26" s="3079"/>
      <c r="G26" s="3072"/>
      <c r="H26" s="3072"/>
      <c r="I26" s="3076"/>
      <c r="J26" s="3072"/>
      <c r="K26" s="3414"/>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2"/>
      <c r="O26" s="3053"/>
      <c r="P26" s="3052"/>
      <c r="Q26" s="3052"/>
      <c r="R26" s="3052"/>
      <c r="S26" s="3052"/>
      <c r="T26" s="3052"/>
      <c r="U26" s="3052"/>
    </row>
    <row r="27" spans="1:21">
      <c r="A27" s="1671" t="s">
        <v>1956</v>
      </c>
      <c r="B27" s="1669" t="s">
        <v>1957</v>
      </c>
      <c r="C27" s="1633"/>
      <c r="D27" s="2492" t="s">
        <v>1957</v>
      </c>
      <c r="E27" s="1634"/>
      <c r="F27" s="3079"/>
      <c r="G27" s="3072"/>
      <c r="H27" s="3072"/>
      <c r="I27" s="3076"/>
      <c r="J27" s="3072"/>
      <c r="K27" s="3055"/>
      <c r="L27" s="3051"/>
      <c r="M27" s="3051"/>
      <c r="N27" s="3052"/>
      <c r="O27" s="3053"/>
      <c r="P27" s="3052"/>
      <c r="Q27" s="3052"/>
      <c r="R27" s="3052"/>
      <c r="S27" s="3052"/>
      <c r="T27" s="3052"/>
      <c r="U27" s="3052"/>
    </row>
    <row r="28" spans="1:21">
      <c r="A28" s="1672"/>
      <c r="B28" s="1669" t="s">
        <v>1958</v>
      </c>
      <c r="C28" s="1635"/>
      <c r="D28" s="2493" t="s">
        <v>1958</v>
      </c>
      <c r="E28" s="1636"/>
      <c r="F28" s="3079"/>
      <c r="G28" s="3072"/>
      <c r="H28" s="3072"/>
      <c r="I28" s="3076"/>
      <c r="J28" s="3072"/>
      <c r="K28" s="3055"/>
      <c r="L28" s="3051"/>
      <c r="M28" s="3051"/>
      <c r="N28" s="3052"/>
      <c r="O28" s="3053"/>
      <c r="P28" s="3052"/>
      <c r="Q28" s="3052"/>
      <c r="R28" s="3052"/>
      <c r="S28" s="3052"/>
      <c r="T28" s="3052"/>
      <c r="U28" s="3052"/>
    </row>
    <row r="29" spans="1:21">
      <c r="A29" s="1672"/>
      <c r="B29" s="1669" t="s">
        <v>1959</v>
      </c>
      <c r="C29" s="1635"/>
      <c r="D29" s="2493" t="s">
        <v>1959</v>
      </c>
      <c r="E29" s="1636"/>
      <c r="F29" s="3079"/>
      <c r="G29" s="3072"/>
      <c r="H29" s="3072"/>
      <c r="I29" s="3076"/>
      <c r="J29" s="3072"/>
      <c r="K29" s="3055"/>
      <c r="L29" s="3051"/>
      <c r="M29" s="3051"/>
      <c r="N29" s="3052"/>
      <c r="O29" s="3053"/>
      <c r="P29" s="3052"/>
      <c r="Q29" s="3052"/>
      <c r="R29" s="3052"/>
      <c r="S29" s="3052"/>
      <c r="T29" s="3052"/>
      <c r="U29" s="3052"/>
    </row>
    <row r="30" spans="1:21" ht="15" thickBot="1">
      <c r="A30" s="1673"/>
      <c r="B30" s="1670" t="s">
        <v>1960</v>
      </c>
      <c r="C30" s="1637"/>
      <c r="D30" s="2494" t="s">
        <v>1960</v>
      </c>
      <c r="E30" s="1638"/>
      <c r="F30" s="3080"/>
      <c r="G30" s="3077"/>
      <c r="H30" s="3077"/>
      <c r="I30" s="3078"/>
      <c r="J30" s="3072"/>
      <c r="K30" s="3055"/>
      <c r="L30" s="3051"/>
      <c r="M30" s="3051"/>
      <c r="N30" s="3052"/>
      <c r="O30" s="3053"/>
      <c r="P30" s="3052"/>
      <c r="Q30" s="3052"/>
      <c r="R30" s="3052"/>
      <c r="S30" s="3052"/>
      <c r="T30" s="3052"/>
      <c r="U30" s="3052"/>
    </row>
    <row r="31" spans="1:21" ht="15" thickTop="1">
      <c r="A31" s="3441" t="s">
        <v>1985</v>
      </c>
      <c r="B31" s="1680" t="s">
        <v>1986</v>
      </c>
      <c r="C31" s="3439"/>
      <c r="D31" s="3440"/>
      <c r="E31" s="3072"/>
      <c r="F31" s="3072"/>
      <c r="G31" s="3072"/>
      <c r="H31" s="3072"/>
      <c r="I31" s="3076"/>
      <c r="J31" s="3072"/>
      <c r="K31" s="3058"/>
      <c r="L31" s="3052"/>
      <c r="M31" s="3052"/>
      <c r="N31" s="3052"/>
      <c r="O31" s="3052"/>
      <c r="P31" s="3052"/>
      <c r="Q31" s="3052"/>
      <c r="R31" s="3052"/>
      <c r="S31" s="3052"/>
      <c r="T31" s="3052"/>
      <c r="U31" s="3052"/>
    </row>
    <row r="32" spans="1:21">
      <c r="A32" s="3441"/>
      <c r="B32" s="1587" t="s">
        <v>1987</v>
      </c>
      <c r="C32" s="1639"/>
      <c r="D32" s="1640"/>
      <c r="E32" s="3072"/>
      <c r="F32" s="3072"/>
      <c r="G32" s="3072"/>
      <c r="H32" s="3072"/>
      <c r="I32" s="3076"/>
      <c r="J32" s="3072"/>
      <c r="K32" s="3058"/>
      <c r="L32" s="3052"/>
      <c r="M32" s="3052"/>
      <c r="N32" s="3052"/>
      <c r="O32" s="3052"/>
      <c r="P32" s="3052"/>
      <c r="Q32" s="3052"/>
      <c r="R32" s="3052"/>
      <c r="S32" s="3052"/>
      <c r="T32" s="3052"/>
      <c r="U32" s="3052"/>
    </row>
    <row r="33" spans="1:28">
      <c r="A33" s="3441"/>
      <c r="B33" s="1587" t="s">
        <v>1988</v>
      </c>
      <c r="C33" s="1641"/>
      <c r="D33" s="1751"/>
      <c r="E33" s="3072"/>
      <c r="F33" s="3072"/>
      <c r="G33" s="3072"/>
      <c r="H33" s="3072"/>
      <c r="I33" s="3076"/>
      <c r="J33" s="3072"/>
      <c r="K33" s="3058"/>
      <c r="L33" s="3052"/>
      <c r="M33" s="3052"/>
      <c r="N33" s="3052"/>
      <c r="O33" s="3052"/>
      <c r="P33" s="3052"/>
      <c r="Q33" s="3052"/>
      <c r="R33" s="3052"/>
      <c r="S33" s="3052"/>
      <c r="T33" s="3052"/>
      <c r="U33" s="3052"/>
    </row>
    <row r="34" spans="1:28">
      <c r="A34" s="3442"/>
      <c r="B34" s="1587" t="s">
        <v>1989</v>
      </c>
      <c r="C34" s="3443"/>
      <c r="D34" s="3444"/>
      <c r="E34" s="3072"/>
      <c r="F34" s="3072"/>
      <c r="G34" s="3072"/>
      <c r="H34" s="3072"/>
      <c r="I34" s="3076"/>
      <c r="J34" s="3072"/>
      <c r="K34" s="3058"/>
      <c r="L34" s="3052"/>
      <c r="M34" s="3052"/>
      <c r="N34" s="3052"/>
      <c r="O34" s="3052"/>
      <c r="P34" s="3052"/>
      <c r="Q34" s="3052"/>
      <c r="R34" s="3052"/>
      <c r="S34" s="3052"/>
      <c r="T34" s="3052"/>
      <c r="U34" s="3052"/>
    </row>
    <row r="35" spans="1:28">
      <c r="A35" s="3445" t="s">
        <v>837</v>
      </c>
      <c r="B35" s="1642"/>
      <c r="C35" s="1689" t="str">
        <f>IF(B35="场地平整","——","具体情况：")</f>
        <v>具体情况：</v>
      </c>
      <c r="D35" s="3447"/>
      <c r="E35" s="3448"/>
      <c r="F35" s="3448"/>
      <c r="G35" s="3448"/>
      <c r="H35" s="3448"/>
      <c r="I35" s="3449"/>
      <c r="J35" s="3072"/>
      <c r="K35" s="3059"/>
      <c r="L35" s="3051"/>
      <c r="M35" s="3051"/>
      <c r="N35" s="3052"/>
      <c r="O35" s="3053"/>
      <c r="P35" s="3052"/>
      <c r="Q35" s="3052"/>
      <c r="R35" s="3052"/>
      <c r="S35" s="3052"/>
      <c r="T35" s="3052"/>
      <c r="U35" s="3052"/>
    </row>
    <row r="36" spans="1:28">
      <c r="A36" s="3441"/>
      <c r="B36" s="3450" t="s">
        <v>2038</v>
      </c>
      <c r="C36" s="3451"/>
      <c r="D36" s="1705"/>
      <c r="E36" s="3452"/>
      <c r="F36" s="3452"/>
      <c r="G36" s="1610" t="str">
        <f>IF(B35="场地未平整","估价结果处理","")</f>
        <v/>
      </c>
      <c r="H36" s="3453"/>
      <c r="I36" s="3453"/>
      <c r="J36" s="3072"/>
      <c r="K36" s="3059"/>
      <c r="L36" s="3051"/>
      <c r="M36" s="3051"/>
      <c r="N36" s="3052"/>
      <c r="O36" s="3053"/>
      <c r="P36" s="3052"/>
      <c r="Q36" s="3052"/>
      <c r="R36" s="3052"/>
      <c r="S36" s="3052"/>
      <c r="T36" s="3052"/>
      <c r="U36" s="3052"/>
    </row>
    <row r="37" spans="1:28" ht="28.5">
      <c r="A37" s="3441"/>
      <c r="B37" s="3430" t="s">
        <v>838</v>
      </c>
      <c r="C37" s="1644" t="s">
        <v>839</v>
      </c>
      <c r="D37" s="1645"/>
      <c r="E37" s="1646"/>
      <c r="F37" s="3072"/>
      <c r="G37" s="3072"/>
      <c r="H37" s="3072"/>
      <c r="I37" s="3076"/>
      <c r="J37" s="3072"/>
      <c r="K37" s="3059"/>
      <c r="L37" s="3052"/>
      <c r="M37" s="3052"/>
      <c r="N37" s="3052"/>
      <c r="O37" s="3052"/>
      <c r="P37" s="3052"/>
      <c r="Q37" s="3052"/>
      <c r="R37" s="3052"/>
      <c r="S37" s="3052"/>
      <c r="T37" s="3052"/>
      <c r="U37" s="3052"/>
    </row>
    <row r="38" spans="1:28">
      <c r="A38" s="3441"/>
      <c r="B38" s="3431"/>
      <c r="C38" s="1595" t="s">
        <v>840</v>
      </c>
      <c r="D38" s="1704">
        <f>ROUNDDOWN(MIN(('数据-取费表'!$B$2-D37)/365,D34),1)</f>
        <v>121.8</v>
      </c>
      <c r="E38" s="1647" t="s">
        <v>841</v>
      </c>
      <c r="F38" s="3072"/>
      <c r="G38" s="3072"/>
      <c r="H38" s="3072"/>
      <c r="I38" s="3076"/>
      <c r="J38" s="3072"/>
      <c r="K38" s="3059"/>
      <c r="L38" s="3052"/>
      <c r="M38" s="3052"/>
      <c r="N38" s="3052"/>
      <c r="O38" s="3052"/>
      <c r="P38" s="3052"/>
      <c r="Q38" s="3052"/>
      <c r="R38" s="3052"/>
      <c r="S38" s="3052"/>
      <c r="T38" s="3052"/>
      <c r="U38" s="3052"/>
    </row>
    <row r="39" spans="1:28">
      <c r="A39" s="3442"/>
      <c r="B39" s="3432"/>
      <c r="C39" s="1617" t="str">
        <f>IF(D38&lt;1,"不存在土地闲置",IF(B35="宗地内已开工建设","已开工，不存在土地闲置","估价对象已涉嫌土地闲置"))</f>
        <v>估价对象已涉嫌土地闲置</v>
      </c>
      <c r="D39" s="1648"/>
      <c r="E39" s="1649"/>
      <c r="F39" s="3072"/>
      <c r="G39" s="3072"/>
      <c r="H39" s="3072"/>
      <c r="I39" s="3076"/>
      <c r="J39" s="3072"/>
      <c r="K39" s="3055"/>
      <c r="L39" s="3051"/>
      <c r="M39" s="3051"/>
      <c r="N39" s="3052"/>
      <c r="O39" s="3053"/>
      <c r="P39" s="3052"/>
      <c r="Q39" s="3052"/>
      <c r="R39" s="3052"/>
      <c r="S39" s="3052"/>
      <c r="T39" s="3052"/>
      <c r="U39" s="3052"/>
    </row>
    <row r="40" spans="1:28">
      <c r="A40" s="1610" t="s">
        <v>1961</v>
      </c>
      <c r="B40" s="1611"/>
      <c r="C40" s="1611"/>
      <c r="D40" s="1611"/>
      <c r="E40" s="1611"/>
      <c r="F40" s="1611"/>
      <c r="G40" s="1611"/>
      <c r="H40" s="1611"/>
      <c r="I40" s="3076"/>
      <c r="J40" s="3072"/>
      <c r="K40" s="3020">
        <f>COUNTIF(B40:H40,"——")</f>
        <v>0</v>
      </c>
      <c r="L40" s="1619" t="s">
        <v>1962</v>
      </c>
      <c r="M40" s="1616" t="s">
        <v>1963</v>
      </c>
      <c r="N40" s="1616" t="s">
        <v>1964</v>
      </c>
      <c r="O40" s="1616" t="s">
        <v>1965</v>
      </c>
      <c r="P40" s="1616" t="s">
        <v>1966</v>
      </c>
      <c r="Q40" s="1616" t="s">
        <v>1967</v>
      </c>
      <c r="R40" s="1616" t="s">
        <v>1968</v>
      </c>
      <c r="S40" s="3413" t="s">
        <v>1969</v>
      </c>
      <c r="T40" s="1651" t="str">
        <f>NUMBERSTRING(7-K40,1)&amp;"通"</f>
        <v>七通</v>
      </c>
      <c r="U40" s="3052"/>
    </row>
    <row r="41" spans="1:28">
      <c r="A41" s="1589"/>
      <c r="B41" s="3446" t="s">
        <v>1707</v>
      </c>
      <c r="C41" s="3446"/>
      <c r="D41" s="3446"/>
      <c r="E41" s="3446"/>
      <c r="F41" s="1652">
        <f>C10</f>
        <v>0</v>
      </c>
      <c r="G41" s="3072"/>
      <c r="H41" s="3072"/>
      <c r="I41" s="3076"/>
      <c r="J41" s="3072"/>
      <c r="K41" s="1619"/>
      <c r="L41" s="1616">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413"/>
      <c r="T41" s="1653" t="str">
        <f>IF(T40="一通",L41,IF(T40="二通",M41,IF(T40="三通",N41,IF(T40="四通",O41,IF(T40="五通",P41,IF(T40="六通",Q41,R41))))))</f>
        <v>、、、、、、</v>
      </c>
      <c r="U41" s="3052"/>
    </row>
    <row r="42" spans="1:28">
      <c r="A42" s="1655"/>
      <c r="B42" s="1682" t="s">
        <v>1883</v>
      </c>
      <c r="C42" s="1682" t="s">
        <v>1884</v>
      </c>
      <c r="D42" s="1682" t="s">
        <v>1885</v>
      </c>
      <c r="E42" s="1619" t="s">
        <v>1886</v>
      </c>
      <c r="F42" s="1656"/>
      <c r="G42" s="3072"/>
      <c r="H42" s="3072"/>
      <c r="I42" s="3076"/>
      <c r="J42" s="3072"/>
      <c r="K42" s="3055"/>
      <c r="L42" s="3051"/>
      <c r="M42" s="3051"/>
      <c r="N42" s="3052"/>
      <c r="O42" s="3053"/>
      <c r="P42" s="3052"/>
      <c r="Q42" s="3052"/>
      <c r="R42" s="3052"/>
      <c r="S42" s="3052"/>
      <c r="T42" s="3052"/>
      <c r="U42" s="3052"/>
    </row>
    <row r="43" spans="1:28">
      <c r="A43" s="3023" t="s">
        <v>1692</v>
      </c>
      <c r="B43" s="1657" t="s">
        <v>1402</v>
      </c>
      <c r="C43" s="1657" t="s">
        <v>1402</v>
      </c>
      <c r="D43" s="1657"/>
      <c r="E43" s="1657"/>
      <c r="F43" s="1658"/>
      <c r="G43" s="3072"/>
      <c r="H43" s="3072"/>
      <c r="I43" s="3076"/>
      <c r="J43" s="3072"/>
      <c r="K43" s="3055"/>
      <c r="L43" s="3051"/>
      <c r="M43" s="3051"/>
      <c r="N43" s="3052"/>
      <c r="O43" s="3053"/>
      <c r="P43" s="3052"/>
      <c r="Q43" s="3052"/>
      <c r="R43" s="3052"/>
      <c r="S43" s="3052"/>
      <c r="T43" s="3052"/>
      <c r="U43" s="3052"/>
    </row>
    <row r="44" spans="1:28">
      <c r="A44" s="3023" t="s">
        <v>1693</v>
      </c>
      <c r="B44" s="1657" t="s">
        <v>3004</v>
      </c>
      <c r="C44" s="1657" t="s">
        <v>3004</v>
      </c>
      <c r="D44" s="1657"/>
      <c r="E44" s="1705"/>
      <c r="F44" s="1658"/>
      <c r="G44" s="3072"/>
      <c r="H44" s="3072"/>
      <c r="I44" s="3076"/>
      <c r="J44" s="3072"/>
      <c r="K44" s="3055"/>
      <c r="L44" s="3051"/>
      <c r="M44" s="3051"/>
      <c r="N44" s="3052"/>
      <c r="O44" s="3053"/>
      <c r="P44" s="3052"/>
      <c r="Q44" s="3052"/>
      <c r="R44" s="3052"/>
      <c r="S44" s="3052"/>
      <c r="T44" s="3052"/>
      <c r="U44" s="3052"/>
    </row>
    <row r="45" spans="1:28" s="2771" customFormat="1" ht="21" thickBot="1">
      <c r="A45" s="2772" t="s">
        <v>2865</v>
      </c>
      <c r="B45" s="2770"/>
      <c r="C45" s="2770"/>
      <c r="D45" s="2770"/>
      <c r="E45" s="2770"/>
      <c r="F45" s="2770"/>
      <c r="G45" s="3062"/>
      <c r="H45" s="3062"/>
      <c r="I45" s="3063"/>
      <c r="J45" s="3075"/>
      <c r="K45" s="3060"/>
      <c r="L45" s="3061"/>
      <c r="M45" s="3061"/>
      <c r="N45" s="3062"/>
      <c r="O45" s="3063"/>
      <c r="P45" s="3062"/>
      <c r="Q45" s="3062"/>
      <c r="R45" s="3062"/>
      <c r="S45" s="3062"/>
      <c r="T45" s="3062"/>
      <c r="U45" s="3062"/>
      <c r="V45" s="3064"/>
      <c r="W45" s="3064"/>
      <c r="X45" s="3064"/>
      <c r="Y45" s="3064"/>
      <c r="Z45" s="3064"/>
      <c r="AA45" s="3064"/>
      <c r="AB45" s="3064"/>
    </row>
    <row r="46" spans="1:28">
      <c r="A46" s="1614"/>
      <c r="B46" s="1614"/>
      <c r="C46" s="1614"/>
      <c r="D46" s="1614"/>
      <c r="E46" s="1614"/>
      <c r="F46" s="1614"/>
      <c r="G46" s="1614"/>
      <c r="H46" s="1614"/>
      <c r="I46" s="1627"/>
      <c r="J46" s="1614"/>
      <c r="K46" s="3055"/>
      <c r="L46" s="3051"/>
      <c r="M46" s="3051"/>
      <c r="N46" s="3052"/>
      <c r="O46" s="3053"/>
      <c r="P46" s="3052"/>
      <c r="Q46" s="3052"/>
      <c r="R46" s="3052"/>
      <c r="S46" s="3052"/>
      <c r="T46" s="3052"/>
      <c r="U46" s="3052"/>
    </row>
    <row r="47" spans="1:28">
      <c r="A47" s="1659" t="s">
        <v>1990</v>
      </c>
      <c r="B47" s="1660"/>
      <c r="C47" s="1649"/>
      <c r="D47" s="1614"/>
      <c r="E47" s="1614"/>
      <c r="F47" s="1614"/>
      <c r="G47" s="1614"/>
      <c r="H47" s="1614"/>
      <c r="I47" s="1615"/>
      <c r="J47" s="1614"/>
      <c r="K47" s="3055"/>
      <c r="L47" s="3051"/>
      <c r="M47" s="3051"/>
      <c r="N47" s="3052"/>
      <c r="O47" s="3053"/>
      <c r="P47" s="3052"/>
      <c r="Q47" s="3052"/>
      <c r="R47" s="3052"/>
      <c r="S47" s="3052"/>
      <c r="T47" s="3052"/>
      <c r="U47" s="3052"/>
    </row>
    <row r="48" spans="1:28" ht="28.5">
      <c r="A48" s="1619" t="s">
        <v>1991</v>
      </c>
      <c r="B48" s="1609" t="s">
        <v>1992</v>
      </c>
      <c r="C48" s="1609" t="s">
        <v>1993</v>
      </c>
      <c r="D48" s="1609" t="s">
        <v>1994</v>
      </c>
      <c r="E48" s="1609" t="s">
        <v>1995</v>
      </c>
      <c r="F48" s="1609" t="s">
        <v>1996</v>
      </c>
      <c r="G48" s="1609" t="s">
        <v>1997</v>
      </c>
      <c r="H48" s="1609" t="s">
        <v>1998</v>
      </c>
      <c r="I48" s="1609" t="s">
        <v>1999</v>
      </c>
      <c r="J48" s="1688" t="s">
        <v>2000</v>
      </c>
      <c r="K48" s="3065" t="s">
        <v>2001</v>
      </c>
      <c r="L48" s="3065" t="s">
        <v>2002</v>
      </c>
      <c r="M48" s="3065" t="s">
        <v>2003</v>
      </c>
      <c r="N48" s="3066" t="s">
        <v>2004</v>
      </c>
      <c r="O48" s="3066" t="s">
        <v>2005</v>
      </c>
      <c r="P48" s="3066" t="s">
        <v>2006</v>
      </c>
      <c r="Q48" s="3057" t="s">
        <v>2007</v>
      </c>
      <c r="R48" s="3057" t="s">
        <v>2008</v>
      </c>
      <c r="S48" s="3052"/>
      <c r="T48" s="3052"/>
      <c r="U48" s="3052"/>
    </row>
    <row r="49" spans="1:21">
      <c r="A49" s="1616"/>
      <c r="B49" s="1650"/>
      <c r="C49" s="1650"/>
      <c r="D49" s="1650"/>
      <c r="E49" s="1650"/>
      <c r="F49" s="1650"/>
      <c r="G49" s="1650"/>
      <c r="H49" s="1650"/>
      <c r="I49" s="1650"/>
      <c r="J49" s="1752"/>
      <c r="K49" s="3067"/>
      <c r="L49" s="3067"/>
      <c r="M49" s="1656"/>
      <c r="N49" s="1656"/>
      <c r="O49" s="1656"/>
      <c r="P49" s="1656"/>
      <c r="Q49" s="1656"/>
      <c r="R49" s="1656"/>
      <c r="S49" s="3052"/>
      <c r="T49" s="3052"/>
      <c r="U49" s="3052"/>
    </row>
    <row r="50" spans="1:21">
      <c r="A50" s="1616"/>
      <c r="B50" s="1616"/>
      <c r="C50" s="1650"/>
      <c r="D50" s="1650"/>
      <c r="E50" s="1650"/>
      <c r="F50" s="1650"/>
      <c r="G50" s="1650"/>
      <c r="H50" s="1650"/>
      <c r="I50" s="1650"/>
      <c r="J50" s="1752"/>
      <c r="K50" s="3067"/>
      <c r="L50" s="3067"/>
      <c r="M50" s="1656"/>
      <c r="N50" s="1656"/>
      <c r="O50" s="1656"/>
      <c r="P50" s="1656"/>
      <c r="Q50" s="1656"/>
      <c r="R50" s="1656"/>
      <c r="S50" s="3052"/>
      <c r="T50" s="3052"/>
      <c r="U50" s="3052"/>
    </row>
    <row r="51" spans="1:21">
      <c r="A51" s="1616"/>
      <c r="B51" s="1616"/>
      <c r="C51" s="1650"/>
      <c r="D51" s="1650"/>
      <c r="E51" s="1650"/>
      <c r="F51" s="1650"/>
      <c r="G51" s="1650"/>
      <c r="H51" s="1650"/>
      <c r="I51" s="1650"/>
      <c r="J51" s="1752"/>
      <c r="K51" s="3067"/>
      <c r="L51" s="3067"/>
      <c r="M51" s="1656"/>
      <c r="N51" s="1656"/>
      <c r="O51" s="1656"/>
      <c r="P51" s="1656"/>
      <c r="Q51" s="1656"/>
      <c r="R51" s="1656"/>
      <c r="S51" s="3052"/>
      <c r="T51" s="3052"/>
      <c r="U51" s="3052"/>
    </row>
    <row r="52" spans="1:21">
      <c r="A52" s="1616"/>
      <c r="B52" s="1616"/>
      <c r="C52" s="1650"/>
      <c r="D52" s="1650"/>
      <c r="E52" s="1650"/>
      <c r="F52" s="1650"/>
      <c r="G52" s="1650"/>
      <c r="H52" s="1650"/>
      <c r="I52" s="1650"/>
      <c r="J52" s="1752"/>
      <c r="K52" s="3067"/>
      <c r="L52" s="3067"/>
      <c r="M52" s="1656"/>
      <c r="N52" s="1656"/>
      <c r="O52" s="1656"/>
      <c r="P52" s="1656"/>
      <c r="Q52" s="1656"/>
      <c r="R52" s="1656"/>
      <c r="S52" s="3052"/>
      <c r="T52" s="3052"/>
      <c r="U52" s="3052"/>
    </row>
    <row r="53" spans="1:21">
      <c r="A53" s="1616"/>
      <c r="B53" s="1616"/>
      <c r="C53" s="1650"/>
      <c r="D53" s="1650"/>
      <c r="E53" s="1650"/>
      <c r="F53" s="1650"/>
      <c r="G53" s="1650"/>
      <c r="H53" s="1650"/>
      <c r="I53" s="1650"/>
      <c r="J53" s="1752"/>
      <c r="K53" s="3067"/>
      <c r="L53" s="3067"/>
      <c r="M53" s="1656"/>
      <c r="N53" s="1656"/>
      <c r="O53" s="1656"/>
      <c r="P53" s="1656"/>
      <c r="Q53" s="1656"/>
      <c r="R53" s="1656"/>
      <c r="S53" s="3052"/>
      <c r="T53" s="3052"/>
      <c r="U53" s="3052"/>
    </row>
    <row r="54" spans="1:21">
      <c r="A54" s="1616"/>
      <c r="B54" s="1616"/>
      <c r="C54" s="1616"/>
      <c r="D54" s="1616"/>
      <c r="E54" s="1616"/>
      <c r="F54" s="1650"/>
      <c r="G54" s="1616"/>
      <c r="H54" s="1616"/>
      <c r="I54" s="1616"/>
      <c r="J54" s="1753"/>
      <c r="K54" s="3067"/>
      <c r="L54" s="3067"/>
      <c r="M54" s="3067"/>
      <c r="N54" s="3019"/>
      <c r="O54" s="3019"/>
      <c r="P54" s="3019"/>
      <c r="Q54" s="3019"/>
      <c r="R54" s="3019"/>
      <c r="S54" s="3052"/>
      <c r="T54" s="3052"/>
      <c r="U54" s="3052"/>
    </row>
    <row r="55" spans="1:21">
      <c r="A55" s="1616"/>
      <c r="B55" s="1616"/>
      <c r="C55" s="1616"/>
      <c r="D55" s="1616"/>
      <c r="E55" s="1616"/>
      <c r="F55" s="1650"/>
      <c r="G55" s="1616"/>
      <c r="H55" s="1616"/>
      <c r="I55" s="1616"/>
      <c r="J55" s="1753"/>
      <c r="K55" s="3067"/>
      <c r="L55" s="3067"/>
      <c r="M55" s="3067"/>
      <c r="N55" s="3019"/>
      <c r="O55" s="3019"/>
      <c r="P55" s="3019"/>
      <c r="Q55" s="3019"/>
      <c r="R55" s="3019"/>
      <c r="S55" s="3052"/>
      <c r="T55" s="3052"/>
      <c r="U55" s="3052"/>
    </row>
    <row r="56" spans="1:21">
      <c r="A56" s="1616"/>
      <c r="B56" s="1616"/>
      <c r="C56" s="1616"/>
      <c r="D56" s="1616"/>
      <c r="E56" s="1616"/>
      <c r="F56" s="1650"/>
      <c r="G56" s="1616"/>
      <c r="H56" s="1616"/>
      <c r="I56" s="1616"/>
      <c r="J56" s="1753"/>
      <c r="K56" s="3067"/>
      <c r="L56" s="3067"/>
      <c r="M56" s="3067"/>
      <c r="N56" s="3019"/>
      <c r="O56" s="3019"/>
      <c r="P56" s="3019"/>
      <c r="Q56" s="3019"/>
      <c r="R56" s="3019"/>
      <c r="S56" s="3052"/>
      <c r="T56" s="3052"/>
      <c r="U56" s="3052"/>
    </row>
    <row r="57" spans="1:21">
      <c r="A57" s="1616"/>
      <c r="B57" s="1616"/>
      <c r="C57" s="1616"/>
      <c r="D57" s="1616"/>
      <c r="E57" s="1616"/>
      <c r="F57" s="1650"/>
      <c r="G57" s="1616"/>
      <c r="H57" s="1616"/>
      <c r="I57" s="1616"/>
      <c r="J57" s="1753"/>
      <c r="K57" s="3067"/>
      <c r="L57" s="3067"/>
      <c r="M57" s="3067"/>
      <c r="N57" s="3019"/>
      <c r="O57" s="3019"/>
      <c r="P57" s="3019"/>
      <c r="Q57" s="3019"/>
      <c r="R57" s="3019"/>
      <c r="S57" s="3052"/>
      <c r="T57" s="3052"/>
      <c r="U57" s="3052"/>
    </row>
    <row r="58" spans="1:21">
      <c r="A58" s="1616"/>
      <c r="B58" s="1616"/>
      <c r="C58" s="1616"/>
      <c r="D58" s="1616"/>
      <c r="E58" s="1616"/>
      <c r="F58" s="1650"/>
      <c r="G58" s="1616"/>
      <c r="H58" s="1616"/>
      <c r="I58" s="1616"/>
      <c r="J58" s="1753"/>
      <c r="K58" s="3067"/>
      <c r="L58" s="3067"/>
      <c r="M58" s="3067"/>
      <c r="N58" s="3019"/>
      <c r="O58" s="3019"/>
      <c r="P58" s="3019"/>
      <c r="Q58" s="3019"/>
      <c r="R58" s="3019"/>
      <c r="S58" s="3052"/>
      <c r="T58" s="3052"/>
      <c r="U58" s="3052"/>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Y7" sqref="AY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161</v>
      </c>
      <c r="B2" s="17" t="s">
        <v>162</v>
      </c>
      <c r="C2" s="17" t="s">
        <v>163</v>
      </c>
      <c r="D2" s="1175"/>
      <c r="E2" s="991"/>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165</v>
      </c>
      <c r="AZ2" s="2218" t="s">
        <v>2316</v>
      </c>
      <c r="BA2" s="2219" t="s">
        <v>2315</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32358.705000000002</v>
      </c>
      <c r="B3" s="22">
        <f>IF(C3="否",G5-AT5,G5)</f>
        <v>142378.302</v>
      </c>
      <c r="C3" s="23"/>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20"/>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166</v>
      </c>
      <c r="B5" s="977"/>
      <c r="C5" s="977"/>
      <c r="D5" s="984"/>
      <c r="E5" s="27" t="s">
        <v>1</v>
      </c>
      <c r="F5" s="27">
        <f>SUM(F13:F572)</f>
        <v>0</v>
      </c>
      <c r="G5" s="27">
        <f>SUM(G13:G572)</f>
        <v>142378.302</v>
      </c>
      <c r="H5" s="27">
        <f t="shared" ref="H5:AT5" si="0">SUM(H13:H641)</f>
        <v>142378.302</v>
      </c>
      <c r="I5" s="27">
        <f t="shared" si="0"/>
        <v>71189.150999999998</v>
      </c>
      <c r="J5" s="27">
        <f t="shared" si="0"/>
        <v>0</v>
      </c>
      <c r="K5" s="27">
        <f t="shared" si="0"/>
        <v>71189.150999999998</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166</v>
      </c>
      <c r="AW5" s="977"/>
      <c r="AX5" s="977"/>
      <c r="AY5" s="28" t="s">
        <v>3</v>
      </c>
      <c r="AZ5" s="29">
        <f t="shared" ref="AZ5:BT5" si="1">SUM(AZ13:AZ641)</f>
        <v>142378.302</v>
      </c>
      <c r="BA5" s="29">
        <f t="shared" si="1"/>
        <v>142378.302</v>
      </c>
      <c r="BB5" s="29">
        <f t="shared" si="1"/>
        <v>71189.150999999998</v>
      </c>
      <c r="BC5" s="29">
        <f t="shared" si="1"/>
        <v>71189.150999999998</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167</v>
      </c>
      <c r="B6" s="31"/>
      <c r="C6" s="31"/>
      <c r="D6" s="32"/>
      <c r="E6" s="27">
        <f>H6+AC6+AT6</f>
        <v>32358.7</v>
      </c>
      <c r="F6" s="27" t="s">
        <v>1</v>
      </c>
      <c r="G6" s="27" t="s">
        <v>2</v>
      </c>
      <c r="H6" s="33">
        <f>SUMIF(I$12:AB$12,"总值",I6:AB6)</f>
        <v>32358.7</v>
      </c>
      <c r="I6" s="27">
        <f t="shared" ref="I6:AB6" si="2">ROUND($A$3*I5/$B$3,2)</f>
        <v>16179.35</v>
      </c>
      <c r="J6" s="27">
        <f t="shared" si="2"/>
        <v>0</v>
      </c>
      <c r="K6" s="27">
        <f t="shared" si="2"/>
        <v>16179.35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167</v>
      </c>
      <c r="AW6" s="31"/>
      <c r="AX6" s="31"/>
      <c r="AY6" s="35">
        <f>IF(AY3&gt;0,AY3,ROUND($A$3*AZ5/$B$3,3))</f>
        <v>32358.705000000002</v>
      </c>
      <c r="AZ6" s="27" t="s">
        <v>3</v>
      </c>
      <c r="BA6" s="27">
        <f>ROUND($AY$6*BA5/$AZ$5,2)</f>
        <v>32358.71</v>
      </c>
      <c r="BB6" s="27">
        <f>ROUND($AY$6*BB5/$AZ$5,2)</f>
        <v>16179.35</v>
      </c>
      <c r="BC6" s="27">
        <f t="shared" ref="BC6:BH6" si="4">ROUND($AY$6*BC5/$AZ$5,2)</f>
        <v>16179.35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168</v>
      </c>
      <c r="B7" s="38" t="s">
        <v>169</v>
      </c>
      <c r="C7" s="38" t="s">
        <v>170</v>
      </c>
      <c r="D7" s="38" t="s">
        <v>171</v>
      </c>
      <c r="E7" s="38" t="s">
        <v>172</v>
      </c>
      <c r="F7" s="38" t="s">
        <v>173</v>
      </c>
      <c r="G7" s="39" t="s">
        <v>174</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175</v>
      </c>
      <c r="AV7" s="41" t="s">
        <v>176</v>
      </c>
      <c r="AW7" s="42" t="s">
        <v>177</v>
      </c>
      <c r="AX7" s="41" t="s">
        <v>178</v>
      </c>
      <c r="AY7" s="977" t="s">
        <v>179</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180</v>
      </c>
      <c r="H8" s="47" t="s">
        <v>181</v>
      </c>
      <c r="I8" s="48"/>
      <c r="J8" s="989"/>
      <c r="K8" s="989"/>
      <c r="L8" s="989"/>
      <c r="M8" s="989"/>
      <c r="N8" s="989"/>
      <c r="O8" s="989"/>
      <c r="P8" s="989"/>
      <c r="Q8" s="989"/>
      <c r="R8" s="989"/>
      <c r="S8" s="989"/>
      <c r="T8" s="989"/>
      <c r="U8" s="989"/>
      <c r="V8" s="49"/>
      <c r="W8" s="989"/>
      <c r="X8" s="989"/>
      <c r="Y8" s="989"/>
      <c r="Z8" s="989"/>
      <c r="AA8" s="49"/>
      <c r="AB8" s="50"/>
      <c r="AC8" s="51" t="s">
        <v>182</v>
      </c>
      <c r="AD8" s="52"/>
      <c r="AE8" s="43"/>
      <c r="AF8" s="989"/>
      <c r="AG8" s="989"/>
      <c r="AH8" s="989"/>
      <c r="AI8" s="989"/>
      <c r="AJ8" s="989"/>
      <c r="AK8" s="989"/>
      <c r="AL8" s="989"/>
      <c r="AM8" s="989"/>
      <c r="AN8" s="989"/>
      <c r="AO8" s="989"/>
      <c r="AP8" s="989"/>
      <c r="AQ8" s="989"/>
      <c r="AR8" s="989"/>
      <c r="AS8" s="2176"/>
      <c r="AT8" s="2207" t="s">
        <v>845</v>
      </c>
      <c r="AU8" s="45" t="s">
        <v>183</v>
      </c>
      <c r="AV8" s="55"/>
      <c r="AW8" s="991"/>
      <c r="AX8" s="55"/>
      <c r="AY8" s="42" t="s">
        <v>184</v>
      </c>
      <c r="AZ8" s="988" t="s">
        <v>185</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186</v>
      </c>
      <c r="I9" s="2730" t="s">
        <v>2995</v>
      </c>
      <c r="J9" s="51"/>
      <c r="K9" s="2730" t="s">
        <v>2995</v>
      </c>
      <c r="L9" s="51"/>
      <c r="M9" s="2730"/>
      <c r="N9" s="51"/>
      <c r="O9" s="59"/>
      <c r="P9" s="51"/>
      <c r="Q9" s="59"/>
      <c r="R9" s="51"/>
      <c r="S9" s="59"/>
      <c r="T9" s="51"/>
      <c r="U9" s="59"/>
      <c r="V9" s="51"/>
      <c r="W9" s="59"/>
      <c r="X9" s="60"/>
      <c r="Y9" s="59"/>
      <c r="Z9" s="51"/>
      <c r="AA9" s="59"/>
      <c r="AB9" s="51"/>
      <c r="AC9" s="46" t="s">
        <v>186</v>
      </c>
      <c r="AD9" s="26" t="s">
        <v>187</v>
      </c>
      <c r="AE9" s="61"/>
      <c r="AF9" s="26" t="s">
        <v>188</v>
      </c>
      <c r="AG9" s="61"/>
      <c r="AH9" s="26" t="s">
        <v>189</v>
      </c>
      <c r="AI9" s="61"/>
      <c r="AJ9" s="26" t="s">
        <v>190</v>
      </c>
      <c r="AK9" s="61"/>
      <c r="AL9" s="26" t="s">
        <v>189</v>
      </c>
      <c r="AM9" s="61"/>
      <c r="AN9" s="26" t="s">
        <v>190</v>
      </c>
      <c r="AO9" s="61"/>
      <c r="AP9" s="1169" t="s">
        <v>189</v>
      </c>
      <c r="AQ9" s="1171"/>
      <c r="AR9" s="1169" t="s">
        <v>190</v>
      </c>
      <c r="AS9" s="2208"/>
      <c r="AT9" s="45"/>
      <c r="AU9" s="45" t="s">
        <v>192</v>
      </c>
      <c r="AV9" s="55"/>
      <c r="AW9" s="991"/>
      <c r="AX9" s="55"/>
      <c r="AY9" s="62"/>
      <c r="AZ9" s="62" t="s">
        <v>193</v>
      </c>
      <c r="BA9" s="63" t="s">
        <v>194</v>
      </c>
      <c r="BB9" s="64"/>
      <c r="BC9" s="983"/>
      <c r="BD9" s="983"/>
      <c r="BE9" s="983"/>
      <c r="BF9" s="983"/>
      <c r="BG9" s="983"/>
      <c r="BH9" s="983"/>
      <c r="BI9" s="983"/>
      <c r="BJ9" s="983"/>
      <c r="BK9" s="65"/>
      <c r="BL9" s="26" t="s">
        <v>195</v>
      </c>
      <c r="BM9" s="989"/>
      <c r="BN9" s="48"/>
      <c r="BO9" s="989"/>
      <c r="BP9" s="989"/>
      <c r="BQ9" s="989"/>
      <c r="BR9" s="989"/>
      <c r="BS9" s="989"/>
      <c r="BT9" s="56"/>
    </row>
    <row r="10" spans="1:72" s="57" customFormat="1" ht="12.75">
      <c r="A10" s="45"/>
      <c r="B10" s="45"/>
      <c r="C10" s="45"/>
      <c r="D10" s="45"/>
      <c r="E10" s="45"/>
      <c r="F10" s="45"/>
      <c r="G10" s="55"/>
      <c r="H10" s="62"/>
      <c r="I10" s="2730" t="s">
        <v>2996</v>
      </c>
      <c r="J10" s="51"/>
      <c r="K10" s="2732" t="s">
        <v>1665</v>
      </c>
      <c r="L10" s="51"/>
      <c r="M10" s="2732"/>
      <c r="N10" s="51"/>
      <c r="O10" s="66"/>
      <c r="P10" s="51"/>
      <c r="Q10" s="66"/>
      <c r="R10" s="51"/>
      <c r="S10" s="66"/>
      <c r="T10" s="51"/>
      <c r="U10" s="66"/>
      <c r="V10" s="51"/>
      <c r="W10" s="66"/>
      <c r="X10" s="51"/>
      <c r="Y10" s="66"/>
      <c r="Z10" s="51"/>
      <c r="AA10" s="66"/>
      <c r="AB10" s="51"/>
      <c r="AC10" s="55"/>
      <c r="AD10" s="2193" t="s">
        <v>2300</v>
      </c>
      <c r="AE10" s="2215"/>
      <c r="AF10" s="2193" t="s">
        <v>2300</v>
      </c>
      <c r="AG10" s="2215"/>
      <c r="AH10" s="2193" t="s">
        <v>2301</v>
      </c>
      <c r="AI10" s="2215"/>
      <c r="AJ10" s="26" t="s">
        <v>2314</v>
      </c>
      <c r="AK10" s="2212"/>
      <c r="AL10" s="2193" t="s">
        <v>2302</v>
      </c>
      <c r="AM10" s="2194"/>
      <c r="AN10" s="26" t="s">
        <v>196</v>
      </c>
      <c r="AO10" s="61"/>
      <c r="AP10" s="1169" t="s">
        <v>197</v>
      </c>
      <c r="AQ10" s="1171"/>
      <c r="AR10" s="1169" t="s">
        <v>197</v>
      </c>
      <c r="AS10" s="1171"/>
      <c r="AT10" s="45"/>
      <c r="AU10" s="45"/>
      <c r="AV10" s="55"/>
      <c r="AW10" s="991"/>
      <c r="AX10" s="55"/>
      <c r="AY10" s="62"/>
      <c r="AZ10" s="62"/>
      <c r="BA10" s="67" t="s">
        <v>191</v>
      </c>
      <c r="BB10" s="68" t="str">
        <f>I9</f>
        <v>地上</v>
      </c>
      <c r="BC10" s="69" t="str">
        <f>K9</f>
        <v>地上</v>
      </c>
      <c r="BD10" s="69">
        <f>M9</f>
        <v>0</v>
      </c>
      <c r="BE10" s="69">
        <f>O9</f>
        <v>0</v>
      </c>
      <c r="BF10" s="69">
        <f>Q9</f>
        <v>0</v>
      </c>
      <c r="BG10" s="69">
        <f>S9</f>
        <v>0</v>
      </c>
      <c r="BH10" s="69">
        <f>U9</f>
        <v>0</v>
      </c>
      <c r="BI10" s="69">
        <f>W9</f>
        <v>0</v>
      </c>
      <c r="BJ10" s="69">
        <f>Y9</f>
        <v>0</v>
      </c>
      <c r="BK10" s="69">
        <f>AA9</f>
        <v>0</v>
      </c>
      <c r="BL10" s="54" t="s">
        <v>191</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1"/>
      <c r="J11" s="71"/>
      <c r="K11" s="2731"/>
      <c r="L11" s="71"/>
      <c r="M11" s="70"/>
      <c r="N11" s="71"/>
      <c r="O11" s="70"/>
      <c r="P11" s="71"/>
      <c r="Q11" s="70"/>
      <c r="R11" s="71"/>
      <c r="S11" s="70"/>
      <c r="T11" s="71"/>
      <c r="U11" s="70"/>
      <c r="V11" s="71"/>
      <c r="W11" s="70"/>
      <c r="X11" s="71"/>
      <c r="Y11" s="70"/>
      <c r="Z11" s="71"/>
      <c r="AA11" s="70"/>
      <c r="AB11" s="71"/>
      <c r="AC11" s="55"/>
      <c r="AD11" s="2213" t="s">
        <v>2313</v>
      </c>
      <c r="AE11" s="990"/>
      <c r="AF11" s="2213" t="s">
        <v>2313</v>
      </c>
      <c r="AG11" s="990"/>
      <c r="AH11" s="2213" t="s">
        <v>2312</v>
      </c>
      <c r="AI11" s="2214"/>
      <c r="AJ11" s="2213" t="s">
        <v>2312</v>
      </c>
      <c r="AK11" s="2212"/>
      <c r="AL11" s="988"/>
      <c r="AM11" s="990"/>
      <c r="AN11" s="988"/>
      <c r="AO11" s="990"/>
      <c r="AP11" s="1170"/>
      <c r="AQ11" s="1172"/>
      <c r="AR11" s="1170"/>
      <c r="AS11" s="1172"/>
      <c r="AT11" s="991"/>
      <c r="AU11" s="45"/>
      <c r="AV11" s="55"/>
      <c r="AW11" s="991"/>
      <c r="AX11" s="55"/>
      <c r="AY11" s="62"/>
      <c r="AZ11" s="62"/>
      <c r="BA11" s="62"/>
      <c r="BB11" s="50" t="str">
        <f>I10</f>
        <v>商业</v>
      </c>
      <c r="BC11" s="50" t="str">
        <f>K10</f>
        <v>办公</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198</v>
      </c>
      <c r="J12" s="17" t="s">
        <v>199</v>
      </c>
      <c r="K12" s="17" t="s">
        <v>198</v>
      </c>
      <c r="L12" s="17" t="s">
        <v>199</v>
      </c>
      <c r="M12" s="17" t="s">
        <v>198</v>
      </c>
      <c r="N12" s="17" t="s">
        <v>199</v>
      </c>
      <c r="O12" s="17" t="s">
        <v>198</v>
      </c>
      <c r="P12" s="17" t="s">
        <v>199</v>
      </c>
      <c r="Q12" s="17" t="s">
        <v>198</v>
      </c>
      <c r="R12" s="17" t="s">
        <v>199</v>
      </c>
      <c r="S12" s="17" t="s">
        <v>198</v>
      </c>
      <c r="T12" s="17" t="s">
        <v>199</v>
      </c>
      <c r="U12" s="17" t="s">
        <v>198</v>
      </c>
      <c r="V12" s="976" t="s">
        <v>199</v>
      </c>
      <c r="W12" s="17" t="s">
        <v>198</v>
      </c>
      <c r="X12" s="17" t="s">
        <v>199</v>
      </c>
      <c r="Y12" s="17" t="s">
        <v>198</v>
      </c>
      <c r="Z12" s="17" t="s">
        <v>199</v>
      </c>
      <c r="AA12" s="17" t="s">
        <v>198</v>
      </c>
      <c r="AB12" s="17" t="s">
        <v>199</v>
      </c>
      <c r="AC12" s="75"/>
      <c r="AD12" s="984" t="s">
        <v>198</v>
      </c>
      <c r="AE12" s="17" t="s">
        <v>199</v>
      </c>
      <c r="AF12" s="17" t="s">
        <v>198</v>
      </c>
      <c r="AG12" s="17" t="s">
        <v>199</v>
      </c>
      <c r="AH12" s="17" t="s">
        <v>198</v>
      </c>
      <c r="AI12" s="17" t="s">
        <v>199</v>
      </c>
      <c r="AJ12" s="17" t="s">
        <v>198</v>
      </c>
      <c r="AK12" s="17" t="s">
        <v>199</v>
      </c>
      <c r="AL12" s="17" t="s">
        <v>198</v>
      </c>
      <c r="AM12" s="17" t="s">
        <v>199</v>
      </c>
      <c r="AN12" s="17" t="s">
        <v>198</v>
      </c>
      <c r="AO12" s="17" t="s">
        <v>199</v>
      </c>
      <c r="AP12" s="1168" t="s">
        <v>198</v>
      </c>
      <c r="AQ12" s="1168" t="s">
        <v>199</v>
      </c>
      <c r="AR12" s="1174" t="s">
        <v>198</v>
      </c>
      <c r="AS12" s="1173" t="s">
        <v>199</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5"/>
      <c r="B13" s="2725"/>
      <c r="C13" s="2725"/>
      <c r="D13" s="2726" t="s">
        <v>1666</v>
      </c>
      <c r="E13" s="27">
        <f t="shared" ref="E13:E20" si="6">IF($C$3="是",ROUND($A$3*G13/$B$3,2),ROUND($A$3*(G13-AT13)/$B$3,2))</f>
        <v>32358.71</v>
      </c>
      <c r="F13" s="81"/>
      <c r="G13" s="82">
        <f t="shared" ref="G13:G20" si="7">H13+AC13+AT13</f>
        <v>142378.302</v>
      </c>
      <c r="H13" s="33">
        <f t="shared" ref="H13:H20" si="8">SUMIF(I$12:AB$12,"总值",I13:AB13)</f>
        <v>142378.302</v>
      </c>
      <c r="I13" s="2729">
        <v>71189.150999999998</v>
      </c>
      <c r="J13" s="2729"/>
      <c r="K13" s="2729">
        <f>I13</f>
        <v>71189.150999999998</v>
      </c>
      <c r="L13" s="2729"/>
      <c r="M13" s="2729"/>
      <c r="N13" s="83"/>
      <c r="O13" s="83"/>
      <c r="P13" s="83"/>
      <c r="Q13" s="83"/>
      <c r="R13" s="83"/>
      <c r="S13" s="83"/>
      <c r="T13" s="83"/>
      <c r="U13" s="83"/>
      <c r="V13" s="83"/>
      <c r="W13" s="83"/>
      <c r="X13" s="83"/>
      <c r="Y13" s="83"/>
      <c r="Z13" s="83"/>
      <c r="AA13" s="83"/>
      <c r="AB13" s="83"/>
      <c r="AC13" s="27">
        <f t="shared" ref="AC13:AC20" si="9">SUMIF(AD$12:AS$12,"总值",AD13:AS13)</f>
        <v>0</v>
      </c>
      <c r="AD13" s="2733"/>
      <c r="AE13" s="2733"/>
      <c r="AF13" s="2733"/>
      <c r="AG13" s="2733"/>
      <c r="AH13" s="2733"/>
      <c r="AI13" s="2733"/>
      <c r="AJ13" s="2733"/>
      <c r="AK13" s="2733"/>
      <c r="AL13" s="2733"/>
      <c r="AM13" s="2733"/>
      <c r="AN13" s="2733"/>
      <c r="AO13" s="2733"/>
      <c r="AP13" s="2733"/>
      <c r="AQ13" s="2733"/>
      <c r="AR13" s="2733"/>
      <c r="AS13" s="2733"/>
      <c r="AT13" s="2734"/>
      <c r="AU13" s="2735"/>
      <c r="AV13" s="17">
        <f t="shared" ref="AV13:AX20" si="10">A13</f>
        <v>0</v>
      </c>
      <c r="AW13" s="17">
        <f t="shared" si="10"/>
        <v>0</v>
      </c>
      <c r="AX13" s="17">
        <f t="shared" si="10"/>
        <v>0</v>
      </c>
      <c r="AY13" s="984">
        <f t="shared" ref="AY13:AY20" si="11">ROUND($AY$6*AZ13/$AZ$5,2)</f>
        <v>32358.71</v>
      </c>
      <c r="AZ13" s="27">
        <f t="shared" ref="AZ13:AZ20" si="12">BA13+BL13</f>
        <v>142378.302</v>
      </c>
      <c r="BA13" s="27">
        <f t="shared" ref="BA13:BA20" si="13">SUM(BB13:BK13)</f>
        <v>142378.302</v>
      </c>
      <c r="BB13" s="27">
        <f t="shared" ref="BB13:BB20" si="14">IF($D13="是",I13-J13,0)</f>
        <v>71189.150999999998</v>
      </c>
      <c r="BC13" s="27">
        <f t="shared" ref="BC13:BC20" si="15">IF($D13="是",K13-L13,0)</f>
        <v>71189.150999999998</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5"/>
      <c r="B14" s="2725"/>
      <c r="C14" s="2727"/>
      <c r="D14" s="2726"/>
      <c r="E14" s="27">
        <f t="shared" si="6"/>
        <v>0</v>
      </c>
      <c r="F14" s="81"/>
      <c r="G14" s="82">
        <f t="shared" si="7"/>
        <v>0</v>
      </c>
      <c r="H14" s="33">
        <f t="shared" si="8"/>
        <v>0</v>
      </c>
      <c r="I14" s="2729"/>
      <c r="J14" s="2729"/>
      <c r="K14" s="2729"/>
      <c r="L14" s="2729"/>
      <c r="M14" s="2729"/>
      <c r="N14" s="83"/>
      <c r="O14" s="83"/>
      <c r="P14" s="83"/>
      <c r="Q14" s="83"/>
      <c r="R14" s="83"/>
      <c r="S14" s="83"/>
      <c r="T14" s="83"/>
      <c r="U14" s="83"/>
      <c r="V14" s="83"/>
      <c r="W14" s="83"/>
      <c r="X14" s="83"/>
      <c r="Y14" s="83"/>
      <c r="Z14" s="83"/>
      <c r="AA14" s="83"/>
      <c r="AB14" s="83"/>
      <c r="AC14" s="27">
        <f t="shared" si="9"/>
        <v>0</v>
      </c>
      <c r="AD14" s="2733"/>
      <c r="AE14" s="2733"/>
      <c r="AF14" s="2733"/>
      <c r="AG14" s="2733"/>
      <c r="AH14" s="2733"/>
      <c r="AI14" s="2733"/>
      <c r="AJ14" s="2733"/>
      <c r="AK14" s="2733"/>
      <c r="AL14" s="2733"/>
      <c r="AM14" s="2733"/>
      <c r="AN14" s="2733"/>
      <c r="AO14" s="2733"/>
      <c r="AP14" s="2733"/>
      <c r="AQ14" s="2733"/>
      <c r="AR14" s="2733"/>
      <c r="AS14" s="2733"/>
      <c r="AT14" s="2734"/>
      <c r="AU14" s="2735"/>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5"/>
      <c r="B15" s="2725"/>
      <c r="C15" s="2727"/>
      <c r="D15" s="2726"/>
      <c r="E15" s="27">
        <f t="shared" si="6"/>
        <v>0</v>
      </c>
      <c r="F15" s="81"/>
      <c r="G15" s="82">
        <f t="shared" si="7"/>
        <v>0</v>
      </c>
      <c r="H15" s="33">
        <f t="shared" si="8"/>
        <v>0</v>
      </c>
      <c r="I15" s="2729"/>
      <c r="J15" s="2729"/>
      <c r="K15" s="2729"/>
      <c r="L15" s="2729"/>
      <c r="M15" s="2729"/>
      <c r="N15" s="83"/>
      <c r="O15" s="83"/>
      <c r="P15" s="83"/>
      <c r="Q15" s="83"/>
      <c r="R15" s="83"/>
      <c r="S15" s="83"/>
      <c r="T15" s="83"/>
      <c r="U15" s="83"/>
      <c r="V15" s="83"/>
      <c r="W15" s="83"/>
      <c r="X15" s="83"/>
      <c r="Y15" s="83"/>
      <c r="Z15" s="83"/>
      <c r="AA15" s="83"/>
      <c r="AB15" s="83"/>
      <c r="AC15" s="27">
        <f t="shared" si="9"/>
        <v>0</v>
      </c>
      <c r="AD15" s="2733"/>
      <c r="AE15" s="2733"/>
      <c r="AF15" s="2733"/>
      <c r="AG15" s="2733"/>
      <c r="AH15" s="2733"/>
      <c r="AI15" s="2733"/>
      <c r="AJ15" s="2733"/>
      <c r="AK15" s="2733"/>
      <c r="AL15" s="2733"/>
      <c r="AM15" s="2733"/>
      <c r="AN15" s="2733"/>
      <c r="AO15" s="2733"/>
      <c r="AP15" s="2733"/>
      <c r="AQ15" s="2733"/>
      <c r="AR15" s="2733"/>
      <c r="AS15" s="2733"/>
      <c r="AT15" s="2734"/>
      <c r="AU15" s="2735"/>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5"/>
      <c r="B16" s="2725"/>
      <c r="C16" s="2727"/>
      <c r="D16" s="2726"/>
      <c r="E16" s="27">
        <f t="shared" si="6"/>
        <v>0</v>
      </c>
      <c r="F16" s="81"/>
      <c r="G16" s="82">
        <f t="shared" si="7"/>
        <v>0</v>
      </c>
      <c r="H16" s="33">
        <f t="shared" si="8"/>
        <v>0</v>
      </c>
      <c r="I16" s="2729"/>
      <c r="J16" s="2729"/>
      <c r="K16" s="2729"/>
      <c r="L16" s="2729"/>
      <c r="M16" s="2729"/>
      <c r="N16" s="83"/>
      <c r="O16" s="83"/>
      <c r="P16" s="83"/>
      <c r="Q16" s="83"/>
      <c r="R16" s="83"/>
      <c r="S16" s="83"/>
      <c r="T16" s="83"/>
      <c r="U16" s="83"/>
      <c r="V16" s="83"/>
      <c r="W16" s="83"/>
      <c r="X16" s="83"/>
      <c r="Y16" s="83"/>
      <c r="Z16" s="83"/>
      <c r="AA16" s="83"/>
      <c r="AB16" s="83"/>
      <c r="AC16" s="27">
        <f t="shared" si="9"/>
        <v>0</v>
      </c>
      <c r="AD16" s="2733"/>
      <c r="AE16" s="2733"/>
      <c r="AF16" s="2733"/>
      <c r="AG16" s="2733"/>
      <c r="AH16" s="2733"/>
      <c r="AI16" s="2733"/>
      <c r="AJ16" s="2733"/>
      <c r="AK16" s="2733"/>
      <c r="AL16" s="2733"/>
      <c r="AM16" s="2733"/>
      <c r="AN16" s="2733"/>
      <c r="AO16" s="2733"/>
      <c r="AP16" s="2733"/>
      <c r="AQ16" s="2733"/>
      <c r="AR16" s="2733"/>
      <c r="AS16" s="2733"/>
      <c r="AT16" s="2734"/>
      <c r="AU16" s="2735"/>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5"/>
      <c r="B17" s="2725"/>
      <c r="C17" s="2727"/>
      <c r="D17" s="2726"/>
      <c r="E17" s="27">
        <f t="shared" si="6"/>
        <v>0</v>
      </c>
      <c r="F17" s="81"/>
      <c r="G17" s="82">
        <f t="shared" si="7"/>
        <v>0</v>
      </c>
      <c r="H17" s="33">
        <f t="shared" si="8"/>
        <v>0</v>
      </c>
      <c r="I17" s="2729"/>
      <c r="J17" s="2729"/>
      <c r="K17" s="2729"/>
      <c r="L17" s="2729"/>
      <c r="M17" s="2729"/>
      <c r="N17" s="83"/>
      <c r="O17" s="83"/>
      <c r="P17" s="83"/>
      <c r="Q17" s="83"/>
      <c r="R17" s="83"/>
      <c r="S17" s="83"/>
      <c r="T17" s="83"/>
      <c r="U17" s="83"/>
      <c r="V17" s="83"/>
      <c r="W17" s="83"/>
      <c r="X17" s="83"/>
      <c r="Y17" s="83"/>
      <c r="Z17" s="83"/>
      <c r="AA17" s="83"/>
      <c r="AB17" s="83"/>
      <c r="AC17" s="27">
        <f t="shared" si="9"/>
        <v>0</v>
      </c>
      <c r="AD17" s="2733"/>
      <c r="AE17" s="2733"/>
      <c r="AF17" s="2733"/>
      <c r="AG17" s="2733"/>
      <c r="AH17" s="2733"/>
      <c r="AI17" s="2733"/>
      <c r="AJ17" s="2733"/>
      <c r="AK17" s="2733"/>
      <c r="AL17" s="2733"/>
      <c r="AM17" s="2733"/>
      <c r="AN17" s="2733"/>
      <c r="AO17" s="2733"/>
      <c r="AP17" s="2733"/>
      <c r="AQ17" s="2733"/>
      <c r="AR17" s="2733"/>
      <c r="AS17" s="2733"/>
      <c r="AT17" s="2734"/>
      <c r="AU17" s="2735"/>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8"/>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6"/>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54" t="s">
        <v>0</v>
      </c>
      <c r="B1" s="3454" t="s">
        <v>4</v>
      </c>
      <c r="C1" s="3454" t="s">
        <v>5</v>
      </c>
      <c r="D1" s="3455" t="s">
        <v>40</v>
      </c>
      <c r="E1" s="3455" t="s">
        <v>41</v>
      </c>
      <c r="F1" s="3455"/>
      <c r="G1" s="3455"/>
      <c r="H1" s="3455"/>
      <c r="I1" s="3455"/>
      <c r="J1" s="3455"/>
      <c r="K1" s="3455"/>
      <c r="L1" s="3455"/>
      <c r="M1" s="3455"/>
    </row>
    <row r="2" spans="1:13" ht="27" customHeight="1">
      <c r="A2" s="3454"/>
      <c r="B2" s="3454"/>
      <c r="C2" s="3454"/>
      <c r="D2" s="3455"/>
      <c r="E2" s="3455" t="s">
        <v>24</v>
      </c>
      <c r="F2" s="3455" t="s">
        <v>25</v>
      </c>
      <c r="G2" s="3455"/>
      <c r="H2" s="3455"/>
      <c r="I2" s="3455"/>
      <c r="J2" s="3455" t="s">
        <v>26</v>
      </c>
      <c r="K2" s="3455"/>
      <c r="L2" s="3455"/>
      <c r="M2" s="3455"/>
    </row>
    <row r="3" spans="1:13" ht="28.5">
      <c r="A3" s="3454"/>
      <c r="B3" s="3454"/>
      <c r="C3" s="3454"/>
      <c r="D3" s="3455"/>
      <c r="E3" s="345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55" t="s">
        <v>42</v>
      </c>
      <c r="B9" s="3455"/>
      <c r="C9" s="345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D3" sqref="D3"/>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200</v>
      </c>
      <c r="B1" s="1897"/>
      <c r="C1" s="1897"/>
      <c r="D1" s="1897"/>
      <c r="E1" s="1897"/>
      <c r="F1" s="1897"/>
      <c r="G1" s="1897"/>
      <c r="H1" s="1897"/>
      <c r="I1" s="1897"/>
      <c r="J1" s="1897"/>
      <c r="K1" s="1897"/>
      <c r="L1" s="1897"/>
      <c r="M1" s="1897"/>
      <c r="N1" s="1897"/>
      <c r="O1" s="1897"/>
      <c r="P1" s="1897"/>
    </row>
    <row r="2" spans="1:16" ht="15">
      <c r="A2" s="3465" t="s">
        <v>201</v>
      </c>
      <c r="B2" s="3465"/>
      <c r="C2" s="3465"/>
      <c r="D2" s="1888" t="s">
        <v>202</v>
      </c>
      <c r="E2" s="106" t="s">
        <v>203</v>
      </c>
      <c r="F2" s="3081"/>
      <c r="G2" s="1180"/>
      <c r="H2" s="1181"/>
      <c r="I2" s="1182" t="s">
        <v>847</v>
      </c>
      <c r="J2" s="3081"/>
      <c r="K2" s="3081"/>
      <c r="L2" s="3081"/>
      <c r="M2" s="3081"/>
      <c r="N2" s="3081"/>
      <c r="O2" s="3081"/>
      <c r="P2" s="3081"/>
    </row>
    <row r="3" spans="1:16" ht="15.75" thickBot="1">
      <c r="A3" s="3466" t="s">
        <v>204</v>
      </c>
      <c r="B3" s="3466"/>
      <c r="C3" s="3466"/>
      <c r="D3" s="107">
        <f>'数据-基础表'!AY6</f>
        <v>32358.705000000002</v>
      </c>
      <c r="E3" s="107">
        <f>'数据-基础表'!AZ5</f>
        <v>142378.302</v>
      </c>
      <c r="F3" s="3081"/>
      <c r="G3" s="278" t="s">
        <v>848</v>
      </c>
      <c r="H3" s="273" t="s">
        <v>849</v>
      </c>
      <c r="I3" s="1889">
        <f>ROUND('数据-基础表'!B3/'数据-基础表'!A3,2)</f>
        <v>4.4000000000000004</v>
      </c>
      <c r="J3" s="3081"/>
      <c r="K3" s="3081"/>
      <c r="L3" s="3081"/>
      <c r="M3" s="3081"/>
      <c r="N3" s="3081"/>
      <c r="O3" s="3081"/>
      <c r="P3" s="3081"/>
    </row>
    <row r="4" spans="1:16" ht="15">
      <c r="A4" s="3467"/>
      <c r="B4" s="3468"/>
      <c r="C4" s="3469"/>
      <c r="D4" s="108" t="s">
        <v>202</v>
      </c>
      <c r="E4" s="109" t="s">
        <v>203</v>
      </c>
      <c r="F4" s="3081"/>
      <c r="G4" s="1183"/>
      <c r="H4" s="273" t="s">
        <v>850</v>
      </c>
      <c r="I4" s="1889">
        <f>ROUND(SUMIF('数据-基础表'!I9:AS9,"地上",'数据-基础表'!I5:AS5)/'数据-基础表'!A3,2)</f>
        <v>4.4000000000000004</v>
      </c>
      <c r="J4" s="3081"/>
      <c r="K4" s="3081"/>
      <c r="L4" s="3081"/>
      <c r="M4" s="3081"/>
      <c r="N4" s="3081"/>
      <c r="O4" s="3081"/>
      <c r="P4" s="3081"/>
    </row>
    <row r="5" spans="1:16">
      <c r="A5" s="110" t="s">
        <v>205</v>
      </c>
      <c r="B5" s="3470" t="s">
        <v>228</v>
      </c>
      <c r="C5" s="3470"/>
      <c r="D5" s="111">
        <f>ROUND($D$3*E5/$E$3,2)</f>
        <v>0</v>
      </c>
      <c r="E5" s="112">
        <f>SUMIF('数据-基础表'!$11:$11,"住宅",'数据-基础表'!$5:$5)</f>
        <v>0</v>
      </c>
      <c r="F5" s="3081"/>
      <c r="G5" s="278" t="s">
        <v>851</v>
      </c>
      <c r="H5" s="273" t="s">
        <v>849</v>
      </c>
      <c r="I5" s="1889">
        <f>ROUND(E31/D31,2)</f>
        <v>4.4000000000000004</v>
      </c>
      <c r="J5" s="3081"/>
      <c r="K5" s="3081"/>
      <c r="L5" s="3081"/>
      <c r="M5" s="3081"/>
      <c r="N5" s="3081"/>
      <c r="O5" s="3081"/>
      <c r="P5" s="3081"/>
    </row>
    <row r="6" spans="1:16" ht="15" thickBot="1">
      <c r="A6" s="113"/>
      <c r="B6" s="3470" t="s">
        <v>206</v>
      </c>
      <c r="C6" s="3470"/>
      <c r="D6" s="111">
        <f>ROUND($D$3*E6/$E$3,2)</f>
        <v>32358.71</v>
      </c>
      <c r="E6" s="112">
        <f>E3-E5</f>
        <v>142378.302</v>
      </c>
      <c r="F6" s="3081"/>
      <c r="G6" s="1183"/>
      <c r="H6" s="273" t="s">
        <v>850</v>
      </c>
      <c r="I6" s="1889">
        <f>ROUND(F31/D31,2)</f>
        <v>4.4000000000000004</v>
      </c>
      <c r="J6" s="3081"/>
      <c r="K6" s="3081"/>
      <c r="L6" s="3081"/>
      <c r="M6" s="3081"/>
      <c r="N6" s="3081"/>
      <c r="O6" s="3081"/>
      <c r="P6" s="3081"/>
    </row>
    <row r="7" spans="1:16" ht="15">
      <c r="A7" s="3462"/>
      <c r="B7" s="3463"/>
      <c r="C7" s="3464"/>
      <c r="D7" s="108" t="s">
        <v>202</v>
      </c>
      <c r="E7" s="114" t="s">
        <v>229</v>
      </c>
      <c r="F7" s="3081"/>
      <c r="G7" s="1138" t="s">
        <v>1633</v>
      </c>
      <c r="H7" s="1139"/>
      <c r="I7" s="1759">
        <v>2.2000000000000002</v>
      </c>
      <c r="J7" s="3081"/>
      <c r="K7" s="3081"/>
      <c r="L7" s="3081"/>
      <c r="M7" s="3081"/>
      <c r="N7" s="3081"/>
      <c r="O7" s="3081"/>
      <c r="P7" s="3081"/>
    </row>
    <row r="8" spans="1:16">
      <c r="A8" s="110" t="s">
        <v>207</v>
      </c>
      <c r="B8" s="115" t="s">
        <v>208</v>
      </c>
      <c r="C8" s="111" t="s">
        <v>209</v>
      </c>
      <c r="D8" s="111">
        <f t="shared" ref="D8:D15" si="0">ROUND($D$3*E8/$E$3,2)</f>
        <v>32358.71</v>
      </c>
      <c r="E8" s="116">
        <f>SUMIF('数据-基础表'!BB10:BK10,"地上",'数据-基础表'!BB5:BK5)</f>
        <v>142378.302</v>
      </c>
      <c r="F8" s="3081"/>
      <c r="G8" s="3082"/>
      <c r="H8" s="3082"/>
      <c r="I8" s="3081"/>
      <c r="J8" s="3081"/>
      <c r="K8" s="3081"/>
      <c r="L8" s="3081"/>
      <c r="M8" s="3081"/>
      <c r="N8" s="3081"/>
      <c r="O8" s="3081"/>
      <c r="P8" s="3081"/>
    </row>
    <row r="9" spans="1:16">
      <c r="A9" s="117"/>
      <c r="B9" s="118"/>
      <c r="C9" s="111" t="s">
        <v>210</v>
      </c>
      <c r="D9" s="111">
        <f t="shared" si="0"/>
        <v>0</v>
      </c>
      <c r="E9" s="119">
        <v>0</v>
      </c>
      <c r="F9" s="3081"/>
      <c r="G9" s="3082"/>
      <c r="H9" s="3082"/>
      <c r="I9" s="3081"/>
      <c r="J9" s="3081"/>
      <c r="K9" s="3081"/>
      <c r="L9" s="3081"/>
      <c r="M9" s="3081"/>
      <c r="N9" s="3081"/>
      <c r="O9" s="3081"/>
      <c r="P9" s="3081"/>
    </row>
    <row r="10" spans="1:16">
      <c r="A10" s="117"/>
      <c r="B10" s="118"/>
      <c r="C10" s="111" t="s">
        <v>211</v>
      </c>
      <c r="D10" s="111">
        <f t="shared" si="0"/>
        <v>0</v>
      </c>
      <c r="E10" s="116">
        <f>SUMPRODUCT(('数据-基础表'!BB10:BK10="地下")*('数据-基础表'!BB11:BK11="商业")*('数据-基础表'!BB5:BK5))</f>
        <v>0</v>
      </c>
      <c r="F10" s="3081"/>
      <c r="G10" s="3082"/>
      <c r="H10" s="3082"/>
      <c r="I10" s="3081"/>
      <c r="J10" s="3081"/>
      <c r="K10" s="3081"/>
      <c r="L10" s="3081"/>
      <c r="M10" s="3081"/>
      <c r="N10" s="3081"/>
      <c r="O10" s="3081"/>
      <c r="P10" s="3081"/>
    </row>
    <row r="11" spans="1:16">
      <c r="A11" s="117"/>
      <c r="B11" s="118"/>
      <c r="C11" s="2210" t="s">
        <v>2310</v>
      </c>
      <c r="D11" s="111">
        <f t="shared" si="0"/>
        <v>0</v>
      </c>
      <c r="E11" s="116">
        <f>SUMPRODUCT(('数据-基础表'!BB10:BK10="地下")*('数据-基础表'!BB11:BK11="办公")*('数据-基础表'!BB5:BK5))+'数据-基础表'!AJ5</f>
        <v>0</v>
      </c>
      <c r="F11" s="3081"/>
      <c r="G11" s="3082"/>
      <c r="H11" s="3082"/>
      <c r="I11" s="3081"/>
      <c r="J11" s="3081"/>
      <c r="K11" s="3081"/>
      <c r="L11" s="3081"/>
      <c r="M11" s="3081"/>
      <c r="N11" s="3081"/>
      <c r="O11" s="3081"/>
      <c r="P11" s="3081"/>
    </row>
    <row r="12" spans="1:16">
      <c r="A12" s="117"/>
      <c r="B12" s="118"/>
      <c r="C12" s="111" t="s">
        <v>212</v>
      </c>
      <c r="D12" s="111">
        <f t="shared" si="0"/>
        <v>0</v>
      </c>
      <c r="E12" s="116">
        <f>SUMPRODUCT(('数据-基础表'!BB10:BK10="地下")*('数据-基础表'!BB11:BK11="仓储")*('数据-基础表'!BB5:BK5))</f>
        <v>0</v>
      </c>
      <c r="F12" s="3081"/>
      <c r="G12" s="3082"/>
      <c r="H12" s="3082"/>
      <c r="I12" s="3081"/>
      <c r="J12" s="3081"/>
      <c r="K12" s="3081"/>
      <c r="L12" s="3081"/>
      <c r="M12" s="3081"/>
      <c r="N12" s="3081"/>
      <c r="O12" s="3081"/>
      <c r="P12" s="3081"/>
    </row>
    <row r="13" spans="1:16">
      <c r="A13" s="117"/>
      <c r="B13" s="118"/>
      <c r="C13" s="2210" t="s">
        <v>2317</v>
      </c>
      <c r="D13" s="111">
        <f t="shared" si="0"/>
        <v>0</v>
      </c>
      <c r="E13" s="116">
        <f>SUMPRODUCT(('数据-基础表'!BB10:BK10="地下")*('数据-基础表'!BB11:BK11="车库")*('数据-基础表'!BB5:BK5))</f>
        <v>0</v>
      </c>
      <c r="F13" s="3081"/>
      <c r="G13" s="3082"/>
      <c r="H13" s="3082"/>
      <c r="I13" s="3081"/>
      <c r="J13" s="3081"/>
      <c r="K13" s="3081"/>
      <c r="L13" s="3081"/>
      <c r="M13" s="3081"/>
      <c r="N13" s="3081"/>
      <c r="O13" s="3081"/>
      <c r="P13" s="3081"/>
    </row>
    <row r="14" spans="1:16">
      <c r="A14" s="117"/>
      <c r="B14" s="118"/>
      <c r="C14" s="111" t="s">
        <v>230</v>
      </c>
      <c r="D14" s="111">
        <f t="shared" si="0"/>
        <v>0</v>
      </c>
      <c r="E14" s="116">
        <f>SUMPRODUCT(('数据-基础表'!BB10:BK10="地下")*('数据-基础表'!BB11:BK11="车库—商业")*('数据-基础表'!BB5:BK5))</f>
        <v>0</v>
      </c>
      <c r="F14" s="3081"/>
      <c r="G14" s="3082"/>
      <c r="H14" s="3082"/>
      <c r="I14" s="3081"/>
      <c r="J14" s="3081"/>
      <c r="K14" s="3081"/>
      <c r="L14" s="3081"/>
      <c r="M14" s="3081"/>
      <c r="N14" s="3081"/>
      <c r="O14" s="3081"/>
      <c r="P14" s="3081"/>
    </row>
    <row r="15" spans="1:16" ht="15" thickBot="1">
      <c r="A15" s="117"/>
      <c r="B15" s="118"/>
      <c r="C15" s="111" t="s">
        <v>231</v>
      </c>
      <c r="D15" s="111">
        <f t="shared" si="0"/>
        <v>0</v>
      </c>
      <c r="E15" s="116">
        <f>SUMPRODUCT(('数据-基础表'!BB10:BK10="地下")*('数据-基础表'!BB11:BK11="车库—办公")*('数据-基础表'!BB5:BK5))</f>
        <v>0</v>
      </c>
      <c r="F15" s="3081"/>
      <c r="G15" s="3082"/>
      <c r="H15" s="3082"/>
      <c r="I15" s="3081"/>
      <c r="J15" s="3081"/>
      <c r="K15" s="3081"/>
      <c r="L15" s="3081"/>
      <c r="M15" s="3081"/>
      <c r="N15" s="3081"/>
      <c r="O15" s="3081"/>
      <c r="P15" s="3081"/>
    </row>
    <row r="16" spans="1:16" ht="15.75" thickBot="1">
      <c r="A16" s="113"/>
      <c r="B16" s="118"/>
      <c r="C16" s="115" t="s">
        <v>213</v>
      </c>
      <c r="D16" s="115">
        <f>SUM(D8:D15)</f>
        <v>32358.71</v>
      </c>
      <c r="E16" s="120">
        <f>SUM(E8:E15)</f>
        <v>142378.302</v>
      </c>
      <c r="F16" s="3081"/>
      <c r="G16" s="3082"/>
      <c r="H16" s="956" t="s">
        <v>217</v>
      </c>
      <c r="I16" s="957"/>
      <c r="J16" s="1897"/>
      <c r="K16" s="3456" t="s">
        <v>2542</v>
      </c>
      <c r="L16" s="3457"/>
      <c r="M16" s="3457"/>
      <c r="N16" s="3457"/>
      <c r="O16" s="3457"/>
      <c r="P16" s="3458"/>
    </row>
    <row r="17" spans="1:19" ht="15">
      <c r="A17" s="121" t="s">
        <v>214</v>
      </c>
      <c r="B17" s="122" t="s">
        <v>215</v>
      </c>
      <c r="C17" s="2177" t="s">
        <v>2296</v>
      </c>
      <c r="D17" s="108" t="s">
        <v>202</v>
      </c>
      <c r="E17" s="124" t="s">
        <v>203</v>
      </c>
      <c r="F17" s="125"/>
      <c r="G17" s="1318"/>
      <c r="H17" s="958" t="s">
        <v>216</v>
      </c>
      <c r="I17" s="959" t="s">
        <v>2295</v>
      </c>
      <c r="J17" s="1897"/>
      <c r="K17" s="3459" t="s">
        <v>2543</v>
      </c>
      <c r="L17" s="3460"/>
      <c r="M17" s="3461"/>
      <c r="N17" s="3459" t="s">
        <v>2544</v>
      </c>
      <c r="O17" s="3460"/>
      <c r="P17" s="3461"/>
      <c r="R17" s="2178" t="s">
        <v>2294</v>
      </c>
      <c r="S17" s="142"/>
    </row>
    <row r="18" spans="1:19" ht="15">
      <c r="A18" s="117"/>
      <c r="B18" s="128"/>
      <c r="C18" s="129"/>
      <c r="D18" s="2483"/>
      <c r="E18" s="130" t="s">
        <v>218</v>
      </c>
      <c r="F18" s="131" t="s">
        <v>219</v>
      </c>
      <c r="G18" s="1319" t="s">
        <v>220</v>
      </c>
      <c r="H18" s="960" t="s">
        <v>221</v>
      </c>
      <c r="I18" s="961" t="s">
        <v>222</v>
      </c>
      <c r="J18" s="1897"/>
      <c r="K18" s="2448" t="s">
        <v>2545</v>
      </c>
      <c r="L18" s="2449" t="s">
        <v>2546</v>
      </c>
      <c r="M18" s="2450" t="s">
        <v>2547</v>
      </c>
      <c r="N18" s="2448" t="s">
        <v>2545</v>
      </c>
      <c r="O18" s="2449" t="s">
        <v>2546</v>
      </c>
      <c r="P18" s="2450" t="s">
        <v>2547</v>
      </c>
      <c r="R18" s="2179" t="s">
        <v>2292</v>
      </c>
      <c r="S18" s="2179" t="s">
        <v>2293</v>
      </c>
    </row>
    <row r="19" spans="1:19">
      <c r="A19" s="133"/>
      <c r="B19" s="115" t="s">
        <v>223</v>
      </c>
      <c r="C19" s="2736" t="s">
        <v>2997</v>
      </c>
      <c r="D19" s="111">
        <f t="shared" ref="D19:D26" si="1">ROUND($D$3*E19/$E$3,2)</f>
        <v>16179.35</v>
      </c>
      <c r="E19" s="134">
        <f t="shared" ref="E19:E26" si="2">SUM(F19:G19)</f>
        <v>71189.150999999998</v>
      </c>
      <c r="F19" s="3083">
        <f>'数据-基础表'!I13</f>
        <v>71189.150999999998</v>
      </c>
      <c r="G19" s="3084"/>
      <c r="H19" s="962">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16179.35</v>
      </c>
      <c r="S19" s="2180">
        <f t="shared" si="5"/>
        <v>71189.150999999998</v>
      </c>
    </row>
    <row r="20" spans="1:19">
      <c r="A20" s="137"/>
      <c r="B20" s="115" t="s">
        <v>224</v>
      </c>
      <c r="C20" s="2736" t="s">
        <v>2998</v>
      </c>
      <c r="D20" s="111">
        <f t="shared" si="1"/>
        <v>16179.35</v>
      </c>
      <c r="E20" s="134">
        <f t="shared" si="2"/>
        <v>71189.150999999998</v>
      </c>
      <c r="F20" s="3083">
        <f>'数据-基础表'!K13</f>
        <v>71189.150999999998</v>
      </c>
      <c r="G20" s="3084"/>
      <c r="H20" s="962">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16179.35</v>
      </c>
      <c r="S20" s="2180">
        <f t="shared" si="5"/>
        <v>71189.150999999998</v>
      </c>
    </row>
    <row r="21" spans="1:19">
      <c r="A21" s="137"/>
      <c r="B21" s="115" t="s">
        <v>224</v>
      </c>
      <c r="C21" s="2736"/>
      <c r="D21" s="111">
        <f t="shared" si="1"/>
        <v>0</v>
      </c>
      <c r="E21" s="134">
        <f t="shared" si="2"/>
        <v>0</v>
      </c>
      <c r="F21" s="3083"/>
      <c r="G21" s="3084"/>
      <c r="H21" s="962">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224</v>
      </c>
      <c r="C22" s="1317"/>
      <c r="D22" s="111">
        <f t="shared" si="1"/>
        <v>0</v>
      </c>
      <c r="E22" s="134">
        <f t="shared" si="2"/>
        <v>0</v>
      </c>
      <c r="F22" s="3085"/>
      <c r="G22" s="3086"/>
      <c r="H22" s="962">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224</v>
      </c>
      <c r="C23" s="138"/>
      <c r="D23" s="111">
        <f>ROUND($D$3*E23/$E$3,2)</f>
        <v>0</v>
      </c>
      <c r="E23" s="134">
        <f>SUM(F23:G23)</f>
        <v>0</v>
      </c>
      <c r="F23" s="3085"/>
      <c r="G23" s="3086"/>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224</v>
      </c>
      <c r="C24" s="138"/>
      <c r="D24" s="111">
        <f>ROUND($D$3*E24/$E$3,2)</f>
        <v>0</v>
      </c>
      <c r="E24" s="134">
        <f>SUM(F24:G24)</f>
        <v>0</v>
      </c>
      <c r="F24" s="3085"/>
      <c r="G24" s="3086"/>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224</v>
      </c>
      <c r="C25" s="138"/>
      <c r="D25" s="111">
        <f t="shared" si="1"/>
        <v>0</v>
      </c>
      <c r="E25" s="134">
        <f t="shared" si="2"/>
        <v>0</v>
      </c>
      <c r="F25" s="3085"/>
      <c r="G25" s="3086"/>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224</v>
      </c>
      <c r="C26" s="140"/>
      <c r="D26" s="111">
        <f t="shared" si="1"/>
        <v>0</v>
      </c>
      <c r="E26" s="134">
        <f t="shared" si="2"/>
        <v>0</v>
      </c>
      <c r="F26" s="3085"/>
      <c r="G26" s="3086"/>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29.25" thickBot="1">
      <c r="A27" s="137"/>
      <c r="B27" s="111"/>
      <c r="C27" s="127" t="s">
        <v>213</v>
      </c>
      <c r="D27" s="134">
        <f>SUM(D19:D26)</f>
        <v>32358.7</v>
      </c>
      <c r="E27" s="141">
        <f>IF(SUM(E19:E26)='数据-基础表'!BA5,SUM(E19:E26),IF(F27="地上面积有误","面积有误","地下面积有误"))</f>
        <v>142378.302</v>
      </c>
      <c r="F27" s="134">
        <f>IF(SUM(F19:F26)=E8,SUM(F19:F26),"地上面积有误")</f>
        <v>142378.302</v>
      </c>
      <c r="G27" s="112">
        <f>SUM(G19:G26)</f>
        <v>0</v>
      </c>
      <c r="H27" s="963">
        <f>SUM(H19:H26)</f>
        <v>0</v>
      </c>
      <c r="I27" s="964">
        <f>SUM(I19:I26)</f>
        <v>0</v>
      </c>
      <c r="J27" s="1897"/>
      <c r="K27" s="2460">
        <f>SUM(K19:K26)</f>
        <v>0</v>
      </c>
      <c r="L27" s="2461">
        <f>SUM(L19:L26)</f>
        <v>0</v>
      </c>
      <c r="M27" s="2462">
        <f>SUM(M19:M26)</f>
        <v>0</v>
      </c>
      <c r="N27" s="2460">
        <f t="shared" ref="N27:O27" si="10">SUM(N19:N26)</f>
        <v>0</v>
      </c>
      <c r="O27" s="2461">
        <f t="shared" si="10"/>
        <v>0</v>
      </c>
      <c r="P27" s="2463">
        <f>SUM(P19:P26)</f>
        <v>0</v>
      </c>
      <c r="R27" s="2184" t="str">
        <f>IF(SUM(R19:R26)=$D$3,SUM(R19:R26),SUM(R19:R26)&amp;"误差"&amp;ROUND(SUM(R19:R26)-$D$3,2))</f>
        <v>32358.7误差-0.01</v>
      </c>
      <c r="S27" s="273">
        <f>IF(SUM(S19:S26)=$E$3,SUM(S19:S26),SUM(S19:S26)&amp;"误差"&amp;ROUND(SUM(S19:S26)-E3,2))</f>
        <v>142378.302</v>
      </c>
    </row>
    <row r="28" spans="1:19">
      <c r="A28" s="137"/>
      <c r="B28" s="115" t="s">
        <v>225</v>
      </c>
      <c r="C28" s="135" t="s">
        <v>226</v>
      </c>
      <c r="D28" s="111">
        <f>ROUND($D$3*E28/$E$3,2)</f>
        <v>0</v>
      </c>
      <c r="E28" s="134">
        <f>SUM(F28:G28)</f>
        <v>0</v>
      </c>
      <c r="F28" s="142">
        <f>'数据-基础表'!BQ5+'数据-基础表'!BS5</f>
        <v>0</v>
      </c>
      <c r="G28" s="143">
        <f>'数据-基础表'!BR5+'数据-基础表'!BT5</f>
        <v>0</v>
      </c>
      <c r="H28" s="3081"/>
      <c r="I28" s="3081"/>
      <c r="J28" s="3081"/>
      <c r="K28" s="3081"/>
      <c r="L28" s="3081"/>
      <c r="M28" s="3081"/>
      <c r="N28" s="3081"/>
      <c r="O28" s="3081"/>
      <c r="P28" s="3081"/>
    </row>
    <row r="29" spans="1:19">
      <c r="A29" s="137"/>
      <c r="B29" s="115" t="s">
        <v>225</v>
      </c>
      <c r="C29" s="2192" t="s">
        <v>2303</v>
      </c>
      <c r="D29" s="111">
        <f>ROUND($D$3*E29/$E$3,2)</f>
        <v>0</v>
      </c>
      <c r="E29" s="134">
        <f>SUM(F29:G29)</f>
        <v>0</v>
      </c>
      <c r="F29" s="142">
        <f>'数据-基础表'!BM5+'数据-基础表'!BO5</f>
        <v>0</v>
      </c>
      <c r="G29" s="144">
        <f>'数据-基础表'!BN5+'数据-基础表'!BP5</f>
        <v>0</v>
      </c>
      <c r="H29" s="3081"/>
      <c r="I29" s="3081"/>
      <c r="J29" s="3081"/>
      <c r="K29" s="3081"/>
      <c r="L29" s="3081"/>
      <c r="M29" s="3081"/>
      <c r="N29" s="3081"/>
      <c r="O29" s="3081"/>
      <c r="P29" s="3081"/>
    </row>
    <row r="30" spans="1:19">
      <c r="A30" s="137"/>
      <c r="B30" s="111"/>
      <c r="C30" s="145" t="s">
        <v>213</v>
      </c>
      <c r="D30" s="134">
        <f>SUM(D28:D29)</f>
        <v>0</v>
      </c>
      <c r="E30" s="134">
        <f>SUM(E28:E29)</f>
        <v>0</v>
      </c>
      <c r="F30" s="134">
        <f>SUM(F28:F29)</f>
        <v>0</v>
      </c>
      <c r="G30" s="112">
        <f>SUM(G28:G29)</f>
        <v>0</v>
      </c>
      <c r="H30" s="3081"/>
      <c r="I30" s="3081"/>
      <c r="J30" s="3081"/>
      <c r="K30" s="3081"/>
      <c r="L30" s="3081"/>
      <c r="M30" s="3081"/>
      <c r="N30" s="3081"/>
      <c r="O30" s="3081"/>
      <c r="P30" s="3081"/>
    </row>
    <row r="31" spans="1:19" ht="32.25" customHeight="1" thickBot="1">
      <c r="A31" s="1320"/>
      <c r="B31" s="1321" t="s">
        <v>227</v>
      </c>
      <c r="C31" s="2209" t="s">
        <v>2305</v>
      </c>
      <c r="D31" s="1322">
        <f>D27+D30</f>
        <v>32358.7</v>
      </c>
      <c r="E31" s="1322">
        <f>E27+E30</f>
        <v>142378.302</v>
      </c>
      <c r="F31" s="1323">
        <f>F27+F30</f>
        <v>142378.302</v>
      </c>
      <c r="G31" s="1324">
        <f>G27+G30</f>
        <v>0</v>
      </c>
      <c r="H31" s="3081"/>
      <c r="I31" s="3081"/>
      <c r="J31" s="3081"/>
      <c r="K31" s="3081"/>
      <c r="L31" s="3081"/>
      <c r="M31" s="3081"/>
      <c r="N31" s="3081"/>
      <c r="O31" s="3081"/>
      <c r="P31" s="3081"/>
    </row>
    <row r="32" spans="1:19">
      <c r="A32" s="1897"/>
      <c r="B32" s="2221" t="s">
        <v>2304</v>
      </c>
      <c r="C32" s="2488"/>
      <c r="D32" s="1183"/>
      <c r="E32" s="1183">
        <f>SUMIF(C19:C26,"*住宅*",E19:E26)</f>
        <v>0</v>
      </c>
      <c r="F32" s="1183"/>
      <c r="G32" s="1183"/>
      <c r="H32" s="3081"/>
      <c r="I32" s="3081"/>
      <c r="J32" s="3081"/>
      <c r="K32" s="3081"/>
      <c r="L32" s="3081"/>
      <c r="M32" s="3081"/>
      <c r="N32" s="3081"/>
      <c r="O32" s="3081"/>
      <c r="P32" s="3081"/>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2" priority="1" stopIfTrue="1" operator="containsText" text="面积有误">
      <formula>NOT(ISERROR(SEARCH("面积有误",E27)))</formula>
    </cfRule>
    <cfRule type="cellIs" dxfId="201" priority="3" stopIfTrue="1" operator="equal">
      <formula>"地下面积有误"</formula>
    </cfRule>
  </conditionalFormatting>
  <conditionalFormatting sqref="F27">
    <cfRule type="cellIs" dxfId="200"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H6" activePane="bottomRight" state="frozen"/>
      <selection pane="topRight" activeCell="D1" sqref="D1"/>
      <selection pane="bottomLeft" activeCell="A4" sqref="A4"/>
      <selection pane="bottomRight" activeCell="M9" sqref="M9"/>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29" width="6.75" style="1185" customWidth="1"/>
    <col min="30" max="30" width="8" style="1185" customWidth="1"/>
    <col min="31" max="31" width="6.5" style="1185" customWidth="1"/>
    <col min="32" max="34" width="7.25" style="1185" customWidth="1"/>
    <col min="35" max="39" width="8" style="1185" customWidth="1"/>
    <col min="40" max="41" width="13.75" style="1907"/>
    <col min="42" max="42" width="13.75" style="1907" customWidth="1"/>
    <col min="43" max="83" width="13.75" style="1907"/>
    <col min="84" max="16384" width="13.75" style="1185"/>
  </cols>
  <sheetData>
    <row r="1" spans="1:83" ht="19.5" thickBot="1">
      <c r="A1" s="146" t="s">
        <v>232</v>
      </c>
      <c r="B1" s="1184"/>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8"/>
      <c r="AO1" s="3088"/>
      <c r="AP1" s="3088"/>
      <c r="AQ1" s="3088"/>
      <c r="AR1" s="3088"/>
      <c r="AS1" s="3088"/>
      <c r="AT1" s="3088"/>
      <c r="AU1" s="3088"/>
      <c r="AV1" s="3088"/>
      <c r="AW1" s="3088"/>
      <c r="AX1" s="3088"/>
      <c r="AY1" s="3088"/>
      <c r="AZ1" s="3088"/>
    </row>
    <row r="2" spans="1:83" s="1188" customFormat="1" ht="15.75" thickBot="1">
      <c r="A2" s="147" t="s">
        <v>233</v>
      </c>
      <c r="B2" s="2217">
        <f>项目基本情况!D3</f>
        <v>44463</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1"/>
      <c r="AO2" s="3091"/>
      <c r="AP2" s="3091"/>
      <c r="AQ2" s="3091"/>
      <c r="AR2" s="3091"/>
      <c r="AS2" s="3091"/>
      <c r="AT2" s="3091"/>
      <c r="AU2" s="3091"/>
      <c r="AV2" s="3091"/>
      <c r="AW2" s="3091"/>
      <c r="AX2" s="3091"/>
      <c r="AY2" s="3091"/>
      <c r="AZ2" s="3091"/>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8" customFormat="1" ht="15" thickBot="1">
      <c r="A3" s="1189"/>
      <c r="B3" s="1186"/>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1"/>
      <c r="AO3" s="3091"/>
      <c r="AP3" s="3091"/>
      <c r="AQ3" s="3091"/>
      <c r="AR3" s="3091"/>
      <c r="AS3" s="3091"/>
      <c r="AT3" s="3091"/>
      <c r="AU3" s="3091"/>
      <c r="AV3" s="3091"/>
      <c r="AW3" s="3091"/>
      <c r="AX3" s="3091"/>
      <c r="AY3" s="3091"/>
      <c r="AZ3" s="3091"/>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8" customFormat="1" ht="15" thickBot="1">
      <c r="A4" s="148" t="s">
        <v>854</v>
      </c>
      <c r="B4" s="150"/>
      <c r="C4" s="151"/>
      <c r="D4" s="1190"/>
      <c r="E4" s="1191" t="s">
        <v>855</v>
      </c>
      <c r="F4" s="151"/>
      <c r="G4" s="151"/>
      <c r="H4" s="151"/>
      <c r="I4" s="151"/>
      <c r="J4" s="152"/>
      <c r="K4" s="1192"/>
      <c r="L4" s="1193"/>
      <c r="M4" s="151"/>
      <c r="N4" s="1191" t="s">
        <v>856</v>
      </c>
      <c r="O4" s="151"/>
      <c r="P4" s="151"/>
      <c r="Q4" s="151"/>
      <c r="R4" s="151"/>
      <c r="S4" s="152"/>
      <c r="T4" s="965" t="str">
        <f>'数据-汇总表'!I17</f>
        <v>按面积比例</v>
      </c>
      <c r="U4" s="150" t="s">
        <v>857</v>
      </c>
      <c r="V4" s="151"/>
      <c r="W4" s="151"/>
      <c r="X4" s="151"/>
      <c r="Y4" s="152"/>
      <c r="Z4" s="123" t="s">
        <v>858</v>
      </c>
      <c r="AA4" s="123"/>
      <c r="AB4" s="123"/>
      <c r="AC4" s="123"/>
      <c r="AD4" s="123"/>
      <c r="AE4" s="121" t="s">
        <v>859</v>
      </c>
      <c r="AF4" s="123"/>
      <c r="AG4" s="153"/>
      <c r="AH4" s="150"/>
      <c r="AI4" s="151"/>
      <c r="AJ4" s="151"/>
      <c r="AK4" s="151"/>
      <c r="AL4" s="151"/>
      <c r="AM4" s="152"/>
      <c r="AN4" s="3091"/>
      <c r="AO4" s="3091"/>
      <c r="AP4" s="3091"/>
      <c r="AQ4" s="3091"/>
      <c r="AR4" s="3091"/>
      <c r="AS4" s="3091"/>
      <c r="AT4" s="3091"/>
      <c r="AU4" s="3091"/>
      <c r="AV4" s="3091"/>
      <c r="AW4" s="3091"/>
      <c r="AX4" s="3091"/>
      <c r="AY4" s="3091"/>
      <c r="AZ4" s="3091"/>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4" customFormat="1" ht="40.5">
      <c r="A5" s="2183" t="s">
        <v>2307</v>
      </c>
      <c r="B5" s="154" t="s">
        <v>234</v>
      </c>
      <c r="C5" s="155" t="s">
        <v>235</v>
      </c>
      <c r="D5" s="156" t="s">
        <v>236</v>
      </c>
      <c r="E5" s="157" t="s">
        <v>237</v>
      </c>
      <c r="F5" s="158" t="s">
        <v>238</v>
      </c>
      <c r="G5" s="157" t="s">
        <v>239</v>
      </c>
      <c r="H5" s="157" t="s">
        <v>852</v>
      </c>
      <c r="I5" s="157" t="s">
        <v>853</v>
      </c>
      <c r="J5" s="159" t="s">
        <v>240</v>
      </c>
      <c r="K5" s="160" t="s">
        <v>241</v>
      </c>
      <c r="L5" s="161" t="s">
        <v>242</v>
      </c>
      <c r="M5" s="162" t="s">
        <v>243</v>
      </c>
      <c r="N5" s="1201" t="s">
        <v>2802</v>
      </c>
      <c r="O5" s="161" t="s">
        <v>244</v>
      </c>
      <c r="P5" s="163" t="s">
        <v>245</v>
      </c>
      <c r="Q5" s="164" t="s">
        <v>246</v>
      </c>
      <c r="R5" s="165" t="s">
        <v>247</v>
      </c>
      <c r="S5" s="2464" t="s">
        <v>2548</v>
      </c>
      <c r="T5" s="166" t="s">
        <v>248</v>
      </c>
      <c r="U5" s="167" t="s">
        <v>249</v>
      </c>
      <c r="V5" s="157" t="s">
        <v>250</v>
      </c>
      <c r="W5" s="157" t="s">
        <v>251</v>
      </c>
      <c r="X5" s="1732"/>
      <c r="Y5" s="168" t="s">
        <v>252</v>
      </c>
      <c r="Z5" s="169" t="s">
        <v>253</v>
      </c>
      <c r="AA5" s="157" t="s">
        <v>250</v>
      </c>
      <c r="AB5" s="157" t="s">
        <v>251</v>
      </c>
      <c r="AC5" s="1733"/>
      <c r="AD5" s="170" t="s">
        <v>252</v>
      </c>
      <c r="AE5" s="1" t="s">
        <v>860</v>
      </c>
      <c r="AF5" s="157" t="s">
        <v>254</v>
      </c>
      <c r="AG5" s="168" t="s">
        <v>255</v>
      </c>
      <c r="AH5" s="1733" t="s">
        <v>2306</v>
      </c>
      <c r="AI5" s="169" t="s">
        <v>2275</v>
      </c>
      <c r="AJ5" s="169" t="s">
        <v>256</v>
      </c>
      <c r="AK5" s="157" t="s">
        <v>257</v>
      </c>
      <c r="AL5" s="157" t="s">
        <v>258</v>
      </c>
      <c r="AM5" s="170" t="s">
        <v>259</v>
      </c>
      <c r="AN5" s="2245" t="s">
        <v>2353</v>
      </c>
      <c r="AO5" s="3102"/>
      <c r="AP5" s="3087" t="s">
        <v>2964</v>
      </c>
      <c r="AQ5" s="3102"/>
      <c r="AR5" s="3102"/>
      <c r="AS5" s="3102"/>
      <c r="AT5" s="3102"/>
      <c r="AU5" s="3102"/>
      <c r="AV5" s="3102"/>
      <c r="AW5" s="3102"/>
      <c r="AX5" s="3102"/>
      <c r="AY5" s="3102"/>
      <c r="AZ5" s="3102"/>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8" customFormat="1" ht="14.25">
      <c r="A6" s="2181" t="str">
        <f>'数据-汇总表'!C19</f>
        <v>商业</v>
      </c>
      <c r="B6" s="2216" t="str">
        <f>IF(A6=0,"","经营性")</f>
        <v>经营性</v>
      </c>
      <c r="C6" s="171" t="s">
        <v>2996</v>
      </c>
      <c r="D6" s="2187">
        <f>SUMIF(项目基本情况!D$15:I$15,C6,项目基本情况!D$18:I$18)</f>
        <v>40</v>
      </c>
      <c r="E6" s="2188">
        <f>IF(B6="","",SUMIF(项目基本情况!D$15:I$15,C6,项目基本情况!D$17:I$17))</f>
        <v>59069</v>
      </c>
      <c r="F6" s="172">
        <f>SUMIF(项目基本情况!D$15:I$15,C6,项目基本情况!D$19:I$19)</f>
        <v>40</v>
      </c>
      <c r="G6" s="173">
        <f>IF(ISERROR(ROUND(POWER(1+H6,D6-F6)*(POWER(1+H6,F6)-1)/(POWER(1+H6,D6)-1),3)),0,ROUND(POWER(1+H6,D6-F6)*(POWER(1+H6,F6)-1)/(POWER(1+H6,D6)-1),3))</f>
        <v>1</v>
      </c>
      <c r="H6" s="2737">
        <v>0.03</v>
      </c>
      <c r="I6" s="2737">
        <v>4.4999999999999998E-2</v>
      </c>
      <c r="J6" s="174"/>
      <c r="K6" s="177">
        <f>SUMIF('数据-汇总表'!C$19:C$33,'数据-取费表'!A6,'数据-汇总表'!E$19:E$33)</f>
        <v>71189.150999999998</v>
      </c>
      <c r="L6" s="2738">
        <v>4400</v>
      </c>
      <c r="M6" s="175">
        <f t="shared" ref="M6:M14" si="0">ROUND(K6*L6/10000,0)</f>
        <v>31323</v>
      </c>
      <c r="N6" s="2739">
        <v>0</v>
      </c>
      <c r="O6" s="175">
        <f>IF($N$5="成新度","——",ROUND(M6*N6,0))</f>
        <v>0</v>
      </c>
      <c r="P6" s="176">
        <f>IF($N$5="成新度","——",M6-O6)</f>
        <v>31323</v>
      </c>
      <c r="Q6" s="2740">
        <v>0.3</v>
      </c>
      <c r="R6" s="177">
        <f>SUMIF('数据-汇总表'!C$19:C$33,A6,'数据-汇总表'!R$19:R$33)</f>
        <v>16179.35</v>
      </c>
      <c r="S6" s="132">
        <f>IF('数据-汇总表'!$I$17="按面积比例",SUMIF('数据-汇总表'!C$19:C$33,A6,'数据-汇总表'!K$19:K$33),SUMIF('数据-汇总表'!C$19:C$33,A6,'数据-汇总表'!N$19:N$33))</f>
        <v>0</v>
      </c>
      <c r="T6" s="2113" t="str">
        <f>IF($T$4="按面积比例",IF(ISERROR(ROUND($M$14*S6/S$16,0)),"0",ROUND($M$14*S6/S$16,0)),"需自行计算录入")</f>
        <v>0</v>
      </c>
      <c r="U6" s="178">
        <f>'不动产比较法-商'!C49</f>
        <v>5</v>
      </c>
      <c r="V6" s="179">
        <v>0</v>
      </c>
      <c r="W6" s="3379">
        <v>0.1</v>
      </c>
      <c r="X6" s="2200"/>
      <c r="Y6" s="180">
        <v>1</v>
      </c>
      <c r="Z6" s="181"/>
      <c r="AA6" s="174"/>
      <c r="AB6" s="174"/>
      <c r="AC6" s="2203"/>
      <c r="AD6" s="182"/>
      <c r="AE6" s="960">
        <f ca="1">IF(AN6="",0,SUMIF(INDIRECT("'"&amp;AN6&amp;"'"&amp;"!E:E"),$AE$5,INDIRECT("'"&amp;AN6&amp;"'"&amp;"!F:F")))</f>
        <v>40</v>
      </c>
      <c r="AF6" s="139">
        <v>0</v>
      </c>
      <c r="AG6" s="1195">
        <f ca="1">IF(AF6="",0,AE6-AF6)</f>
        <v>40</v>
      </c>
      <c r="AH6" s="139">
        <f>'数据-汇总表'!F19</f>
        <v>71189.150999999998</v>
      </c>
      <c r="AI6" s="185">
        <v>365</v>
      </c>
      <c r="AJ6" s="186"/>
      <c r="AK6" s="187">
        <v>1.4999999999999999E-2</v>
      </c>
      <c r="AL6" s="188">
        <v>1.5E-3</v>
      </c>
      <c r="AM6" s="2751">
        <v>0.01</v>
      </c>
      <c r="AN6" s="2246" t="s">
        <v>3088</v>
      </c>
      <c r="AO6" s="3091"/>
      <c r="AP6" s="1186">
        <f>ROUND(1-1/(1+H6)^F6,3)</f>
        <v>0.69299999999999995</v>
      </c>
      <c r="AQ6" s="3091"/>
      <c r="AR6" s="3091"/>
      <c r="AS6" s="3091"/>
      <c r="AT6" s="3091"/>
      <c r="AU6" s="3091"/>
      <c r="AV6" s="3091"/>
      <c r="AW6" s="3091"/>
      <c r="AX6" s="3091"/>
      <c r="AY6" s="3091"/>
      <c r="AZ6" s="3091"/>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8" customFormat="1" ht="14.25">
      <c r="A7" s="2181" t="str">
        <f>'数据-汇总表'!C20</f>
        <v>办公</v>
      </c>
      <c r="B7" s="2216" t="str">
        <f t="shared" ref="B7:B13" si="1">IF(A7=0,"","经营性")</f>
        <v>经营性</v>
      </c>
      <c r="C7" s="171" t="s">
        <v>1665</v>
      </c>
      <c r="D7" s="2187">
        <f>SUMIF(项目基本情况!D$15:I$15,C7,项目基本情况!D$18:I$18)</f>
        <v>50</v>
      </c>
      <c r="E7" s="2188">
        <f>IF(B7="","",SUMIF(项目基本情况!D$15:I$15,C7,项目基本情况!D$17:I$17))</f>
        <v>62724</v>
      </c>
      <c r="F7" s="172">
        <f>SUMIF(项目基本情况!D$15:I$15,C7,项目基本情况!D$19:I$19)</f>
        <v>50</v>
      </c>
      <c r="G7" s="173">
        <f t="shared" ref="G7:G11" si="2">IF(ISERROR(ROUND(POWER(1+H7,D7-F7)*(POWER(1+H7,F7)-1)/(POWER(1+H7,D7)-1),3)),0,ROUND(POWER(1+H7,D7-F7)*(POWER(1+H7,F7)-1)/(POWER(1+H7,D7)-1),3))</f>
        <v>1</v>
      </c>
      <c r="H7" s="2737">
        <v>0.03</v>
      </c>
      <c r="I7" s="2737">
        <v>3.5000000000000003E-2</v>
      </c>
      <c r="J7" s="174"/>
      <c r="K7" s="177">
        <f>SUMIF('数据-汇总表'!C$19:C$33,'数据-取费表'!A7,'数据-汇总表'!E$19:E$33)</f>
        <v>71189.150999999998</v>
      </c>
      <c r="L7" s="2738">
        <v>4200</v>
      </c>
      <c r="M7" s="175">
        <f t="shared" si="0"/>
        <v>29899</v>
      </c>
      <c r="N7" s="2739">
        <v>0</v>
      </c>
      <c r="O7" s="175">
        <f t="shared" ref="O7:O14" si="3">IF($N$5="成新度","——",ROUND(M7*N7,0))</f>
        <v>0</v>
      </c>
      <c r="P7" s="176">
        <f t="shared" ref="P7:P14" si="4">IF($N$5="成新度","——",M7-O7)</f>
        <v>29899</v>
      </c>
      <c r="Q7" s="2740">
        <v>0.25</v>
      </c>
      <c r="R7" s="177">
        <f>SUMIF('数据-汇总表'!C$19:C$33,A7,'数据-汇总表'!R$19:R$33)</f>
        <v>16179.35</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f>'不动产比较法-办'!C50</f>
        <v>3.2</v>
      </c>
      <c r="V7" s="179">
        <v>0</v>
      </c>
      <c r="W7" s="179">
        <v>0.05</v>
      </c>
      <c r="X7" s="2200"/>
      <c r="Y7" s="180">
        <f>Y6</f>
        <v>1</v>
      </c>
      <c r="Z7" s="181"/>
      <c r="AA7" s="174"/>
      <c r="AB7" s="174"/>
      <c r="AC7" s="2203"/>
      <c r="AD7" s="182"/>
      <c r="AE7" s="960">
        <f t="shared" ref="AE7:AE13" ca="1" si="6">IF(AN7="",0,SUMIF(INDIRECT("'"&amp;AN7&amp;"'"&amp;"!E:E"),$AE$5,INDIRECT("'"&amp;AN7&amp;"'"&amp;"!F:F")))</f>
        <v>50</v>
      </c>
      <c r="AF7" s="139">
        <v>0</v>
      </c>
      <c r="AG7" s="1195">
        <f t="shared" ref="AG7:AG13" ca="1" si="7">IF(AF7="",0,AE7-AF7)</f>
        <v>50</v>
      </c>
      <c r="AH7" s="139">
        <f>'数据-汇总表'!F20</f>
        <v>71189.150999999998</v>
      </c>
      <c r="AI7" s="185">
        <v>365</v>
      </c>
      <c r="AJ7" s="186"/>
      <c r="AK7" s="187">
        <v>5.0000000000000001E-3</v>
      </c>
      <c r="AL7" s="188">
        <v>5.0000000000000001E-4</v>
      </c>
      <c r="AM7" s="2244">
        <v>5.0000000000000001E-3</v>
      </c>
      <c r="AN7" s="2246" t="s">
        <v>3089</v>
      </c>
      <c r="AO7" s="3091"/>
      <c r="AP7" s="1186">
        <f t="shared" ref="AP7:AP13" si="8">ROUND(1-1/(1+H7)^F7,3)</f>
        <v>0.77200000000000002</v>
      </c>
      <c r="AQ7" s="3091"/>
      <c r="AR7" s="3091"/>
      <c r="AS7" s="3091"/>
      <c r="AT7" s="3091"/>
      <c r="AU7" s="3091"/>
      <c r="AV7" s="3091"/>
      <c r="AW7" s="3091"/>
      <c r="AX7" s="3091"/>
      <c r="AY7" s="3091"/>
      <c r="AZ7" s="3091"/>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8"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7"/>
      <c r="I8" s="2737"/>
      <c r="J8" s="174"/>
      <c r="K8" s="177">
        <f>SUMIF('数据-汇总表'!C$19:C$33,'数据-取费表'!A8,'数据-汇总表'!E$19:E$33)</f>
        <v>0</v>
      </c>
      <c r="L8" s="2738"/>
      <c r="M8" s="175">
        <f>ROUND(K8*L8/10000,0)</f>
        <v>0</v>
      </c>
      <c r="N8" s="2739"/>
      <c r="O8" s="175">
        <f t="shared" si="3"/>
        <v>0</v>
      </c>
      <c r="P8" s="176">
        <f t="shared" si="4"/>
        <v>0</v>
      </c>
      <c r="Q8" s="2740"/>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ca="1" si="6"/>
        <v>0</v>
      </c>
      <c r="AF8" s="139"/>
      <c r="AG8" s="1195">
        <f t="shared" si="7"/>
        <v>0</v>
      </c>
      <c r="AH8" s="139"/>
      <c r="AI8" s="185"/>
      <c r="AJ8" s="186"/>
      <c r="AK8" s="187"/>
      <c r="AL8" s="188"/>
      <c r="AM8" s="2244"/>
      <c r="AN8" s="2246"/>
      <c r="AO8" s="3091"/>
      <c r="AP8" s="1186">
        <f t="shared" si="8"/>
        <v>0</v>
      </c>
      <c r="AQ8" s="3091"/>
      <c r="AR8" s="3091"/>
      <c r="AS8" s="3091"/>
      <c r="AT8" s="3091"/>
      <c r="AU8" s="3091"/>
      <c r="AV8" s="3091"/>
      <c r="AW8" s="3091"/>
      <c r="AX8" s="3091"/>
      <c r="AY8" s="3091"/>
      <c r="AZ8" s="3091"/>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8"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6"/>
        <v>0</v>
      </c>
      <c r="AF9" s="139"/>
      <c r="AG9" s="1195">
        <f t="shared" si="7"/>
        <v>0</v>
      </c>
      <c r="AH9" s="139"/>
      <c r="AI9" s="185"/>
      <c r="AJ9" s="186"/>
      <c r="AK9" s="187"/>
      <c r="AL9" s="188"/>
      <c r="AM9" s="2244"/>
      <c r="AN9" s="2246"/>
      <c r="AO9" s="3091"/>
      <c r="AP9" s="1186">
        <f t="shared" si="8"/>
        <v>0</v>
      </c>
      <c r="AQ9" s="3091"/>
      <c r="AR9" s="3091"/>
      <c r="AS9" s="3091"/>
      <c r="AT9" s="3091"/>
      <c r="AU9" s="3091"/>
      <c r="AV9" s="3091"/>
      <c r="AW9" s="3091"/>
      <c r="AX9" s="3091"/>
      <c r="AY9" s="3091"/>
      <c r="AZ9" s="3091"/>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8"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5">
        <f t="shared" si="7"/>
        <v>0</v>
      </c>
      <c r="AH10" s="139"/>
      <c r="AI10" s="185"/>
      <c r="AJ10" s="186"/>
      <c r="AK10" s="187"/>
      <c r="AL10" s="188"/>
      <c r="AM10" s="2244"/>
      <c r="AN10" s="2246"/>
      <c r="AO10" s="3091"/>
      <c r="AP10" s="1186">
        <f t="shared" si="8"/>
        <v>0</v>
      </c>
      <c r="AQ10" s="3091"/>
      <c r="AR10" s="3091"/>
      <c r="AS10" s="3091"/>
      <c r="AT10" s="3091"/>
      <c r="AU10" s="3091"/>
      <c r="AV10" s="3091"/>
      <c r="AW10" s="3091"/>
      <c r="AX10" s="3091"/>
      <c r="AY10" s="3091"/>
      <c r="AZ10" s="3091"/>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8"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5">
        <f t="shared" si="7"/>
        <v>0</v>
      </c>
      <c r="AH11" s="139"/>
      <c r="AI11" s="185"/>
      <c r="AJ11" s="186"/>
      <c r="AK11" s="194"/>
      <c r="AL11" s="195"/>
      <c r="AM11" s="1731"/>
      <c r="AN11" s="2246"/>
      <c r="AO11" s="3091"/>
      <c r="AP11" s="1186">
        <f t="shared" si="8"/>
        <v>0</v>
      </c>
      <c r="AQ11" s="3091"/>
      <c r="AR11" s="3091"/>
      <c r="AS11" s="3091"/>
      <c r="AT11" s="3091"/>
      <c r="AU11" s="3091"/>
      <c r="AV11" s="3091"/>
      <c r="AW11" s="3091"/>
      <c r="AX11" s="3091"/>
      <c r="AY11" s="3091"/>
      <c r="AZ11" s="3091"/>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8"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5">
        <f t="shared" si="7"/>
        <v>0</v>
      </c>
      <c r="AH12" s="139"/>
      <c r="AI12" s="185"/>
      <c r="AJ12" s="186"/>
      <c r="AK12" s="194"/>
      <c r="AL12" s="195"/>
      <c r="AM12" s="1731"/>
      <c r="AN12" s="2246"/>
      <c r="AO12" s="3091"/>
      <c r="AP12" s="1186">
        <f t="shared" si="8"/>
        <v>0</v>
      </c>
      <c r="AQ12" s="3091"/>
      <c r="AR12" s="3091"/>
      <c r="AS12" s="3091"/>
      <c r="AT12" s="3091"/>
      <c r="AU12" s="3091"/>
      <c r="AV12" s="3091"/>
      <c r="AW12" s="3091"/>
      <c r="AX12" s="3091"/>
      <c r="AY12" s="3091"/>
      <c r="AZ12" s="3091"/>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8"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5">
        <f t="shared" si="7"/>
        <v>0</v>
      </c>
      <c r="AH13" s="139"/>
      <c r="AI13" s="185"/>
      <c r="AJ13" s="186"/>
      <c r="AK13" s="187"/>
      <c r="AL13" s="188"/>
      <c r="AM13" s="2244"/>
      <c r="AN13" s="2246"/>
      <c r="AO13" s="3091"/>
      <c r="AP13" s="1186">
        <f t="shared" si="8"/>
        <v>0</v>
      </c>
      <c r="AQ13" s="3091"/>
      <c r="AR13" s="3091"/>
      <c r="AS13" s="3091"/>
      <c r="AT13" s="3091"/>
      <c r="AU13" s="3091"/>
      <c r="AV13" s="3091"/>
      <c r="AW13" s="3091"/>
      <c r="AX13" s="3091"/>
      <c r="AY13" s="3091"/>
      <c r="AZ13" s="3091"/>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8" customFormat="1" ht="14.25">
      <c r="A14" s="2182" t="s">
        <v>2297</v>
      </c>
      <c r="B14" s="2185" t="s">
        <v>1667</v>
      </c>
      <c r="C14" s="2186" t="s">
        <v>2297</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2"/>
      <c r="V14" s="2199"/>
      <c r="W14" s="2199"/>
      <c r="X14" s="2200"/>
      <c r="Y14" s="2201"/>
      <c r="Z14" s="135"/>
      <c r="AA14" s="2202"/>
      <c r="AB14" s="2202"/>
      <c r="AC14" s="2203"/>
      <c r="AD14" s="2200"/>
      <c r="AE14" s="960"/>
      <c r="AF14" s="2175"/>
      <c r="AG14" s="1195"/>
      <c r="AH14" s="2175"/>
      <c r="AI14" s="1505"/>
      <c r="AJ14" s="1505"/>
      <c r="AK14" s="2204"/>
      <c r="AL14" s="2205"/>
      <c r="AM14" s="2206"/>
      <c r="AN14" s="3091"/>
      <c r="AO14" s="3091"/>
      <c r="AP14" s="3091"/>
      <c r="AQ14" s="3091"/>
      <c r="AR14" s="3091"/>
      <c r="AS14" s="3091"/>
      <c r="AT14" s="3091"/>
      <c r="AU14" s="3091"/>
      <c r="AV14" s="3091"/>
      <c r="AW14" s="3091"/>
      <c r="AX14" s="3091"/>
      <c r="AY14" s="3091"/>
      <c r="AZ14" s="3091"/>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8" customFormat="1" ht="27">
      <c r="A15" s="2191" t="s">
        <v>2299</v>
      </c>
      <c r="B15" s="2185" t="s">
        <v>1667</v>
      </c>
      <c r="C15" s="2186" t="s">
        <v>2298</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5"/>
      <c r="AH15" s="2175"/>
      <c r="AI15" s="1505"/>
      <c r="AJ15" s="1505"/>
      <c r="AK15" s="2204"/>
      <c r="AL15" s="2205"/>
      <c r="AM15" s="2206"/>
      <c r="AN15" s="3091"/>
      <c r="AO15" s="3091"/>
      <c r="AP15" s="3091"/>
      <c r="AQ15" s="3091"/>
      <c r="AR15" s="3091"/>
      <c r="AS15" s="3091"/>
      <c r="AT15" s="3091"/>
      <c r="AU15" s="3091"/>
      <c r="AV15" s="3091"/>
      <c r="AW15" s="3091"/>
      <c r="AX15" s="3091"/>
      <c r="AY15" s="3091"/>
      <c r="AZ15" s="3091"/>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8" customFormat="1" ht="15.75" thickBot="1">
      <c r="A16" s="196" t="s">
        <v>260</v>
      </c>
      <c r="B16" s="197"/>
      <c r="C16" s="198"/>
      <c r="D16" s="199"/>
      <c r="E16" s="197"/>
      <c r="F16" s="197"/>
      <c r="G16" s="200">
        <f>ROUND(SUMPRODUCT(G6:G13,K6:K13)/SUMPRODUCT((G6:G13&gt;0)*(K6:K13)),3)</f>
        <v>1</v>
      </c>
      <c r="H16" s="201">
        <f>ROUND(SUMPRODUCT(H6:H13,K6:K13)/SUMPRODUCT((H6:H13&gt;0)*(K6:K13)),3)</f>
        <v>0.03</v>
      </c>
      <c r="I16" s="202"/>
      <c r="J16" s="202"/>
      <c r="K16" s="203">
        <f>SUM(K6:K15)</f>
        <v>142378.302</v>
      </c>
      <c r="L16" s="204">
        <f>ROUND(M16*10000/SUM(K6:K14),0)</f>
        <v>4300</v>
      </c>
      <c r="M16" s="204">
        <f>SUM(M6:M14)</f>
        <v>61222</v>
      </c>
      <c r="N16" s="205">
        <f>ROUND(SUMPRODUCT(M6:M14,N6:N14)/M16,3)</f>
        <v>0</v>
      </c>
      <c r="O16" s="204">
        <f>SUM(O6:O14)</f>
        <v>0</v>
      </c>
      <c r="P16" s="204">
        <f>SUM(P6:P14)</f>
        <v>61222</v>
      </c>
      <c r="Q16" s="206">
        <f>ROUND(SUMPRODUCT(Q6:Q13,K6:K13)/SUMPRODUCT((Q6:Q13&gt;0)*(K6:K13)),2)</f>
        <v>0.28000000000000003</v>
      </c>
      <c r="R16" s="2190">
        <f>SUM(R6:R13)</f>
        <v>32358.7</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1"/>
      <c r="AO16" s="3091"/>
      <c r="AP16" s="1186">
        <f>ROUND(SUMPRODUCT(AP6:AP13,K6:K13)/SUMPRODUCT((AP6:AP13&gt;0)*(K6:K13)),3)</f>
        <v>0.73299999999999998</v>
      </c>
      <c r="AQ16" s="3091"/>
      <c r="AR16" s="3091"/>
      <c r="AS16" s="3091"/>
      <c r="AT16" s="3091"/>
      <c r="AU16" s="3091"/>
      <c r="AV16" s="3091"/>
      <c r="AW16" s="3091"/>
      <c r="AX16" s="3091"/>
      <c r="AY16" s="3091"/>
      <c r="AZ16" s="3091"/>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6"/>
      <c r="B17" s="3088"/>
      <c r="C17" s="3088"/>
      <c r="D17" s="3089"/>
      <c r="E17" s="3089"/>
      <c r="F17" s="3088"/>
      <c r="G17" s="3088"/>
      <c r="H17" s="3088"/>
      <c r="I17" s="3088"/>
      <c r="J17" s="3088"/>
      <c r="K17" s="3090"/>
      <c r="L17" s="3090"/>
      <c r="M17" s="3088"/>
      <c r="N17" s="3088"/>
      <c r="O17" s="3088"/>
      <c r="P17" s="3088"/>
      <c r="Q17" s="3088"/>
      <c r="R17" s="3088"/>
      <c r="S17" s="3088"/>
      <c r="T17" s="3088"/>
      <c r="U17" s="3088"/>
      <c r="V17" s="3088"/>
      <c r="W17" s="3088"/>
      <c r="X17" s="3088"/>
      <c r="Y17" s="3088"/>
      <c r="Z17" s="3088"/>
      <c r="AA17" s="3088"/>
      <c r="AB17" s="3088"/>
      <c r="AC17" s="3088"/>
      <c r="AD17" s="3088"/>
      <c r="AE17" s="3088"/>
      <c r="AF17" s="3088"/>
      <c r="AG17" s="3088"/>
      <c r="AH17" s="3088"/>
      <c r="AI17" s="3088"/>
      <c r="AJ17" s="3088"/>
      <c r="AK17" s="3088"/>
      <c r="AL17" s="3088"/>
      <c r="AM17" s="3088"/>
      <c r="AN17" s="3088"/>
      <c r="AO17" s="3088"/>
      <c r="AP17" s="3088"/>
      <c r="AQ17" s="3088"/>
      <c r="AR17" s="3088"/>
      <c r="AS17" s="3088"/>
      <c r="AT17" s="3088"/>
      <c r="AU17" s="3088"/>
      <c r="AV17" s="3088"/>
      <c r="AW17" s="3088"/>
      <c r="AX17" s="3088"/>
      <c r="AY17" s="3088"/>
      <c r="AZ17" s="3088"/>
    </row>
    <row r="18" spans="1:83" ht="15" thickBot="1">
      <c r="A18" s="148" t="s">
        <v>261</v>
      </c>
      <c r="B18" s="3091"/>
      <c r="C18" s="3091"/>
      <c r="D18" s="3092"/>
      <c r="E18" s="3091"/>
      <c r="F18" s="3091"/>
      <c r="G18" s="3091"/>
      <c r="H18" s="3091"/>
      <c r="I18" s="3091"/>
      <c r="J18" s="3091"/>
      <c r="K18" s="3090"/>
      <c r="L18" s="3090"/>
      <c r="M18" s="3088"/>
      <c r="N18" s="3088"/>
      <c r="O18" s="3088"/>
      <c r="P18" s="3088"/>
      <c r="Q18" s="3088"/>
      <c r="R18" s="3088"/>
      <c r="S18" s="3088"/>
      <c r="T18" s="3088"/>
      <c r="U18" s="3088"/>
      <c r="V18" s="3088"/>
      <c r="W18" s="3088"/>
      <c r="X18" s="3088"/>
      <c r="Y18" s="3088"/>
      <c r="Z18" s="3088"/>
      <c r="AA18" s="3088"/>
      <c r="AB18" s="3088"/>
      <c r="AC18" s="3088"/>
      <c r="AD18" s="3088"/>
      <c r="AE18" s="3088"/>
      <c r="AF18" s="3088"/>
      <c r="AG18" s="3088"/>
      <c r="AH18" s="3088"/>
      <c r="AI18" s="3088"/>
      <c r="AJ18" s="3088"/>
      <c r="AK18" s="3088"/>
      <c r="AL18" s="3088"/>
      <c r="AM18" s="3088"/>
      <c r="AN18" s="3088"/>
      <c r="AO18" s="3088"/>
      <c r="AP18" s="3088"/>
      <c r="AQ18" s="3088"/>
      <c r="AR18" s="3088"/>
      <c r="AS18" s="3088"/>
      <c r="AT18" s="3088"/>
      <c r="AU18" s="3088"/>
      <c r="AV18" s="3088"/>
      <c r="AW18" s="3088"/>
      <c r="AX18" s="3088"/>
      <c r="AY18" s="3088"/>
      <c r="AZ18" s="3088"/>
    </row>
    <row r="19" spans="1:83" ht="14.25">
      <c r="A19" s="215" t="s">
        <v>262</v>
      </c>
      <c r="B19" s="216">
        <v>0</v>
      </c>
      <c r="C19" s="3103" t="s">
        <v>2976</v>
      </c>
      <c r="D19" s="3092"/>
      <c r="E19" s="3091"/>
      <c r="F19" s="3091"/>
      <c r="G19" s="3091"/>
      <c r="H19" s="3091"/>
      <c r="I19" s="3091"/>
      <c r="J19" s="3091"/>
      <c r="K19" s="3090"/>
      <c r="L19" s="3090"/>
      <c r="M19" s="3088"/>
      <c r="N19" s="3088"/>
      <c r="O19" s="3088"/>
      <c r="P19" s="3088"/>
      <c r="Q19" s="3088"/>
      <c r="R19" s="3088"/>
      <c r="S19" s="3088"/>
      <c r="T19" s="3088"/>
      <c r="U19" s="3088"/>
      <c r="V19" s="3088"/>
      <c r="W19" s="3088"/>
      <c r="X19" s="3088"/>
      <c r="Y19" s="3088"/>
      <c r="Z19" s="3088"/>
      <c r="AA19" s="3088"/>
      <c r="AB19" s="3088"/>
      <c r="AC19" s="3088"/>
      <c r="AD19" s="3088"/>
      <c r="AE19" s="3088"/>
      <c r="AF19" s="3088"/>
      <c r="AG19" s="3088"/>
      <c r="AH19" s="3088"/>
      <c r="AI19" s="3088"/>
      <c r="AJ19" s="3088"/>
      <c r="AK19" s="3088"/>
      <c r="AL19" s="3088"/>
      <c r="AM19" s="3088"/>
      <c r="AN19" s="3088"/>
      <c r="AO19" s="3088"/>
      <c r="AP19" s="3088"/>
      <c r="AQ19" s="3088"/>
      <c r="AR19" s="3088"/>
      <c r="AS19" s="3088"/>
      <c r="AT19" s="3088"/>
      <c r="AU19" s="3088"/>
      <c r="AV19" s="3088"/>
      <c r="AW19" s="3088"/>
      <c r="AX19" s="3088"/>
      <c r="AY19" s="3088"/>
      <c r="AZ19" s="3088"/>
    </row>
    <row r="20" spans="1:83" ht="14.25">
      <c r="A20" s="217" t="s">
        <v>263</v>
      </c>
      <c r="B20" s="218">
        <v>2</v>
      </c>
      <c r="C20" s="3103" t="s">
        <v>2318</v>
      </c>
      <c r="D20" s="3092"/>
      <c r="E20" s="3091"/>
      <c r="F20" s="3091"/>
      <c r="G20" s="3091"/>
      <c r="H20" s="3091"/>
      <c r="I20" s="3091"/>
      <c r="J20" s="3091"/>
      <c r="K20" s="3090"/>
      <c r="L20" s="3090"/>
      <c r="M20" s="3088"/>
      <c r="N20" s="3088"/>
      <c r="O20" s="3088"/>
      <c r="P20" s="3088"/>
      <c r="Q20" s="3088"/>
      <c r="R20" s="3088"/>
      <c r="S20" s="3088"/>
      <c r="T20" s="3088"/>
      <c r="U20" s="3088"/>
      <c r="V20" s="3088"/>
      <c r="W20" s="3088"/>
      <c r="X20" s="3088"/>
      <c r="Y20" s="3088"/>
      <c r="Z20" s="3088"/>
      <c r="AA20" s="3088"/>
      <c r="AB20" s="3088"/>
      <c r="AC20" s="3088"/>
      <c r="AD20" s="3088"/>
      <c r="AE20" s="3088"/>
      <c r="AF20" s="3088"/>
      <c r="AG20" s="3088"/>
      <c r="AH20" s="3088"/>
      <c r="AI20" s="3088"/>
      <c r="AJ20" s="3088"/>
      <c r="AK20" s="3088"/>
      <c r="AL20" s="3088"/>
      <c r="AM20" s="3088"/>
      <c r="AN20" s="3088"/>
      <c r="AO20" s="3088"/>
      <c r="AP20" s="3088"/>
      <c r="AQ20" s="3088"/>
      <c r="AR20" s="3088"/>
      <c r="AS20" s="3088"/>
      <c r="AT20" s="3088"/>
      <c r="AU20" s="3088"/>
      <c r="AV20" s="3088"/>
      <c r="AW20" s="3088"/>
      <c r="AX20" s="3088"/>
      <c r="AY20" s="3088"/>
      <c r="AZ20" s="3088"/>
    </row>
    <row r="21" spans="1:83" ht="14.25">
      <c r="A21" s="219" t="s">
        <v>264</v>
      </c>
      <c r="B21" s="218">
        <v>0</v>
      </c>
      <c r="C21" s="3091"/>
      <c r="D21" s="3092"/>
      <c r="E21" s="3091"/>
      <c r="F21" s="3091"/>
      <c r="G21" s="3091"/>
      <c r="H21" s="3091"/>
      <c r="I21" s="3091"/>
      <c r="J21" s="3091"/>
      <c r="K21" s="3090"/>
      <c r="L21" s="3090"/>
      <c r="M21" s="3088"/>
      <c r="N21" s="3088"/>
      <c r="O21" s="3088"/>
      <c r="P21" s="3088"/>
      <c r="Q21" s="3088"/>
      <c r="R21" s="3088"/>
      <c r="S21" s="3088"/>
      <c r="T21" s="3088"/>
      <c r="U21" s="3088"/>
      <c r="V21" s="3088"/>
      <c r="W21" s="3088"/>
      <c r="X21" s="3088"/>
      <c r="Y21" s="3088"/>
      <c r="Z21" s="3088"/>
      <c r="AA21" s="3088"/>
      <c r="AB21" s="3088"/>
      <c r="AC21" s="3088"/>
      <c r="AD21" s="3088"/>
      <c r="AE21" s="3088"/>
      <c r="AF21" s="3088"/>
      <c r="AG21" s="3088"/>
      <c r="AH21" s="3088"/>
      <c r="AI21" s="3088"/>
      <c r="AJ21" s="3088"/>
      <c r="AK21" s="3088"/>
      <c r="AL21" s="3088"/>
      <c r="AM21" s="3088"/>
      <c r="AN21" s="3088"/>
      <c r="AO21" s="3088"/>
      <c r="AP21" s="3088"/>
      <c r="AQ21" s="3088"/>
      <c r="AR21" s="3088"/>
      <c r="AS21" s="3088"/>
      <c r="AT21" s="3088"/>
      <c r="AU21" s="3088"/>
      <c r="AV21" s="3088"/>
      <c r="AW21" s="3088"/>
      <c r="AX21" s="3088"/>
      <c r="AY21" s="3088"/>
      <c r="AZ21" s="3088"/>
    </row>
    <row r="22" spans="1:83" ht="14.25">
      <c r="A22" s="217" t="s">
        <v>265</v>
      </c>
      <c r="B22" s="220">
        <f>B19+B20</f>
        <v>2</v>
      </c>
      <c r="C22" s="3091"/>
      <c r="D22" s="3092"/>
      <c r="E22" s="3091"/>
      <c r="F22" s="3091"/>
      <c r="G22" s="3091"/>
      <c r="H22" s="3091"/>
      <c r="I22" s="3091"/>
      <c r="J22" s="3091"/>
      <c r="K22" s="3090"/>
      <c r="L22" s="3090"/>
      <c r="M22" s="3088"/>
      <c r="N22" s="3088"/>
      <c r="O22" s="3088"/>
      <c r="P22" s="3088"/>
      <c r="Q22" s="3088"/>
      <c r="R22" s="3088"/>
      <c r="S22" s="3088"/>
      <c r="T22" s="3088"/>
      <c r="U22" s="3088"/>
      <c r="V22" s="3088"/>
      <c r="W22" s="3088"/>
      <c r="X22" s="3088"/>
      <c r="Y22" s="3088"/>
      <c r="Z22" s="3088"/>
      <c r="AA22" s="3088"/>
      <c r="AB22" s="3088"/>
      <c r="AC22" s="3088"/>
      <c r="AD22" s="3088"/>
      <c r="AE22" s="3088"/>
      <c r="AF22" s="3088"/>
      <c r="AG22" s="3088"/>
      <c r="AH22" s="3088"/>
      <c r="AI22" s="3088"/>
      <c r="AJ22" s="3088"/>
      <c r="AK22" s="3088"/>
      <c r="AL22" s="3088"/>
      <c r="AM22" s="3088"/>
      <c r="AN22" s="3088"/>
      <c r="AO22" s="3088"/>
      <c r="AP22" s="3088"/>
      <c r="AQ22" s="3088"/>
      <c r="AR22" s="3088"/>
      <c r="AS22" s="3088"/>
      <c r="AT22" s="3088"/>
      <c r="AU22" s="3088"/>
      <c r="AV22" s="3088"/>
      <c r="AW22" s="3088"/>
      <c r="AX22" s="3088"/>
      <c r="AY22" s="3088"/>
      <c r="AZ22" s="3088"/>
    </row>
    <row r="23" spans="1:83" ht="14.25">
      <c r="A23" s="219" t="s">
        <v>266</v>
      </c>
      <c r="B23" s="220">
        <f>B19+B21</f>
        <v>0</v>
      </c>
      <c r="C23" s="3091"/>
      <c r="D23" s="3092"/>
      <c r="E23" s="3091"/>
      <c r="F23" s="3091"/>
      <c r="G23" s="3091"/>
      <c r="H23" s="3091"/>
      <c r="I23" s="3091"/>
      <c r="J23" s="3091"/>
      <c r="K23" s="3090"/>
      <c r="L23" s="3090"/>
      <c r="M23" s="3088"/>
      <c r="N23" s="3088"/>
      <c r="O23" s="3088"/>
      <c r="P23" s="3088"/>
      <c r="Q23" s="3088"/>
      <c r="R23" s="3088"/>
      <c r="S23" s="3088"/>
      <c r="T23" s="3088"/>
      <c r="U23" s="3088"/>
      <c r="V23" s="3088"/>
      <c r="W23" s="3088"/>
      <c r="X23" s="3088"/>
      <c r="Y23" s="3088"/>
      <c r="Z23" s="3088"/>
      <c r="AA23" s="3088"/>
      <c r="AB23" s="3088"/>
      <c r="AC23" s="3088"/>
      <c r="AD23" s="3088"/>
      <c r="AE23" s="3088"/>
      <c r="AF23" s="3088"/>
      <c r="AG23" s="3088"/>
      <c r="AH23" s="3088"/>
      <c r="AI23" s="3088"/>
      <c r="AJ23" s="3088"/>
      <c r="AK23" s="3088"/>
      <c r="AL23" s="3088"/>
      <c r="AM23" s="3088"/>
      <c r="AN23" s="3088"/>
      <c r="AO23" s="3088"/>
      <c r="AP23" s="3088"/>
      <c r="AQ23" s="3088"/>
      <c r="AR23" s="3088"/>
      <c r="AS23" s="3088"/>
      <c r="AT23" s="3088"/>
      <c r="AU23" s="3088"/>
      <c r="AV23" s="3088"/>
      <c r="AW23" s="3088"/>
      <c r="AX23" s="3088"/>
      <c r="AY23" s="3088"/>
      <c r="AZ23" s="3088"/>
    </row>
    <row r="24" spans="1:83" ht="15" thickBot="1">
      <c r="A24" s="221" t="s">
        <v>267</v>
      </c>
      <c r="B24" s="222">
        <f>B20-B21</f>
        <v>2</v>
      </c>
      <c r="C24" s="3091"/>
      <c r="D24" s="3092"/>
      <c r="E24" s="3091"/>
      <c r="F24" s="3091"/>
      <c r="G24" s="3091"/>
      <c r="H24" s="3091"/>
      <c r="I24" s="3091"/>
      <c r="J24" s="3091"/>
      <c r="K24" s="3090"/>
      <c r="L24" s="3090"/>
      <c r="M24" s="3088"/>
      <c r="N24" s="3088"/>
      <c r="O24" s="3088"/>
      <c r="P24" s="3088"/>
      <c r="Q24" s="3088"/>
      <c r="R24" s="3088"/>
      <c r="S24" s="3088"/>
      <c r="T24" s="3088"/>
      <c r="U24" s="3088"/>
      <c r="V24" s="3088"/>
      <c r="W24" s="3088"/>
      <c r="X24" s="3088"/>
      <c r="Y24" s="3088"/>
      <c r="Z24" s="3088"/>
      <c r="AA24" s="3088"/>
      <c r="AB24" s="3088"/>
      <c r="AC24" s="3088"/>
      <c r="AD24" s="3088"/>
      <c r="AE24" s="3088"/>
      <c r="AF24" s="3088"/>
      <c r="AG24" s="3088"/>
      <c r="AH24" s="3088"/>
      <c r="AI24" s="3088"/>
      <c r="AJ24" s="3088"/>
      <c r="AK24" s="3088"/>
      <c r="AL24" s="3088"/>
      <c r="AM24" s="3088"/>
      <c r="AN24" s="3088"/>
      <c r="AO24" s="3088"/>
      <c r="AP24" s="3088"/>
      <c r="AQ24" s="3088"/>
      <c r="AR24" s="3088"/>
      <c r="AS24" s="3088"/>
      <c r="AT24" s="3088"/>
      <c r="AU24" s="3088"/>
      <c r="AV24" s="3088"/>
      <c r="AW24" s="3088"/>
      <c r="AX24" s="3088"/>
      <c r="AY24" s="3088"/>
      <c r="AZ24" s="3088"/>
    </row>
    <row r="25" spans="1:83" ht="15" thickBot="1">
      <c r="A25" s="1189"/>
      <c r="B25" s="1186"/>
      <c r="C25" s="3091"/>
      <c r="D25" s="3092"/>
      <c r="E25" s="3091"/>
      <c r="F25" s="3091"/>
      <c r="G25" s="3091"/>
      <c r="H25" s="3091"/>
      <c r="I25" s="3091"/>
      <c r="J25" s="3091"/>
      <c r="K25" s="3090"/>
      <c r="L25" s="3090"/>
      <c r="M25" s="3088"/>
      <c r="N25" s="3088"/>
      <c r="O25" s="3088"/>
      <c r="P25" s="3088"/>
      <c r="Q25" s="3088"/>
      <c r="R25" s="3088"/>
      <c r="S25" s="3088"/>
      <c r="T25" s="3088"/>
      <c r="U25" s="3088"/>
      <c r="V25" s="3088"/>
      <c r="W25" s="3088"/>
      <c r="X25" s="3088"/>
      <c r="Y25" s="3088"/>
      <c r="Z25" s="3088"/>
      <c r="AA25" s="3088"/>
      <c r="AB25" s="3088"/>
      <c r="AC25" s="3088"/>
      <c r="AD25" s="3088"/>
      <c r="AE25" s="3088"/>
      <c r="AF25" s="3088"/>
      <c r="AG25" s="3088"/>
      <c r="AH25" s="3088"/>
      <c r="AI25" s="3088"/>
      <c r="AJ25" s="3088"/>
      <c r="AK25" s="3088"/>
      <c r="AL25" s="3088"/>
      <c r="AM25" s="3088"/>
      <c r="AN25" s="3088"/>
      <c r="AO25" s="3088"/>
      <c r="AP25" s="3088"/>
      <c r="AQ25" s="3088"/>
      <c r="AR25" s="3088"/>
      <c r="AS25" s="3088"/>
      <c r="AT25" s="3088"/>
      <c r="AU25" s="3088"/>
      <c r="AV25" s="3088"/>
      <c r="AW25" s="3088"/>
      <c r="AX25" s="3088"/>
      <c r="AY25" s="3088"/>
      <c r="AZ25" s="3088"/>
    </row>
    <row r="26" spans="1:83" ht="15" thickBot="1">
      <c r="A26" s="147" t="s">
        <v>268</v>
      </c>
      <c r="B26" s="223" t="s">
        <v>269</v>
      </c>
      <c r="C26" s="3093" t="s">
        <v>270</v>
      </c>
      <c r="D26" s="3092"/>
      <c r="E26" s="3091"/>
      <c r="F26" s="3091"/>
      <c r="G26" s="3091"/>
      <c r="H26" s="3091"/>
      <c r="I26" s="3091"/>
      <c r="J26" s="3091"/>
      <c r="K26" s="3090"/>
      <c r="L26" s="3090"/>
      <c r="M26" s="3088"/>
      <c r="N26" s="3088"/>
      <c r="O26" s="3088"/>
      <c r="P26" s="3088"/>
      <c r="Q26" s="3088"/>
      <c r="R26" s="3088"/>
      <c r="S26" s="3088"/>
      <c r="T26" s="3088"/>
      <c r="U26" s="3088"/>
      <c r="V26" s="3088"/>
      <c r="W26" s="3088"/>
      <c r="X26" s="3088"/>
      <c r="Y26" s="3088"/>
      <c r="Z26" s="3088"/>
      <c r="AA26" s="3088"/>
      <c r="AB26" s="3088"/>
      <c r="AC26" s="3088"/>
      <c r="AD26" s="3088"/>
      <c r="AE26" s="3088"/>
      <c r="AF26" s="3088"/>
      <c r="AG26" s="3088"/>
      <c r="AH26" s="3088"/>
      <c r="AI26" s="3088"/>
      <c r="AJ26" s="3088"/>
      <c r="AK26" s="3088"/>
      <c r="AL26" s="3088"/>
      <c r="AM26" s="3088"/>
      <c r="AN26" s="3088"/>
      <c r="AO26" s="3088"/>
      <c r="AP26" s="3088"/>
      <c r="AQ26" s="3088"/>
      <c r="AR26" s="3088"/>
      <c r="AS26" s="3088"/>
      <c r="AT26" s="3088"/>
      <c r="AU26" s="3088"/>
      <c r="AV26" s="3088"/>
      <c r="AW26" s="3088"/>
      <c r="AX26" s="3088"/>
      <c r="AY26" s="3088"/>
      <c r="AZ26" s="3088"/>
    </row>
    <row r="27" spans="1:83" s="1197" customFormat="1" ht="27.75">
      <c r="A27" s="224" t="s">
        <v>2320</v>
      </c>
      <c r="B27" s="225">
        <v>170</v>
      </c>
      <c r="C27" s="3104" t="s">
        <v>2977</v>
      </c>
      <c r="D27" s="3095"/>
      <c r="E27" s="3096"/>
      <c r="F27" s="3096"/>
      <c r="G27" s="3091"/>
      <c r="H27" s="3091"/>
      <c r="I27" s="3091"/>
      <c r="J27" s="3091"/>
      <c r="K27" s="3090"/>
      <c r="L27" s="3090"/>
      <c r="M27" s="3088"/>
      <c r="N27" s="3088"/>
      <c r="O27" s="3088"/>
      <c r="P27" s="3088"/>
      <c r="Q27" s="3088"/>
      <c r="R27" s="3088"/>
      <c r="S27" s="3088"/>
      <c r="T27" s="3088"/>
      <c r="U27" s="3088"/>
      <c r="V27" s="3088"/>
      <c r="W27" s="3088"/>
      <c r="X27" s="3088"/>
      <c r="Y27" s="3088"/>
      <c r="Z27" s="3088"/>
      <c r="AA27" s="3088"/>
      <c r="AB27" s="3088"/>
      <c r="AC27" s="3088"/>
      <c r="AD27" s="3088"/>
      <c r="AE27" s="3088"/>
      <c r="AF27" s="3088"/>
      <c r="AG27" s="3088"/>
      <c r="AH27" s="3088"/>
      <c r="AI27" s="3088"/>
      <c r="AJ27" s="3088"/>
      <c r="AK27" s="3088"/>
      <c r="AL27" s="3088"/>
      <c r="AM27" s="3088"/>
      <c r="AN27" s="3088"/>
      <c r="AO27" s="3088"/>
      <c r="AP27" s="3088"/>
      <c r="AQ27" s="3088"/>
      <c r="AR27" s="3088"/>
      <c r="AS27" s="3088"/>
      <c r="AT27" s="3088"/>
      <c r="AU27" s="3088"/>
      <c r="AV27" s="3088"/>
      <c r="AW27" s="3088"/>
      <c r="AX27" s="3088"/>
      <c r="AY27" s="3088"/>
      <c r="AZ27" s="3088"/>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7" customFormat="1" ht="27.75">
      <c r="A28" s="226" t="s">
        <v>2321</v>
      </c>
      <c r="B28" s="227">
        <v>200</v>
      </c>
      <c r="C28" s="3097"/>
      <c r="D28" s="3095"/>
      <c r="E28" s="3096"/>
      <c r="F28" s="3096"/>
      <c r="G28" s="3091"/>
      <c r="H28" s="3091"/>
      <c r="I28" s="3091"/>
      <c r="J28" s="3091"/>
      <c r="K28" s="3090"/>
      <c r="L28" s="3090"/>
      <c r="M28" s="3088"/>
      <c r="N28" s="3088"/>
      <c r="O28" s="3088"/>
      <c r="P28" s="3088"/>
      <c r="Q28" s="3088"/>
      <c r="R28" s="3088"/>
      <c r="S28" s="3088"/>
      <c r="T28" s="3088"/>
      <c r="U28" s="3088"/>
      <c r="V28" s="3088"/>
      <c r="W28" s="3088"/>
      <c r="X28" s="3088"/>
      <c r="Y28" s="3088"/>
      <c r="Z28" s="3088"/>
      <c r="AA28" s="3088"/>
      <c r="AB28" s="3088"/>
      <c r="AC28" s="3088"/>
      <c r="AD28" s="3088"/>
      <c r="AE28" s="3088"/>
      <c r="AF28" s="3088"/>
      <c r="AG28" s="3088"/>
      <c r="AH28" s="3088"/>
      <c r="AI28" s="3088"/>
      <c r="AJ28" s="3088"/>
      <c r="AK28" s="3088"/>
      <c r="AL28" s="3088"/>
      <c r="AM28" s="3088"/>
      <c r="AN28" s="3088"/>
      <c r="AO28" s="3088"/>
      <c r="AP28" s="3088"/>
      <c r="AQ28" s="3088"/>
      <c r="AR28" s="3088"/>
      <c r="AS28" s="3088"/>
      <c r="AT28" s="3088"/>
      <c r="AU28" s="3088"/>
      <c r="AV28" s="3088"/>
      <c r="AW28" s="3088"/>
      <c r="AX28" s="3088"/>
      <c r="AY28" s="3088"/>
      <c r="AZ28" s="3088"/>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7" customFormat="1" ht="28.5" thickBot="1">
      <c r="A29" s="229" t="s">
        <v>2319</v>
      </c>
      <c r="B29" s="230"/>
      <c r="C29" s="3105" t="s">
        <v>2322</v>
      </c>
      <c r="D29" s="3095"/>
      <c r="E29" s="3096"/>
      <c r="F29" s="3096"/>
      <c r="G29" s="3091"/>
      <c r="H29" s="3091"/>
      <c r="I29" s="3091"/>
      <c r="J29" s="3091"/>
      <c r="K29" s="3090"/>
      <c r="L29" s="3090"/>
      <c r="M29" s="3088"/>
      <c r="N29" s="3088"/>
      <c r="O29" s="3088"/>
      <c r="P29" s="3088"/>
      <c r="Q29" s="3088"/>
      <c r="R29" s="3088"/>
      <c r="S29" s="3088"/>
      <c r="T29" s="3088"/>
      <c r="U29" s="3088"/>
      <c r="V29" s="3088"/>
      <c r="W29" s="3088"/>
      <c r="X29" s="3088"/>
      <c r="Y29" s="3088"/>
      <c r="Z29" s="3088"/>
      <c r="AA29" s="3088"/>
      <c r="AB29" s="3088"/>
      <c r="AC29" s="3088"/>
      <c r="AD29" s="3088"/>
      <c r="AE29" s="3088"/>
      <c r="AF29" s="3088"/>
      <c r="AG29" s="3088"/>
      <c r="AH29" s="3088"/>
      <c r="AI29" s="3088"/>
      <c r="AJ29" s="3088"/>
      <c r="AK29" s="3088"/>
      <c r="AL29" s="3088"/>
      <c r="AM29" s="3088"/>
      <c r="AN29" s="3088"/>
      <c r="AO29" s="3088"/>
      <c r="AP29" s="3088"/>
      <c r="AQ29" s="3088"/>
      <c r="AR29" s="3088"/>
      <c r="AS29" s="3088"/>
      <c r="AT29" s="3088"/>
      <c r="AU29" s="3088"/>
      <c r="AV29" s="3088"/>
      <c r="AW29" s="3088"/>
      <c r="AX29" s="3088"/>
      <c r="AY29" s="3088"/>
      <c r="AZ29" s="3088"/>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7" customFormat="1" ht="27">
      <c r="A30" s="233" t="s">
        <v>271</v>
      </c>
      <c r="B30" s="966"/>
      <c r="C30" s="3097"/>
      <c r="D30" s="3095"/>
      <c r="E30" s="3096"/>
      <c r="F30" s="3096"/>
      <c r="G30" s="3091"/>
      <c r="H30" s="3091"/>
      <c r="I30" s="3091"/>
      <c r="J30" s="3091"/>
      <c r="K30" s="3090"/>
      <c r="L30" s="3090"/>
      <c r="M30" s="3088"/>
      <c r="N30" s="3088"/>
      <c r="O30" s="3088"/>
      <c r="P30" s="3088"/>
      <c r="Q30" s="3088"/>
      <c r="R30" s="3088"/>
      <c r="S30" s="3088"/>
      <c r="T30" s="3088"/>
      <c r="U30" s="3088"/>
      <c r="V30" s="3088"/>
      <c r="W30" s="3088"/>
      <c r="X30" s="3088"/>
      <c r="Y30" s="3088"/>
      <c r="Z30" s="3088"/>
      <c r="AA30" s="3088"/>
      <c r="AB30" s="3088"/>
      <c r="AC30" s="3088"/>
      <c r="AD30" s="3088"/>
      <c r="AE30" s="3088"/>
      <c r="AF30" s="3088"/>
      <c r="AG30" s="3088"/>
      <c r="AH30" s="3088"/>
      <c r="AI30" s="3088"/>
      <c r="AJ30" s="3088"/>
      <c r="AK30" s="3088"/>
      <c r="AL30" s="3088"/>
      <c r="AM30" s="3088"/>
      <c r="AN30" s="3088"/>
      <c r="AO30" s="3088"/>
      <c r="AP30" s="3088"/>
      <c r="AQ30" s="3088"/>
      <c r="AR30" s="3088"/>
      <c r="AS30" s="3088"/>
      <c r="AT30" s="3088"/>
      <c r="AU30" s="3088"/>
      <c r="AV30" s="3088"/>
      <c r="AW30" s="3088"/>
      <c r="AX30" s="3088"/>
      <c r="AY30" s="3088"/>
      <c r="AZ30" s="3088"/>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7" customFormat="1" ht="27">
      <c r="A31" s="226" t="s">
        <v>272</v>
      </c>
      <c r="B31" s="228">
        <f>B30-B32</f>
        <v>-20</v>
      </c>
      <c r="C31" s="3094"/>
      <c r="D31" s="3095"/>
      <c r="E31" s="3096"/>
      <c r="F31" s="3096"/>
      <c r="G31" s="3091"/>
      <c r="H31" s="3091"/>
      <c r="I31" s="3091"/>
      <c r="J31" s="3091"/>
      <c r="K31" s="3090"/>
      <c r="L31" s="3090"/>
      <c r="M31" s="3088"/>
      <c r="N31" s="3088"/>
      <c r="O31" s="3088"/>
      <c r="P31" s="3088"/>
      <c r="Q31" s="3088"/>
      <c r="R31" s="3088"/>
      <c r="S31" s="3088"/>
      <c r="T31" s="3088"/>
      <c r="U31" s="3088"/>
      <c r="V31" s="3088"/>
      <c r="W31" s="3088"/>
      <c r="X31" s="3088"/>
      <c r="Y31" s="3088"/>
      <c r="Z31" s="3088"/>
      <c r="AA31" s="3088"/>
      <c r="AB31" s="3088"/>
      <c r="AC31" s="3088"/>
      <c r="AD31" s="3088"/>
      <c r="AE31" s="3088"/>
      <c r="AF31" s="3088"/>
      <c r="AG31" s="3088"/>
      <c r="AH31" s="3088"/>
      <c r="AI31" s="3088"/>
      <c r="AJ31" s="3088"/>
      <c r="AK31" s="3088"/>
      <c r="AL31" s="3088"/>
      <c r="AM31" s="3088"/>
      <c r="AN31" s="3088"/>
      <c r="AO31" s="3088"/>
      <c r="AP31" s="3088"/>
      <c r="AQ31" s="3088"/>
      <c r="AR31" s="3088"/>
      <c r="AS31" s="3088"/>
      <c r="AT31" s="3088"/>
      <c r="AU31" s="3088"/>
      <c r="AV31" s="3088"/>
      <c r="AW31" s="3088"/>
      <c r="AX31" s="3088"/>
      <c r="AY31" s="3088"/>
      <c r="AZ31" s="3088"/>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7" customFormat="1" ht="27.75" thickBot="1">
      <c r="A32" s="235" t="s">
        <v>273</v>
      </c>
      <c r="B32" s="1328">
        <v>20</v>
      </c>
      <c r="C32" s="3097"/>
      <c r="D32" s="3092"/>
      <c r="E32" s="3091"/>
      <c r="F32" s="3091"/>
      <c r="G32" s="3091"/>
      <c r="H32" s="3091"/>
      <c r="I32" s="3091"/>
      <c r="J32" s="3091"/>
      <c r="K32" s="3090"/>
      <c r="L32" s="3090"/>
      <c r="M32" s="3088"/>
      <c r="N32" s="3088"/>
      <c r="O32" s="3088"/>
      <c r="P32" s="3088"/>
      <c r="Q32" s="3088"/>
      <c r="R32" s="3088"/>
      <c r="S32" s="3088"/>
      <c r="T32" s="3088"/>
      <c r="U32" s="3088"/>
      <c r="V32" s="3088"/>
      <c r="W32" s="3088"/>
      <c r="X32" s="3088"/>
      <c r="Y32" s="3088"/>
      <c r="Z32" s="3088"/>
      <c r="AA32" s="3088"/>
      <c r="AB32" s="3088"/>
      <c r="AC32" s="3088"/>
      <c r="AD32" s="3088"/>
      <c r="AE32" s="3088"/>
      <c r="AF32" s="3088"/>
      <c r="AG32" s="3088"/>
      <c r="AH32" s="3088"/>
      <c r="AI32" s="3088"/>
      <c r="AJ32" s="3088"/>
      <c r="AK32" s="3088"/>
      <c r="AL32" s="3088"/>
      <c r="AM32" s="3088"/>
      <c r="AN32" s="3088"/>
      <c r="AO32" s="3088"/>
      <c r="AP32" s="3088"/>
      <c r="AQ32" s="3088"/>
      <c r="AR32" s="3088"/>
      <c r="AS32" s="3088"/>
      <c r="AT32" s="3088"/>
      <c r="AU32" s="3088"/>
      <c r="AV32" s="3088"/>
      <c r="AW32" s="3088"/>
      <c r="AX32" s="3088"/>
      <c r="AY32" s="3088"/>
      <c r="AZ32" s="3088"/>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7" customFormat="1" ht="14.25">
      <c r="A33" s="224" t="s">
        <v>276</v>
      </c>
      <c r="B33" s="1329">
        <v>0.03</v>
      </c>
      <c r="C33" s="3106" t="s">
        <v>2965</v>
      </c>
      <c r="D33" s="3095"/>
      <c r="E33" s="3096"/>
      <c r="F33" s="3096"/>
      <c r="G33" s="3091"/>
      <c r="H33" s="3091"/>
      <c r="I33" s="3091"/>
      <c r="J33" s="3091"/>
      <c r="K33" s="3090"/>
      <c r="L33" s="3090"/>
      <c r="M33" s="3088"/>
      <c r="N33" s="3088"/>
      <c r="O33" s="3088"/>
      <c r="P33" s="3088"/>
      <c r="Q33" s="3088"/>
      <c r="R33" s="3088"/>
      <c r="S33" s="3088"/>
      <c r="T33" s="3088"/>
      <c r="U33" s="3088"/>
      <c r="V33" s="3088"/>
      <c r="W33" s="3088"/>
      <c r="X33" s="3088"/>
      <c r="Y33" s="3088"/>
      <c r="Z33" s="3088"/>
      <c r="AA33" s="3088"/>
      <c r="AB33" s="3088"/>
      <c r="AC33" s="3088"/>
      <c r="AD33" s="3088"/>
      <c r="AE33" s="3088"/>
      <c r="AF33" s="3088"/>
      <c r="AG33" s="3088"/>
      <c r="AH33" s="3088"/>
      <c r="AI33" s="3088"/>
      <c r="AJ33" s="3088"/>
      <c r="AK33" s="3088"/>
      <c r="AL33" s="3088"/>
      <c r="AM33" s="3088"/>
      <c r="AN33" s="3088"/>
      <c r="AO33" s="3088"/>
      <c r="AP33" s="3088"/>
      <c r="AQ33" s="3088"/>
      <c r="AR33" s="3088"/>
      <c r="AS33" s="3088"/>
      <c r="AT33" s="3088"/>
      <c r="AU33" s="3088"/>
      <c r="AV33" s="3088"/>
      <c r="AW33" s="3088"/>
      <c r="AX33" s="3088"/>
      <c r="AY33" s="3088"/>
      <c r="AZ33" s="3088"/>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277</v>
      </c>
      <c r="B34" s="231">
        <v>0</v>
      </c>
      <c r="C34" s="3106" t="s">
        <v>2966</v>
      </c>
      <c r="D34" s="3107" t="s">
        <v>2973</v>
      </c>
      <c r="E34" s="3088"/>
      <c r="F34" s="3091"/>
      <c r="G34" s="3091"/>
      <c r="H34" s="3091"/>
      <c r="I34" s="3091"/>
      <c r="J34" s="3091"/>
      <c r="K34" s="3090"/>
      <c r="L34" s="3090"/>
      <c r="M34" s="3088"/>
      <c r="N34" s="3088"/>
      <c r="O34" s="3088"/>
      <c r="P34" s="3088"/>
      <c r="Q34" s="3088"/>
      <c r="R34" s="3088"/>
      <c r="S34" s="3088"/>
      <c r="T34" s="3088"/>
      <c r="U34" s="3088"/>
      <c r="V34" s="3088"/>
      <c r="W34" s="3088"/>
      <c r="X34" s="3088"/>
      <c r="Y34" s="3088"/>
      <c r="Z34" s="3088"/>
      <c r="AA34" s="3088"/>
      <c r="AB34" s="3088"/>
      <c r="AC34" s="3088"/>
      <c r="AD34" s="3088"/>
      <c r="AE34" s="3088"/>
      <c r="AF34" s="3088"/>
      <c r="AG34" s="3088"/>
      <c r="AH34" s="3088"/>
      <c r="AI34" s="3088"/>
      <c r="AJ34" s="3088"/>
      <c r="AK34" s="3088"/>
      <c r="AL34" s="3088"/>
      <c r="AM34" s="3088"/>
      <c r="AN34" s="3088"/>
      <c r="AO34" s="3088"/>
      <c r="AP34" s="3088"/>
      <c r="AQ34" s="3088"/>
      <c r="AR34" s="3088"/>
      <c r="AS34" s="3088"/>
      <c r="AT34" s="3088"/>
      <c r="AU34" s="3088"/>
      <c r="AV34" s="3088"/>
      <c r="AW34" s="3088"/>
      <c r="AX34" s="3088"/>
      <c r="AY34" s="3088"/>
      <c r="AZ34" s="3088"/>
    </row>
    <row r="35" spans="1:83" ht="14.25">
      <c r="A35" s="226" t="s">
        <v>274</v>
      </c>
      <c r="B35" s="227">
        <v>300</v>
      </c>
      <c r="C35" s="3106" t="s">
        <v>2967</v>
      </c>
      <c r="D35" s="3092"/>
      <c r="E35" s="3091"/>
      <c r="F35" s="3091"/>
      <c r="G35" s="3091"/>
      <c r="H35" s="3091"/>
      <c r="I35" s="3091"/>
      <c r="J35" s="3091"/>
      <c r="K35" s="3090"/>
      <c r="L35" s="3090"/>
      <c r="M35" s="3088"/>
      <c r="N35" s="3088"/>
      <c r="O35" s="3088"/>
      <c r="P35" s="3088"/>
      <c r="Q35" s="3088"/>
      <c r="R35" s="3088"/>
      <c r="S35" s="3088"/>
      <c r="T35" s="3088"/>
      <c r="U35" s="3088"/>
      <c r="V35" s="3088"/>
      <c r="W35" s="3088"/>
      <c r="X35" s="3088"/>
      <c r="Y35" s="3088"/>
      <c r="Z35" s="3088"/>
      <c r="AA35" s="3088"/>
      <c r="AB35" s="3088"/>
      <c r="AC35" s="3088"/>
      <c r="AD35" s="3088"/>
      <c r="AE35" s="3088"/>
      <c r="AF35" s="3088"/>
      <c r="AG35" s="3088"/>
      <c r="AH35" s="3088"/>
      <c r="AI35" s="3088"/>
      <c r="AJ35" s="3088"/>
      <c r="AK35" s="3088"/>
      <c r="AL35" s="3088"/>
      <c r="AM35" s="3088"/>
      <c r="AN35" s="3088"/>
      <c r="AO35" s="3088"/>
      <c r="AP35" s="3088"/>
      <c r="AQ35" s="3088"/>
      <c r="AR35" s="3088"/>
      <c r="AS35" s="3088"/>
      <c r="AT35" s="3088"/>
      <c r="AU35" s="3088"/>
      <c r="AV35" s="3088"/>
      <c r="AW35" s="3088"/>
      <c r="AX35" s="3088"/>
      <c r="AY35" s="3088"/>
      <c r="AZ35" s="3088"/>
    </row>
    <row r="36" spans="1:83" ht="15" thickBot="1">
      <c r="A36" s="229" t="s">
        <v>275</v>
      </c>
      <c r="B36" s="232">
        <v>1.4999999999999999E-2</v>
      </c>
      <c r="C36" s="3106" t="s">
        <v>2968</v>
      </c>
      <c r="D36" s="3089"/>
      <c r="E36" s="3088"/>
      <c r="F36" s="3091"/>
      <c r="G36" s="3091"/>
      <c r="H36" s="3091"/>
      <c r="I36" s="3091"/>
      <c r="J36" s="3091"/>
      <c r="K36" s="3090"/>
      <c r="L36" s="3090"/>
      <c r="M36" s="3088"/>
      <c r="N36" s="3088"/>
      <c r="O36" s="3088"/>
      <c r="P36" s="3088"/>
      <c r="Q36" s="3088"/>
      <c r="R36" s="3088"/>
      <c r="S36" s="3088"/>
      <c r="T36" s="3088"/>
      <c r="U36" s="3088"/>
      <c r="V36" s="3088"/>
      <c r="W36" s="3088"/>
      <c r="X36" s="3088"/>
      <c r="Y36" s="3088"/>
      <c r="Z36" s="3088"/>
      <c r="AA36" s="3088"/>
      <c r="AB36" s="3088"/>
      <c r="AC36" s="3088"/>
      <c r="AD36" s="3088"/>
      <c r="AE36" s="3088"/>
      <c r="AF36" s="3088"/>
      <c r="AG36" s="3088"/>
      <c r="AH36" s="3088"/>
      <c r="AI36" s="3088"/>
      <c r="AJ36" s="3088"/>
      <c r="AK36" s="3088"/>
      <c r="AL36" s="3088"/>
      <c r="AM36" s="3088"/>
      <c r="AN36" s="3088"/>
      <c r="AO36" s="3088"/>
      <c r="AP36" s="3088"/>
      <c r="AQ36" s="3088"/>
      <c r="AR36" s="3088"/>
      <c r="AS36" s="3088"/>
      <c r="AT36" s="3088"/>
      <c r="AU36" s="3088"/>
      <c r="AV36" s="3088"/>
      <c r="AW36" s="3088"/>
      <c r="AX36" s="3088"/>
      <c r="AY36" s="3088"/>
      <c r="AZ36" s="3088"/>
    </row>
    <row r="37" spans="1:83" ht="14.25">
      <c r="A37" s="233" t="s">
        <v>278</v>
      </c>
      <c r="B37" s="234">
        <v>0.01</v>
      </c>
      <c r="C37" s="3106" t="s">
        <v>2969</v>
      </c>
      <c r="D37" s="3092"/>
      <c r="E37" s="3091"/>
      <c r="F37" s="3091"/>
      <c r="G37" s="3091"/>
      <c r="H37" s="3091"/>
      <c r="I37" s="3091"/>
      <c r="J37" s="3091"/>
      <c r="K37" s="3090"/>
      <c r="L37" s="3090"/>
      <c r="M37" s="3088"/>
      <c r="N37" s="3088"/>
      <c r="O37" s="3088"/>
      <c r="P37" s="3088"/>
      <c r="Q37" s="3088"/>
      <c r="R37" s="3088"/>
      <c r="S37" s="3088"/>
      <c r="T37" s="3088"/>
      <c r="U37" s="3088"/>
      <c r="V37" s="3088"/>
      <c r="W37" s="3088"/>
      <c r="X37" s="3088"/>
      <c r="Y37" s="3088"/>
      <c r="Z37" s="3088"/>
      <c r="AA37" s="3088"/>
      <c r="AB37" s="3088"/>
      <c r="AC37" s="3088"/>
      <c r="AD37" s="3088"/>
      <c r="AE37" s="3088"/>
      <c r="AF37" s="3088"/>
      <c r="AG37" s="3088"/>
      <c r="AH37" s="3088"/>
      <c r="AI37" s="3088"/>
      <c r="AJ37" s="3088"/>
      <c r="AK37" s="3088"/>
      <c r="AL37" s="3088"/>
      <c r="AM37" s="3088"/>
      <c r="AN37" s="3088"/>
      <c r="AO37" s="3088"/>
      <c r="AP37" s="3088"/>
      <c r="AQ37" s="3088"/>
      <c r="AR37" s="3088"/>
      <c r="AS37" s="3088"/>
      <c r="AT37" s="3088"/>
      <c r="AU37" s="3088"/>
      <c r="AV37" s="3088"/>
      <c r="AW37" s="3088"/>
      <c r="AX37" s="3088"/>
      <c r="AY37" s="3088"/>
      <c r="AZ37" s="3088"/>
    </row>
    <row r="38" spans="1:83" ht="14.25">
      <c r="A38" s="226" t="s">
        <v>279</v>
      </c>
      <c r="B38" s="231">
        <v>0.02</v>
      </c>
      <c r="C38" s="3106" t="s">
        <v>2969</v>
      </c>
      <c r="D38" s="3092"/>
      <c r="E38" s="3091"/>
      <c r="F38" s="3091"/>
      <c r="G38" s="3091"/>
      <c r="H38" s="3091"/>
      <c r="I38" s="3091"/>
      <c r="J38" s="3091"/>
      <c r="K38" s="3090"/>
      <c r="L38" s="3090"/>
      <c r="M38" s="3088"/>
      <c r="N38" s="3088"/>
      <c r="O38" s="3088"/>
      <c r="P38" s="3088"/>
      <c r="Q38" s="3088"/>
      <c r="R38" s="3088"/>
      <c r="S38" s="3088"/>
      <c r="T38" s="3088"/>
      <c r="U38" s="3088"/>
      <c r="V38" s="3088"/>
      <c r="W38" s="3088"/>
      <c r="X38" s="3088"/>
      <c r="Y38" s="3088"/>
      <c r="Z38" s="3088"/>
      <c r="AA38" s="3088"/>
      <c r="AB38" s="3088"/>
      <c r="AC38" s="3088"/>
      <c r="AD38" s="3088"/>
      <c r="AE38" s="3088"/>
      <c r="AF38" s="3088"/>
      <c r="AG38" s="3088"/>
      <c r="AH38" s="3088"/>
      <c r="AI38" s="3088"/>
      <c r="AJ38" s="3088"/>
      <c r="AK38" s="3088"/>
      <c r="AL38" s="3088"/>
      <c r="AM38" s="3088"/>
      <c r="AN38" s="3088"/>
      <c r="AO38" s="3088"/>
      <c r="AP38" s="3088"/>
      <c r="AQ38" s="3088"/>
      <c r="AR38" s="3088"/>
      <c r="AS38" s="3088"/>
      <c r="AT38" s="3088"/>
      <c r="AU38" s="3088"/>
      <c r="AV38" s="3088"/>
      <c r="AW38" s="3088"/>
      <c r="AX38" s="3088"/>
      <c r="AY38" s="3088"/>
      <c r="AZ38" s="3088"/>
    </row>
    <row r="39" spans="1:83" ht="14.25">
      <c r="A39" s="2341" t="s">
        <v>2433</v>
      </c>
      <c r="B39" s="790">
        <f ca="1">存贷款利率!C4</f>
        <v>1.4999999999999999E-2</v>
      </c>
      <c r="C39" s="3098"/>
      <c r="D39" s="3092"/>
      <c r="E39" s="3091"/>
      <c r="F39" s="3091"/>
      <c r="G39" s="3091"/>
      <c r="H39" s="3091"/>
      <c r="I39" s="3091"/>
      <c r="J39" s="3091"/>
      <c r="K39" s="3090"/>
      <c r="L39" s="3090"/>
      <c r="M39" s="3088"/>
      <c r="N39" s="3088"/>
      <c r="O39" s="3088"/>
      <c r="P39" s="3088"/>
      <c r="Q39" s="3088"/>
      <c r="R39" s="3088"/>
      <c r="S39" s="3088"/>
      <c r="T39" s="3088"/>
      <c r="U39" s="3088"/>
      <c r="V39" s="3088"/>
      <c r="W39" s="3088"/>
      <c r="X39" s="3088"/>
      <c r="Y39" s="3088"/>
      <c r="Z39" s="3088"/>
      <c r="AA39" s="3088"/>
      <c r="AB39" s="3088"/>
      <c r="AC39" s="3088"/>
      <c r="AD39" s="3088"/>
      <c r="AE39" s="3088"/>
      <c r="AF39" s="3088"/>
      <c r="AG39" s="3088"/>
      <c r="AH39" s="3088"/>
      <c r="AI39" s="3088"/>
      <c r="AJ39" s="3088"/>
      <c r="AK39" s="3088"/>
      <c r="AL39" s="3088"/>
      <c r="AM39" s="3088"/>
      <c r="AN39" s="3088"/>
      <c r="AO39" s="3088"/>
      <c r="AP39" s="3088"/>
      <c r="AQ39" s="3088"/>
      <c r="AR39" s="3088"/>
      <c r="AS39" s="3088"/>
      <c r="AT39" s="3088"/>
      <c r="AU39" s="3088"/>
      <c r="AV39" s="3088"/>
      <c r="AW39" s="3088"/>
      <c r="AX39" s="3088"/>
      <c r="AY39" s="3088"/>
      <c r="AZ39" s="3088"/>
    </row>
    <row r="40" spans="1:83" ht="15" thickBot="1">
      <c r="A40" s="3275" t="s">
        <v>3016</v>
      </c>
      <c r="B40" s="2333">
        <f ca="1">IF(A40="利息：取LPR",存贷款利率!E2,存贷款利率!E2+C40)</f>
        <v>4.7500000000000001E-2</v>
      </c>
      <c r="C40" s="3276">
        <v>8.9999999999999993E-3</v>
      </c>
      <c r="D40" s="3092"/>
      <c r="E40" s="3091"/>
      <c r="F40" s="3091"/>
      <c r="G40" s="3091"/>
      <c r="H40" s="3091"/>
      <c r="I40" s="3091"/>
      <c r="J40" s="3091"/>
      <c r="K40" s="3090"/>
      <c r="L40" s="3090"/>
      <c r="M40" s="3088"/>
      <c r="N40" s="3088"/>
      <c r="O40" s="3088"/>
      <c r="P40" s="3088"/>
      <c r="Q40" s="3088"/>
      <c r="R40" s="3088"/>
      <c r="S40" s="3088"/>
      <c r="T40" s="3088"/>
      <c r="U40" s="3088"/>
      <c r="V40" s="3088"/>
      <c r="W40" s="3088"/>
      <c r="X40" s="3088"/>
      <c r="Y40" s="3088"/>
      <c r="Z40" s="3088"/>
      <c r="AA40" s="3088"/>
      <c r="AB40" s="3088"/>
      <c r="AC40" s="3088"/>
      <c r="AD40" s="3088"/>
      <c r="AE40" s="3088"/>
      <c r="AF40" s="3088"/>
      <c r="AG40" s="3088"/>
      <c r="AH40" s="3088"/>
      <c r="AI40" s="3088"/>
      <c r="AJ40" s="3088"/>
      <c r="AK40" s="3088"/>
      <c r="AL40" s="3088"/>
      <c r="AM40" s="3088"/>
      <c r="AN40" s="3088"/>
      <c r="AO40" s="3088"/>
      <c r="AP40" s="3088"/>
      <c r="AQ40" s="3088"/>
      <c r="AR40" s="3088"/>
      <c r="AS40" s="3088"/>
      <c r="AT40" s="3088"/>
      <c r="AU40" s="3088"/>
      <c r="AV40" s="3088"/>
      <c r="AW40" s="3088"/>
      <c r="AX40" s="3088"/>
      <c r="AY40" s="3088"/>
      <c r="AZ40" s="3088"/>
    </row>
    <row r="41" spans="1:83" ht="14.25">
      <c r="A41" s="224" t="s">
        <v>280</v>
      </c>
      <c r="B41" s="236">
        <f>B42+B43</f>
        <v>5.5000000000000007E-2</v>
      </c>
      <c r="C41" s="3094"/>
      <c r="D41" s="3092"/>
      <c r="E41" s="3091"/>
      <c r="F41" s="3091"/>
      <c r="G41" s="3091"/>
      <c r="H41" s="3091"/>
      <c r="I41" s="3091"/>
      <c r="J41" s="3091"/>
      <c r="K41" s="3090"/>
      <c r="L41" s="3090"/>
      <c r="M41" s="3088"/>
      <c r="N41" s="3088"/>
      <c r="O41" s="3088"/>
      <c r="P41" s="3088"/>
      <c r="Q41" s="3088"/>
      <c r="R41" s="3088"/>
      <c r="S41" s="3088"/>
      <c r="T41" s="3088"/>
      <c r="U41" s="3088"/>
      <c r="V41" s="3088"/>
      <c r="W41" s="3088"/>
      <c r="X41" s="3088"/>
      <c r="Y41" s="3088"/>
      <c r="Z41" s="3088"/>
      <c r="AA41" s="3088"/>
      <c r="AB41" s="3088"/>
      <c r="AC41" s="3088"/>
      <c r="AD41" s="3088"/>
      <c r="AE41" s="3088"/>
      <c r="AF41" s="3088"/>
      <c r="AG41" s="3088"/>
      <c r="AH41" s="3088"/>
      <c r="AI41" s="3088"/>
      <c r="AJ41" s="3088"/>
      <c r="AK41" s="3088"/>
      <c r="AL41" s="3088"/>
      <c r="AM41" s="3088"/>
      <c r="AN41" s="3088"/>
      <c r="AO41" s="3088"/>
      <c r="AP41" s="3088"/>
      <c r="AQ41" s="3088"/>
      <c r="AR41" s="3088"/>
      <c r="AS41" s="3088"/>
      <c r="AT41" s="3088"/>
      <c r="AU41" s="3088"/>
      <c r="AV41" s="3088"/>
      <c r="AW41" s="3088"/>
      <c r="AX41" s="3088"/>
      <c r="AY41" s="3088"/>
      <c r="AZ41" s="3088"/>
    </row>
    <row r="42" spans="1:83" ht="14.25">
      <c r="A42" s="967" t="s">
        <v>281</v>
      </c>
      <c r="B42" s="238">
        <v>0.05</v>
      </c>
      <c r="C42" s="3108">
        <f>IF(B2&lt;DATE(2016,5,1),0,B42)</f>
        <v>0.05</v>
      </c>
      <c r="D42" s="3092"/>
      <c r="E42" s="3091"/>
      <c r="F42" s="3091"/>
      <c r="G42" s="3091"/>
      <c r="H42" s="3091"/>
      <c r="I42" s="3091"/>
      <c r="J42" s="3091"/>
      <c r="K42" s="3090"/>
      <c r="L42" s="3090"/>
      <c r="M42" s="3088"/>
      <c r="N42" s="3088"/>
      <c r="O42" s="3088"/>
      <c r="P42" s="3088"/>
      <c r="Q42" s="3088"/>
      <c r="R42" s="3088"/>
      <c r="S42" s="3088"/>
      <c r="T42" s="3088"/>
      <c r="U42" s="3088"/>
      <c r="V42" s="3088"/>
      <c r="W42" s="3088"/>
      <c r="X42" s="3088"/>
      <c r="Y42" s="3088"/>
      <c r="Z42" s="3088"/>
      <c r="AA42" s="3088"/>
      <c r="AB42" s="3088"/>
      <c r="AC42" s="3088"/>
      <c r="AD42" s="3088"/>
      <c r="AE42" s="3088"/>
      <c r="AF42" s="3088"/>
      <c r="AG42" s="3088"/>
      <c r="AH42" s="3088"/>
      <c r="AI42" s="3088"/>
      <c r="AJ42" s="3088"/>
      <c r="AK42" s="3088"/>
      <c r="AL42" s="3088"/>
      <c r="AM42" s="3088"/>
      <c r="AN42" s="3088"/>
      <c r="AO42" s="3088"/>
      <c r="AP42" s="3088"/>
      <c r="AQ42" s="3088"/>
      <c r="AR42" s="3088"/>
      <c r="AS42" s="3088"/>
      <c r="AT42" s="3088"/>
      <c r="AU42" s="3088"/>
      <c r="AV42" s="3088"/>
      <c r="AW42" s="3088"/>
      <c r="AX42" s="3088"/>
      <c r="AY42" s="3088"/>
      <c r="AZ42" s="3088"/>
    </row>
    <row r="43" spans="1:83" ht="14.25">
      <c r="A43" s="967" t="s">
        <v>282</v>
      </c>
      <c r="B43" s="239">
        <f>B42*(B44+B45+B46)+B47</f>
        <v>5.000000000000001E-3</v>
      </c>
      <c r="C43" s="3094"/>
      <c r="D43" s="3092"/>
      <c r="E43" s="3091"/>
      <c r="F43" s="3091"/>
      <c r="G43" s="3091"/>
      <c r="H43" s="3091"/>
      <c r="I43" s="3091"/>
      <c r="J43" s="3091"/>
      <c r="K43" s="3090"/>
      <c r="L43" s="3090"/>
      <c r="M43" s="3088"/>
      <c r="N43" s="3088"/>
      <c r="O43" s="3088"/>
      <c r="P43" s="3088"/>
      <c r="Q43" s="3088"/>
      <c r="R43" s="3088"/>
      <c r="S43" s="3088"/>
      <c r="T43" s="3088"/>
      <c r="U43" s="3088"/>
      <c r="V43" s="3088"/>
      <c r="W43" s="3088"/>
      <c r="X43" s="3088"/>
      <c r="Y43" s="3088"/>
      <c r="Z43" s="3088"/>
      <c r="AA43" s="3088"/>
      <c r="AB43" s="3088"/>
      <c r="AC43" s="3088"/>
      <c r="AD43" s="3088"/>
      <c r="AE43" s="3088"/>
      <c r="AF43" s="3088"/>
      <c r="AG43" s="3088"/>
      <c r="AH43" s="3088"/>
      <c r="AI43" s="3088"/>
      <c r="AJ43" s="3088"/>
      <c r="AK43" s="3088"/>
      <c r="AL43" s="3088"/>
      <c r="AM43" s="3088"/>
      <c r="AN43" s="3088"/>
      <c r="AO43" s="3088"/>
      <c r="AP43" s="3088"/>
      <c r="AQ43" s="3088"/>
      <c r="AR43" s="3088"/>
      <c r="AS43" s="3088"/>
      <c r="AT43" s="3088"/>
      <c r="AU43" s="3088"/>
      <c r="AV43" s="3088"/>
      <c r="AW43" s="3088"/>
      <c r="AX43" s="3088"/>
      <c r="AY43" s="3088"/>
      <c r="AZ43" s="3088"/>
    </row>
    <row r="44" spans="1:83" ht="14.25">
      <c r="A44" s="237" t="s">
        <v>283</v>
      </c>
      <c r="B44" s="240">
        <v>0.05</v>
      </c>
      <c r="C44" s="3106" t="s">
        <v>2974</v>
      </c>
      <c r="D44" s="3092"/>
      <c r="E44" s="3091"/>
      <c r="F44" s="3091"/>
      <c r="G44" s="3091"/>
      <c r="H44" s="3091"/>
      <c r="I44" s="3091"/>
      <c r="J44" s="3091"/>
      <c r="K44" s="3090"/>
      <c r="L44" s="3090"/>
      <c r="M44" s="3088"/>
      <c r="N44" s="3088"/>
      <c r="O44" s="3088"/>
      <c r="P44" s="3088"/>
      <c r="Q44" s="3088"/>
      <c r="R44" s="3088"/>
      <c r="S44" s="3088"/>
      <c r="T44" s="3088"/>
      <c r="U44" s="3088"/>
      <c r="V44" s="3088"/>
      <c r="W44" s="3088"/>
      <c r="X44" s="3088"/>
      <c r="Y44" s="3088"/>
      <c r="Z44" s="3088"/>
      <c r="AA44" s="3088"/>
      <c r="AB44" s="3088"/>
      <c r="AC44" s="3088"/>
      <c r="AD44" s="3088"/>
      <c r="AE44" s="3088"/>
      <c r="AF44" s="3088"/>
      <c r="AG44" s="3088"/>
      <c r="AH44" s="3088"/>
      <c r="AI44" s="3088"/>
      <c r="AJ44" s="3088"/>
      <c r="AK44" s="3088"/>
      <c r="AL44" s="3088"/>
      <c r="AM44" s="3088"/>
      <c r="AN44" s="3088"/>
      <c r="AO44" s="3088"/>
      <c r="AP44" s="3088"/>
      <c r="AQ44" s="3088"/>
      <c r="AR44" s="3088"/>
      <c r="AS44" s="3088"/>
      <c r="AT44" s="3088"/>
      <c r="AU44" s="3088"/>
      <c r="AV44" s="3088"/>
      <c r="AW44" s="3088"/>
      <c r="AX44" s="3088"/>
      <c r="AY44" s="3088"/>
      <c r="AZ44" s="3088"/>
    </row>
    <row r="45" spans="1:83" ht="14.25">
      <c r="A45" s="237" t="s">
        <v>284</v>
      </c>
      <c r="B45" s="238">
        <v>0.03</v>
      </c>
      <c r="C45" s="3109" t="s">
        <v>2970</v>
      </c>
      <c r="D45" s="3092"/>
      <c r="E45" s="3091"/>
      <c r="F45" s="3091"/>
      <c r="G45" s="3091"/>
      <c r="H45" s="3091"/>
      <c r="I45" s="3091"/>
      <c r="J45" s="3091"/>
      <c r="K45" s="3090"/>
      <c r="L45" s="3090"/>
      <c r="M45" s="3088"/>
      <c r="N45" s="3088"/>
      <c r="O45" s="3088"/>
      <c r="P45" s="3088"/>
      <c r="Q45" s="3088"/>
      <c r="R45" s="3088"/>
      <c r="S45" s="3088"/>
      <c r="T45" s="3088"/>
      <c r="U45" s="3088"/>
      <c r="V45" s="3088"/>
      <c r="W45" s="3088"/>
      <c r="X45" s="3088"/>
      <c r="Y45" s="3088"/>
      <c r="Z45" s="3088"/>
      <c r="AA45" s="3088"/>
      <c r="AB45" s="3088"/>
      <c r="AC45" s="3088"/>
      <c r="AD45" s="3088"/>
      <c r="AE45" s="3088"/>
      <c r="AF45" s="3088"/>
      <c r="AG45" s="3088"/>
      <c r="AH45" s="3088"/>
      <c r="AI45" s="3088"/>
      <c r="AJ45" s="3088"/>
      <c r="AK45" s="3088"/>
      <c r="AL45" s="3088"/>
      <c r="AM45" s="3088"/>
      <c r="AN45" s="3088"/>
      <c r="AO45" s="3088"/>
      <c r="AP45" s="3088"/>
      <c r="AQ45" s="3088"/>
      <c r="AR45" s="3088"/>
      <c r="AS45" s="3088"/>
      <c r="AT45" s="3088"/>
      <c r="AU45" s="3088"/>
      <c r="AV45" s="3088"/>
      <c r="AW45" s="3088"/>
      <c r="AX45" s="3088"/>
      <c r="AY45" s="3088"/>
      <c r="AZ45" s="3088"/>
    </row>
    <row r="46" spans="1:83" ht="14.25">
      <c r="A46" s="237" t="s">
        <v>285</v>
      </c>
      <c r="B46" s="238">
        <v>0.02</v>
      </c>
      <c r="C46" s="3109" t="s">
        <v>2971</v>
      </c>
      <c r="D46" s="3092"/>
      <c r="E46" s="3091"/>
      <c r="F46" s="3091"/>
      <c r="G46" s="3091"/>
      <c r="H46" s="3091"/>
      <c r="I46" s="3091"/>
      <c r="J46" s="3091"/>
      <c r="K46" s="3090"/>
      <c r="L46" s="3090"/>
      <c r="M46" s="3088"/>
      <c r="N46" s="3088"/>
      <c r="O46" s="3088"/>
      <c r="P46" s="3088"/>
      <c r="Q46" s="3088"/>
      <c r="R46" s="3088"/>
      <c r="S46" s="3088"/>
      <c r="T46" s="3088"/>
      <c r="U46" s="3088"/>
      <c r="V46" s="3088"/>
      <c r="W46" s="3088"/>
      <c r="X46" s="3088"/>
      <c r="Y46" s="3088"/>
      <c r="Z46" s="3088"/>
      <c r="AA46" s="3088"/>
      <c r="AB46" s="3088"/>
      <c r="AC46" s="3088"/>
      <c r="AD46" s="3088"/>
      <c r="AE46" s="3088"/>
      <c r="AF46" s="3088"/>
      <c r="AG46" s="3088"/>
      <c r="AH46" s="3088"/>
      <c r="AI46" s="3088"/>
      <c r="AJ46" s="3088"/>
      <c r="AK46" s="3088"/>
      <c r="AL46" s="3088"/>
      <c r="AM46" s="3088"/>
      <c r="AN46" s="3088"/>
      <c r="AO46" s="3088"/>
      <c r="AP46" s="3088"/>
      <c r="AQ46" s="3088"/>
      <c r="AR46" s="3088"/>
      <c r="AS46" s="3088"/>
      <c r="AT46" s="3088"/>
      <c r="AU46" s="3088"/>
      <c r="AV46" s="3088"/>
      <c r="AW46" s="3088"/>
      <c r="AX46" s="3088"/>
      <c r="AY46" s="3088"/>
      <c r="AZ46" s="3088"/>
    </row>
    <row r="47" spans="1:83" ht="15" thickBot="1">
      <c r="A47" s="241" t="s">
        <v>286</v>
      </c>
      <c r="B47" s="242"/>
      <c r="C47" s="3104" t="s">
        <v>2978</v>
      </c>
      <c r="D47" s="3092"/>
      <c r="E47" s="3091"/>
      <c r="F47" s="3091"/>
      <c r="G47" s="3091"/>
      <c r="H47" s="3091"/>
      <c r="I47" s="3091"/>
      <c r="J47" s="3091"/>
      <c r="K47" s="3090"/>
      <c r="L47" s="3090"/>
      <c r="M47" s="3088"/>
      <c r="N47" s="3088"/>
      <c r="O47" s="3088"/>
      <c r="P47" s="3088"/>
      <c r="Q47" s="3088"/>
      <c r="R47" s="3088"/>
      <c r="S47" s="3088"/>
      <c r="T47" s="3088"/>
      <c r="U47" s="3088"/>
      <c r="V47" s="3088"/>
      <c r="W47" s="3088"/>
      <c r="X47" s="3088"/>
      <c r="Y47" s="3088"/>
      <c r="Z47" s="3088"/>
      <c r="AA47" s="3088"/>
      <c r="AB47" s="3088"/>
      <c r="AC47" s="3088"/>
      <c r="AD47" s="3088"/>
      <c r="AE47" s="3088"/>
      <c r="AF47" s="3088"/>
      <c r="AG47" s="3088"/>
      <c r="AH47" s="3088"/>
      <c r="AI47" s="3088"/>
      <c r="AJ47" s="3088"/>
      <c r="AK47" s="3088"/>
      <c r="AL47" s="3088"/>
      <c r="AM47" s="3088"/>
      <c r="AN47" s="3088"/>
      <c r="AO47" s="3088"/>
      <c r="AP47" s="3088"/>
      <c r="AQ47" s="3088"/>
      <c r="AR47" s="3088"/>
      <c r="AS47" s="3088"/>
      <c r="AT47" s="3088"/>
      <c r="AU47" s="3088"/>
      <c r="AV47" s="3088"/>
      <c r="AW47" s="3088"/>
      <c r="AX47" s="3088"/>
      <c r="AY47" s="3088"/>
      <c r="AZ47" s="3088"/>
    </row>
    <row r="48" spans="1:83" ht="14.25">
      <c r="A48" s="243" t="s">
        <v>287</v>
      </c>
      <c r="B48" s="244">
        <v>0.03</v>
      </c>
      <c r="C48" s="3109" t="s">
        <v>2970</v>
      </c>
      <c r="D48" s="3092"/>
      <c r="E48" s="3091"/>
      <c r="F48" s="3091"/>
      <c r="G48" s="3091"/>
      <c r="H48" s="3091"/>
      <c r="I48" s="3091"/>
      <c r="J48" s="3091"/>
      <c r="K48" s="3090"/>
      <c r="L48" s="3090"/>
      <c r="M48" s="3088"/>
      <c r="N48" s="3088"/>
      <c r="O48" s="3088"/>
      <c r="P48" s="3088"/>
      <c r="Q48" s="3088"/>
      <c r="R48" s="3088"/>
      <c r="S48" s="3088"/>
      <c r="T48" s="3088"/>
      <c r="U48" s="3088"/>
      <c r="V48" s="3088"/>
      <c r="W48" s="3088"/>
      <c r="X48" s="3088"/>
      <c r="Y48" s="3088"/>
      <c r="Z48" s="3088"/>
      <c r="AA48" s="3088"/>
      <c r="AB48" s="3088"/>
      <c r="AC48" s="3088"/>
      <c r="AD48" s="3088"/>
      <c r="AE48" s="3088"/>
      <c r="AF48" s="3088"/>
      <c r="AG48" s="3088"/>
      <c r="AH48" s="3088"/>
      <c r="AI48" s="3088"/>
      <c r="AJ48" s="3088"/>
      <c r="AK48" s="3088"/>
      <c r="AL48" s="3088"/>
      <c r="AM48" s="3088"/>
      <c r="AN48" s="3088"/>
      <c r="AO48" s="3088"/>
      <c r="AP48" s="3088"/>
      <c r="AQ48" s="3088"/>
      <c r="AR48" s="3088"/>
      <c r="AS48" s="3088"/>
      <c r="AT48" s="3088"/>
      <c r="AU48" s="3088"/>
      <c r="AV48" s="3088"/>
      <c r="AW48" s="3088"/>
      <c r="AX48" s="3088"/>
      <c r="AY48" s="3088"/>
      <c r="AZ48" s="3088"/>
    </row>
    <row r="49" spans="1:52" ht="15" thickBot="1">
      <c r="A49" s="235" t="s">
        <v>288</v>
      </c>
      <c r="B49" s="238">
        <v>5.0000000000000001E-4</v>
      </c>
      <c r="C49" s="3109" t="s">
        <v>2972</v>
      </c>
      <c r="D49" s="3092"/>
      <c r="E49" s="3091"/>
      <c r="F49" s="3091"/>
      <c r="G49" s="3091"/>
      <c r="H49" s="3091"/>
      <c r="I49" s="3091"/>
      <c r="J49" s="3091"/>
      <c r="K49" s="3090"/>
      <c r="L49" s="3090"/>
      <c r="M49" s="3088"/>
      <c r="N49" s="3088"/>
      <c r="O49" s="3088"/>
      <c r="P49" s="3088"/>
      <c r="Q49" s="3088"/>
      <c r="R49" s="3088"/>
      <c r="S49" s="3088"/>
      <c r="T49" s="3088"/>
      <c r="U49" s="3088"/>
      <c r="V49" s="3088"/>
      <c r="W49" s="3088"/>
      <c r="X49" s="3088"/>
      <c r="Y49" s="3088"/>
      <c r="Z49" s="3088"/>
      <c r="AA49" s="3088"/>
      <c r="AB49" s="3088"/>
      <c r="AC49" s="3088"/>
      <c r="AD49" s="3088"/>
      <c r="AE49" s="3088"/>
      <c r="AF49" s="3088"/>
      <c r="AG49" s="3088"/>
      <c r="AH49" s="3088"/>
      <c r="AI49" s="3088"/>
      <c r="AJ49" s="3088"/>
      <c r="AK49" s="3088"/>
      <c r="AL49" s="3088"/>
      <c r="AM49" s="3088"/>
      <c r="AN49" s="3088"/>
      <c r="AO49" s="3088"/>
      <c r="AP49" s="3088"/>
      <c r="AQ49" s="3088"/>
      <c r="AR49" s="3088"/>
      <c r="AS49" s="3088"/>
      <c r="AT49" s="3088"/>
      <c r="AU49" s="3088"/>
      <c r="AV49" s="3088"/>
      <c r="AW49" s="3088"/>
      <c r="AX49" s="3088"/>
      <c r="AY49" s="3088"/>
      <c r="AZ49" s="3088"/>
    </row>
    <row r="50" spans="1:52" ht="14.25">
      <c r="A50" s="245" t="s">
        <v>289</v>
      </c>
      <c r="B50" s="246">
        <v>1.2E-2</v>
      </c>
      <c r="C50" s="3097"/>
      <c r="D50" s="3092"/>
      <c r="E50" s="3091"/>
      <c r="F50" s="3091"/>
      <c r="G50" s="3091"/>
      <c r="H50" s="3091"/>
      <c r="I50" s="3091"/>
      <c r="J50" s="3091"/>
      <c r="K50" s="3090"/>
      <c r="L50" s="3090"/>
      <c r="M50" s="3088"/>
      <c r="N50" s="3088"/>
      <c r="O50" s="3088"/>
      <c r="P50" s="3088"/>
      <c r="Q50" s="3088"/>
      <c r="R50" s="3088"/>
      <c r="S50" s="3088"/>
      <c r="T50" s="3088"/>
      <c r="U50" s="3088"/>
      <c r="V50" s="3088"/>
      <c r="W50" s="3088"/>
      <c r="X50" s="3088"/>
      <c r="Y50" s="3088"/>
      <c r="Z50" s="3088"/>
      <c r="AA50" s="3088"/>
      <c r="AB50" s="3088"/>
      <c r="AC50" s="3088"/>
      <c r="AD50" s="3088"/>
      <c r="AE50" s="3088"/>
      <c r="AF50" s="3088"/>
      <c r="AG50" s="3088"/>
      <c r="AH50" s="3088"/>
      <c r="AI50" s="3088"/>
      <c r="AJ50" s="3088"/>
      <c r="AK50" s="3088"/>
      <c r="AL50" s="3088"/>
      <c r="AM50" s="3088"/>
      <c r="AN50" s="3088"/>
      <c r="AO50" s="3088"/>
      <c r="AP50" s="3088"/>
      <c r="AQ50" s="3088"/>
      <c r="AR50" s="3088"/>
      <c r="AS50" s="3088"/>
      <c r="AT50" s="3088"/>
      <c r="AU50" s="3088"/>
      <c r="AV50" s="3088"/>
      <c r="AW50" s="3088"/>
      <c r="AX50" s="3088"/>
      <c r="AY50" s="3088"/>
      <c r="AZ50" s="3088"/>
    </row>
    <row r="51" spans="1:52" ht="15" thickBot="1">
      <c r="A51" s="229" t="s">
        <v>290</v>
      </c>
      <c r="B51" s="247">
        <v>0.12</v>
      </c>
      <c r="C51" s="3097"/>
      <c r="D51" s="3092"/>
      <c r="E51" s="3091"/>
      <c r="F51" s="3091"/>
      <c r="G51" s="3091"/>
      <c r="H51" s="3091"/>
      <c r="I51" s="3091"/>
      <c r="J51" s="3091"/>
      <c r="K51" s="3090"/>
      <c r="L51" s="3090"/>
      <c r="M51" s="3088"/>
      <c r="N51" s="3088"/>
      <c r="O51" s="3088"/>
      <c r="P51" s="3088"/>
      <c r="Q51" s="3088"/>
      <c r="R51" s="3088"/>
      <c r="S51" s="3088"/>
      <c r="T51" s="3088"/>
      <c r="U51" s="3088"/>
      <c r="V51" s="3088"/>
      <c r="W51" s="3088"/>
      <c r="X51" s="3088"/>
      <c r="Y51" s="3088"/>
      <c r="Z51" s="3088"/>
      <c r="AA51" s="3088"/>
      <c r="AB51" s="3088"/>
      <c r="AC51" s="3088"/>
      <c r="AD51" s="3088"/>
      <c r="AE51" s="3088"/>
      <c r="AF51" s="3088"/>
      <c r="AG51" s="3088"/>
      <c r="AH51" s="3088"/>
      <c r="AI51" s="3088"/>
      <c r="AJ51" s="3088"/>
      <c r="AK51" s="3088"/>
      <c r="AL51" s="3088"/>
      <c r="AM51" s="3088"/>
      <c r="AN51" s="3088"/>
      <c r="AO51" s="3088"/>
      <c r="AP51" s="3088"/>
      <c r="AQ51" s="3088"/>
      <c r="AR51" s="3088"/>
      <c r="AS51" s="3088"/>
      <c r="AT51" s="3088"/>
      <c r="AU51" s="3088"/>
      <c r="AV51" s="3088"/>
      <c r="AW51" s="3088"/>
      <c r="AX51" s="3088"/>
      <c r="AY51" s="3088"/>
      <c r="AZ51" s="3088"/>
    </row>
    <row r="52" spans="1:52" ht="14.25">
      <c r="A52" s="245" t="s">
        <v>291</v>
      </c>
      <c r="B52" s="248">
        <f>SUMIF(A54:A63,B53,B54:B63)</f>
        <v>1.5</v>
      </c>
      <c r="C52" s="3097"/>
      <c r="D52" s="3092"/>
      <c r="E52" s="3091"/>
      <c r="F52" s="3091"/>
      <c r="G52" s="3091"/>
      <c r="H52" s="3091"/>
      <c r="I52" s="3091"/>
      <c r="J52" s="3091"/>
      <c r="K52" s="3090"/>
      <c r="L52" s="3090"/>
      <c r="M52" s="3088"/>
      <c r="N52" s="3088"/>
      <c r="O52" s="3088"/>
      <c r="P52" s="3088"/>
      <c r="Q52" s="3088"/>
      <c r="R52" s="3088"/>
      <c r="S52" s="3088"/>
      <c r="T52" s="3088"/>
      <c r="U52" s="3088"/>
      <c r="V52" s="3088"/>
      <c r="W52" s="3088"/>
      <c r="X52" s="3088"/>
      <c r="Y52" s="3088"/>
      <c r="Z52" s="3088"/>
      <c r="AA52" s="3088"/>
      <c r="AB52" s="3088"/>
      <c r="AC52" s="3088"/>
      <c r="AD52" s="3088"/>
      <c r="AE52" s="3088"/>
      <c r="AF52" s="3088"/>
      <c r="AG52" s="3088"/>
      <c r="AH52" s="3088"/>
      <c r="AI52" s="3088"/>
      <c r="AJ52" s="3088"/>
      <c r="AK52" s="3088"/>
      <c r="AL52" s="3088"/>
      <c r="AM52" s="3088"/>
      <c r="AN52" s="3088"/>
      <c r="AO52" s="3088"/>
      <c r="AP52" s="3088"/>
      <c r="AQ52" s="3088"/>
      <c r="AR52" s="3088"/>
      <c r="AS52" s="3088"/>
      <c r="AT52" s="3088"/>
      <c r="AU52" s="3088"/>
      <c r="AV52" s="3088"/>
      <c r="AW52" s="3088"/>
      <c r="AX52" s="3088"/>
      <c r="AY52" s="3088"/>
      <c r="AZ52" s="3088"/>
    </row>
    <row r="53" spans="1:52" ht="27">
      <c r="A53" s="226" t="s">
        <v>292</v>
      </c>
      <c r="B53" s="249" t="s">
        <v>1398</v>
      </c>
      <c r="C53" s="3099" t="s">
        <v>2866</v>
      </c>
      <c r="D53" s="3110" t="s">
        <v>2975</v>
      </c>
      <c r="E53" s="3091"/>
      <c r="F53" s="3091"/>
      <c r="G53" s="3091"/>
      <c r="H53" s="3091"/>
      <c r="I53" s="3091"/>
      <c r="J53" s="3091"/>
      <c r="K53" s="3090"/>
      <c r="L53" s="3090"/>
      <c r="M53" s="3088"/>
      <c r="N53" s="3088"/>
      <c r="O53" s="3088"/>
      <c r="P53" s="3088"/>
      <c r="Q53" s="3088"/>
      <c r="R53" s="3088"/>
      <c r="S53" s="3088"/>
      <c r="T53" s="3088"/>
      <c r="U53" s="3088"/>
      <c r="V53" s="3088"/>
      <c r="W53" s="3088"/>
      <c r="X53" s="3088"/>
      <c r="Y53" s="3088"/>
      <c r="Z53" s="3088"/>
      <c r="AA53" s="3088"/>
      <c r="AB53" s="3088"/>
      <c r="AC53" s="3088"/>
      <c r="AD53" s="3088"/>
      <c r="AE53" s="3088"/>
      <c r="AF53" s="3088"/>
      <c r="AG53" s="3088"/>
      <c r="AH53" s="3088"/>
      <c r="AI53" s="3088"/>
      <c r="AJ53" s="3088"/>
      <c r="AK53" s="3088"/>
      <c r="AL53" s="3088"/>
      <c r="AM53" s="3088"/>
      <c r="AN53" s="3088"/>
      <c r="AO53" s="3088"/>
      <c r="AP53" s="3088"/>
      <c r="AQ53" s="3088"/>
      <c r="AR53" s="3088"/>
      <c r="AS53" s="3088"/>
      <c r="AT53" s="3088"/>
      <c r="AU53" s="3088"/>
      <c r="AV53" s="3088"/>
      <c r="AW53" s="3088"/>
      <c r="AX53" s="3088"/>
      <c r="AY53" s="3088"/>
      <c r="AZ53" s="3088"/>
    </row>
    <row r="54" spans="1:52" ht="14.25">
      <c r="A54" s="2773" t="s">
        <v>2867</v>
      </c>
      <c r="B54" s="184"/>
      <c r="C54" s="3096">
        <v>30</v>
      </c>
      <c r="D54" s="3100"/>
      <c r="E54" s="3091"/>
      <c r="F54" s="3091"/>
      <c r="G54" s="3091"/>
      <c r="H54" s="3091"/>
      <c r="I54" s="3091"/>
      <c r="J54" s="3091"/>
      <c r="K54" s="3090"/>
      <c r="L54" s="3090"/>
      <c r="M54" s="3088"/>
      <c r="N54" s="3088"/>
      <c r="O54" s="3088"/>
      <c r="P54" s="3088"/>
      <c r="Q54" s="3088"/>
      <c r="R54" s="3088"/>
      <c r="S54" s="3088"/>
      <c r="T54" s="3088"/>
      <c r="U54" s="3088"/>
      <c r="V54" s="3088"/>
      <c r="W54" s="3088"/>
      <c r="X54" s="3088"/>
      <c r="Y54" s="3088"/>
      <c r="Z54" s="3088"/>
      <c r="AA54" s="3088"/>
      <c r="AB54" s="3088"/>
      <c r="AC54" s="3088"/>
      <c r="AD54" s="3088"/>
      <c r="AE54" s="3088"/>
      <c r="AF54" s="3088"/>
      <c r="AG54" s="3088"/>
      <c r="AH54" s="3088"/>
      <c r="AI54" s="3088"/>
      <c r="AJ54" s="3088"/>
      <c r="AK54" s="3088"/>
      <c r="AL54" s="3088"/>
      <c r="AM54" s="3088"/>
      <c r="AN54" s="3088"/>
      <c r="AO54" s="3088"/>
      <c r="AP54" s="3088"/>
      <c r="AQ54" s="3088"/>
      <c r="AR54" s="3088"/>
      <c r="AS54" s="3088"/>
      <c r="AT54" s="3088"/>
      <c r="AU54" s="3088"/>
      <c r="AV54" s="3088"/>
      <c r="AW54" s="3088"/>
      <c r="AX54" s="3088"/>
      <c r="AY54" s="3088"/>
      <c r="AZ54" s="3088"/>
    </row>
    <row r="55" spans="1:52" ht="14.25">
      <c r="A55" s="2773" t="s">
        <v>2868</v>
      </c>
      <c r="B55" s="184"/>
      <c r="C55" s="3096">
        <v>24</v>
      </c>
      <c r="D55" s="3100"/>
      <c r="E55" s="3091"/>
      <c r="F55" s="3091"/>
      <c r="G55" s="3091"/>
      <c r="H55" s="3091"/>
      <c r="I55" s="3101"/>
      <c r="J55" s="3091"/>
      <c r="K55" s="3090"/>
      <c r="L55" s="3090"/>
      <c r="M55" s="3088"/>
      <c r="N55" s="3088"/>
      <c r="O55" s="3088"/>
      <c r="P55" s="3088"/>
      <c r="Q55" s="3088"/>
      <c r="R55" s="3088"/>
      <c r="S55" s="3088"/>
      <c r="T55" s="3088"/>
      <c r="U55" s="3088"/>
      <c r="V55" s="3088"/>
      <c r="W55" s="3088"/>
      <c r="X55" s="3088"/>
      <c r="Y55" s="3088"/>
      <c r="Z55" s="3088"/>
      <c r="AA55" s="3088"/>
      <c r="AB55" s="3088"/>
      <c r="AC55" s="3088"/>
      <c r="AD55" s="3088"/>
      <c r="AE55" s="3088"/>
      <c r="AF55" s="3088"/>
      <c r="AG55" s="3088"/>
      <c r="AH55" s="3088"/>
      <c r="AI55" s="3088"/>
      <c r="AJ55" s="3088"/>
      <c r="AK55" s="3088"/>
      <c r="AL55" s="3088"/>
      <c r="AM55" s="3088"/>
      <c r="AN55" s="3088"/>
      <c r="AO55" s="3088"/>
      <c r="AP55" s="3088"/>
      <c r="AQ55" s="3088"/>
      <c r="AR55" s="3088"/>
      <c r="AS55" s="3088"/>
      <c r="AT55" s="3088"/>
      <c r="AU55" s="3088"/>
      <c r="AV55" s="3088"/>
      <c r="AW55" s="3088"/>
      <c r="AX55" s="3088"/>
      <c r="AY55" s="3088"/>
      <c r="AZ55" s="3088"/>
    </row>
    <row r="56" spans="1:52" ht="14.25">
      <c r="A56" s="2773" t="s">
        <v>2869</v>
      </c>
      <c r="B56" s="184"/>
      <c r="C56" s="3096">
        <v>18</v>
      </c>
      <c r="D56" s="3100"/>
      <c r="E56" s="3091"/>
      <c r="F56" s="3091"/>
      <c r="G56" s="3091"/>
      <c r="H56" s="3091"/>
      <c r="I56" s="3091"/>
      <c r="J56" s="3091"/>
      <c r="K56" s="3090"/>
      <c r="L56" s="3090"/>
      <c r="M56" s="3088"/>
      <c r="N56" s="3088"/>
      <c r="O56" s="3088"/>
      <c r="P56" s="3088"/>
      <c r="Q56" s="3088"/>
      <c r="R56" s="3088"/>
      <c r="S56" s="3088"/>
      <c r="T56" s="3088"/>
      <c r="U56" s="3088"/>
      <c r="V56" s="3088"/>
      <c r="W56" s="3088"/>
      <c r="X56" s="3088"/>
      <c r="Y56" s="3088"/>
      <c r="Z56" s="3088"/>
      <c r="AA56" s="3088"/>
      <c r="AB56" s="3088"/>
      <c r="AC56" s="3088"/>
      <c r="AD56" s="3088"/>
      <c r="AE56" s="3088"/>
      <c r="AF56" s="3088"/>
      <c r="AG56" s="3088"/>
      <c r="AH56" s="3088"/>
      <c r="AI56" s="3088"/>
      <c r="AJ56" s="3088"/>
      <c r="AK56" s="3088"/>
      <c r="AL56" s="3088"/>
      <c r="AM56" s="3088"/>
      <c r="AN56" s="3088"/>
      <c r="AO56" s="3088"/>
      <c r="AP56" s="3088"/>
      <c r="AQ56" s="3088"/>
      <c r="AR56" s="3088"/>
      <c r="AS56" s="3088"/>
      <c r="AT56" s="3088"/>
      <c r="AU56" s="3088"/>
      <c r="AV56" s="3088"/>
      <c r="AW56" s="3088"/>
      <c r="AX56" s="3088"/>
      <c r="AY56" s="3088"/>
      <c r="AZ56" s="3088"/>
    </row>
    <row r="57" spans="1:52" ht="14.25">
      <c r="A57" s="2773" t="s">
        <v>2870</v>
      </c>
      <c r="B57" s="184"/>
      <c r="C57" s="3096">
        <v>12</v>
      </c>
      <c r="D57" s="3100"/>
      <c r="E57" s="3091"/>
      <c r="F57" s="3091"/>
      <c r="G57" s="3091"/>
      <c r="H57" s="3091"/>
      <c r="I57" s="3091"/>
      <c r="J57" s="3091"/>
      <c r="K57" s="3090"/>
      <c r="L57" s="3090"/>
      <c r="M57" s="3088"/>
      <c r="N57" s="3088"/>
      <c r="O57" s="3088"/>
      <c r="P57" s="3088"/>
      <c r="Q57" s="3088"/>
      <c r="R57" s="3088"/>
      <c r="S57" s="3088"/>
      <c r="T57" s="3088"/>
      <c r="U57" s="3088"/>
      <c r="V57" s="3088"/>
      <c r="W57" s="3088"/>
      <c r="X57" s="3088"/>
      <c r="Y57" s="3088"/>
      <c r="Z57" s="3088"/>
      <c r="AA57" s="3088"/>
      <c r="AB57" s="3088"/>
      <c r="AC57" s="3088"/>
      <c r="AD57" s="3088"/>
      <c r="AE57" s="3088"/>
      <c r="AF57" s="3088"/>
      <c r="AG57" s="3088"/>
      <c r="AH57" s="3088"/>
      <c r="AI57" s="3088"/>
      <c r="AJ57" s="3088"/>
      <c r="AK57" s="3088"/>
      <c r="AL57" s="3088"/>
      <c r="AM57" s="3088"/>
      <c r="AN57" s="3088"/>
      <c r="AO57" s="3088"/>
      <c r="AP57" s="3088"/>
      <c r="AQ57" s="3088"/>
      <c r="AR57" s="3088"/>
      <c r="AS57" s="3088"/>
      <c r="AT57" s="3088"/>
      <c r="AU57" s="3088"/>
      <c r="AV57" s="3088"/>
      <c r="AW57" s="3088"/>
      <c r="AX57" s="3088"/>
      <c r="AY57" s="3088"/>
      <c r="AZ57" s="3088"/>
    </row>
    <row r="58" spans="1:52" ht="14.25">
      <c r="A58" s="2773" t="s">
        <v>2871</v>
      </c>
      <c r="B58" s="184"/>
      <c r="C58" s="3096">
        <v>3</v>
      </c>
      <c r="D58" s="3100"/>
      <c r="E58" s="3091"/>
      <c r="F58" s="3091"/>
      <c r="G58" s="3091"/>
      <c r="H58" s="3091"/>
      <c r="I58" s="3091"/>
      <c r="J58" s="3091"/>
      <c r="K58" s="3090"/>
      <c r="L58" s="3090"/>
      <c r="M58" s="3088"/>
      <c r="N58" s="3088"/>
      <c r="O58" s="3088"/>
      <c r="P58" s="3088"/>
      <c r="Q58" s="3088"/>
      <c r="R58" s="3088"/>
      <c r="S58" s="3088"/>
      <c r="T58" s="3088"/>
      <c r="U58" s="3088"/>
      <c r="V58" s="3088"/>
      <c r="W58" s="3088"/>
      <c r="X58" s="3088"/>
      <c r="Y58" s="3088"/>
      <c r="Z58" s="3088"/>
      <c r="AA58" s="3088"/>
      <c r="AB58" s="3088"/>
      <c r="AC58" s="3088"/>
      <c r="AD58" s="3088"/>
      <c r="AE58" s="3088"/>
      <c r="AF58" s="3088"/>
      <c r="AG58" s="3088"/>
      <c r="AH58" s="3088"/>
      <c r="AI58" s="3088"/>
      <c r="AJ58" s="3088"/>
      <c r="AK58" s="3088"/>
      <c r="AL58" s="3088"/>
      <c r="AM58" s="3088"/>
      <c r="AN58" s="3088"/>
      <c r="AO58" s="3088"/>
      <c r="AP58" s="3088"/>
      <c r="AQ58" s="3088"/>
      <c r="AR58" s="3088"/>
      <c r="AS58" s="3088"/>
      <c r="AT58" s="3088"/>
      <c r="AU58" s="3088"/>
      <c r="AV58" s="3088"/>
      <c r="AW58" s="3088"/>
      <c r="AX58" s="3088"/>
      <c r="AY58" s="3088"/>
      <c r="AZ58" s="3088"/>
    </row>
    <row r="59" spans="1:52" ht="14.25">
      <c r="A59" s="2773" t="s">
        <v>2872</v>
      </c>
      <c r="B59" s="184">
        <v>1.5</v>
      </c>
      <c r="C59" s="3096">
        <v>1.5</v>
      </c>
      <c r="D59" s="3100"/>
      <c r="E59" s="3091"/>
      <c r="F59" s="3091"/>
      <c r="G59" s="3091"/>
      <c r="H59" s="3091"/>
      <c r="I59" s="3091"/>
      <c r="J59" s="3091"/>
      <c r="K59" s="3090"/>
      <c r="L59" s="3090"/>
      <c r="M59" s="3088"/>
      <c r="N59" s="3088"/>
      <c r="O59" s="3088"/>
      <c r="P59" s="3088"/>
      <c r="Q59" s="3088"/>
      <c r="R59" s="3088"/>
      <c r="S59" s="3088"/>
      <c r="T59" s="3088"/>
      <c r="U59" s="3088"/>
      <c r="V59" s="3088"/>
      <c r="W59" s="3088"/>
      <c r="X59" s="3088"/>
      <c r="Y59" s="3088"/>
      <c r="Z59" s="3088"/>
      <c r="AA59" s="3088"/>
      <c r="AB59" s="3088"/>
      <c r="AC59" s="3088"/>
      <c r="AD59" s="3088"/>
      <c r="AE59" s="3088"/>
      <c r="AF59" s="3088"/>
      <c r="AG59" s="3088"/>
      <c r="AH59" s="3088"/>
      <c r="AI59" s="3088"/>
      <c r="AJ59" s="3088"/>
      <c r="AK59" s="3088"/>
      <c r="AL59" s="3088"/>
      <c r="AM59" s="3088"/>
      <c r="AN59" s="3088"/>
      <c r="AO59" s="3088"/>
      <c r="AP59" s="3088"/>
      <c r="AQ59" s="3088"/>
      <c r="AR59" s="3088"/>
      <c r="AS59" s="3088"/>
      <c r="AT59" s="3088"/>
      <c r="AU59" s="3088"/>
      <c r="AV59" s="3088"/>
      <c r="AW59" s="3088"/>
      <c r="AX59" s="3088"/>
      <c r="AY59" s="3088"/>
      <c r="AZ59" s="3088"/>
    </row>
    <row r="60" spans="1:52" ht="14.25">
      <c r="A60" s="2773" t="s">
        <v>2873</v>
      </c>
      <c r="B60" s="184"/>
      <c r="C60" s="3091"/>
      <c r="D60" s="3092"/>
      <c r="E60" s="3091"/>
      <c r="F60" s="3091"/>
      <c r="G60" s="3091"/>
      <c r="H60" s="3091"/>
      <c r="I60" s="3091"/>
      <c r="J60" s="3091"/>
      <c r="K60" s="3090"/>
      <c r="L60" s="3090"/>
      <c r="M60" s="3088"/>
      <c r="N60" s="3088"/>
      <c r="O60" s="3088"/>
      <c r="P60" s="3088"/>
      <c r="Q60" s="3088"/>
      <c r="R60" s="3088"/>
      <c r="S60" s="3088"/>
      <c r="T60" s="3088"/>
      <c r="U60" s="3088"/>
      <c r="V60" s="3088"/>
      <c r="W60" s="3088"/>
      <c r="X60" s="3088"/>
      <c r="Y60" s="3088"/>
      <c r="Z60" s="3088"/>
      <c r="AA60" s="3088"/>
      <c r="AB60" s="3088"/>
      <c r="AC60" s="3088"/>
      <c r="AD60" s="3088"/>
      <c r="AE60" s="3088"/>
      <c r="AF60" s="3088"/>
      <c r="AG60" s="3088"/>
      <c r="AH60" s="3088"/>
      <c r="AI60" s="3088"/>
      <c r="AJ60" s="3088"/>
      <c r="AK60" s="3088"/>
      <c r="AL60" s="3088"/>
      <c r="AM60" s="3088"/>
      <c r="AN60" s="3088"/>
      <c r="AO60" s="3088"/>
      <c r="AP60" s="3088"/>
      <c r="AQ60" s="3088"/>
      <c r="AR60" s="3088"/>
      <c r="AS60" s="3088"/>
      <c r="AT60" s="3088"/>
      <c r="AU60" s="3088"/>
      <c r="AV60" s="3088"/>
      <c r="AW60" s="3088"/>
      <c r="AX60" s="3088"/>
      <c r="AY60" s="3088"/>
      <c r="AZ60" s="3088"/>
    </row>
    <row r="61" spans="1:52" ht="14.25">
      <c r="A61" s="2773" t="s">
        <v>2874</v>
      </c>
      <c r="B61" s="184"/>
      <c r="C61" s="3091"/>
      <c r="D61" s="3092"/>
      <c r="E61" s="3091"/>
      <c r="F61" s="3091"/>
      <c r="G61" s="3091"/>
      <c r="H61" s="3091"/>
      <c r="I61" s="3091"/>
      <c r="J61" s="3091"/>
      <c r="K61" s="3090"/>
      <c r="L61" s="3090"/>
      <c r="M61" s="3088"/>
      <c r="N61" s="3088"/>
      <c r="O61" s="3088"/>
      <c r="P61" s="3088"/>
      <c r="Q61" s="3088"/>
      <c r="R61" s="3088"/>
      <c r="S61" s="3088"/>
      <c r="T61" s="3088"/>
      <c r="U61" s="3088"/>
      <c r="V61" s="3088"/>
      <c r="W61" s="3088"/>
      <c r="X61" s="3088"/>
      <c r="Y61" s="3088"/>
      <c r="Z61" s="3088"/>
      <c r="AA61" s="3088"/>
      <c r="AB61" s="3088"/>
      <c r="AC61" s="3088"/>
      <c r="AD61" s="3088"/>
      <c r="AE61" s="3088"/>
      <c r="AF61" s="3088"/>
      <c r="AG61" s="3088"/>
      <c r="AH61" s="3088"/>
      <c r="AI61" s="3088"/>
      <c r="AJ61" s="3088"/>
      <c r="AK61" s="3088"/>
      <c r="AL61" s="3088"/>
      <c r="AM61" s="3088"/>
      <c r="AN61" s="3088"/>
      <c r="AO61" s="3088"/>
      <c r="AP61" s="3088"/>
      <c r="AQ61" s="3088"/>
      <c r="AR61" s="3088"/>
      <c r="AS61" s="3088"/>
      <c r="AT61" s="3088"/>
      <c r="AU61" s="3088"/>
      <c r="AV61" s="3088"/>
      <c r="AW61" s="3088"/>
      <c r="AX61" s="3088"/>
      <c r="AY61" s="3088"/>
      <c r="AZ61" s="3088"/>
    </row>
    <row r="62" spans="1:52" ht="14.25">
      <c r="A62" s="2773" t="s">
        <v>2875</v>
      </c>
      <c r="B62" s="184"/>
      <c r="C62" s="3091"/>
      <c r="D62" s="3092"/>
      <c r="E62" s="3091"/>
      <c r="F62" s="3091"/>
      <c r="G62" s="3091"/>
      <c r="H62" s="3091"/>
      <c r="I62" s="3091"/>
      <c r="J62" s="3091"/>
      <c r="K62" s="3090"/>
      <c r="L62" s="3090"/>
      <c r="M62" s="3088"/>
      <c r="N62" s="3088"/>
      <c r="O62" s="3088"/>
      <c r="P62" s="3088"/>
      <c r="Q62" s="3088"/>
      <c r="R62" s="3088"/>
      <c r="S62" s="3088"/>
      <c r="T62" s="3088"/>
      <c r="U62" s="3088"/>
      <c r="V62" s="3088"/>
      <c r="W62" s="3088"/>
      <c r="X62" s="3088"/>
      <c r="Y62" s="3088"/>
      <c r="Z62" s="3088"/>
      <c r="AA62" s="3088"/>
      <c r="AB62" s="3088"/>
      <c r="AC62" s="3088"/>
      <c r="AD62" s="3088"/>
      <c r="AE62" s="3088"/>
      <c r="AF62" s="3088"/>
      <c r="AG62" s="3088"/>
      <c r="AH62" s="3088"/>
      <c r="AI62" s="3088"/>
      <c r="AJ62" s="3088"/>
      <c r="AK62" s="3088"/>
      <c r="AL62" s="3088"/>
      <c r="AM62" s="3088"/>
      <c r="AN62" s="3088"/>
      <c r="AO62" s="3088"/>
      <c r="AP62" s="3088"/>
      <c r="AQ62" s="3088"/>
      <c r="AR62" s="3088"/>
      <c r="AS62" s="3088"/>
      <c r="AT62" s="3088"/>
      <c r="AU62" s="3088"/>
      <c r="AV62" s="3088"/>
      <c r="AW62" s="3088"/>
      <c r="AX62" s="3088"/>
      <c r="AY62" s="3088"/>
      <c r="AZ62" s="3088"/>
    </row>
    <row r="63" spans="1:52" ht="15" thickBot="1">
      <c r="A63" s="2774" t="s">
        <v>2876</v>
      </c>
      <c r="B63" s="250"/>
      <c r="C63" s="3091"/>
      <c r="D63" s="3092"/>
      <c r="E63" s="3091"/>
      <c r="F63" s="3091"/>
      <c r="G63" s="3091"/>
      <c r="H63" s="3091"/>
      <c r="I63" s="3091"/>
      <c r="J63" s="3091"/>
      <c r="K63" s="3090"/>
      <c r="L63" s="3090"/>
      <c r="M63" s="3088"/>
      <c r="N63" s="3088"/>
      <c r="O63" s="3088"/>
      <c r="P63" s="3088"/>
      <c r="Q63" s="3088"/>
      <c r="R63" s="3088"/>
      <c r="S63" s="3088"/>
      <c r="T63" s="3088"/>
      <c r="U63" s="3088"/>
      <c r="V63" s="3088"/>
      <c r="W63" s="3088"/>
      <c r="X63" s="3088"/>
      <c r="Y63" s="3088"/>
      <c r="Z63" s="3088"/>
      <c r="AA63" s="3088"/>
      <c r="AB63" s="3088"/>
      <c r="AC63" s="3088"/>
      <c r="AD63" s="3088"/>
      <c r="AE63" s="3088"/>
      <c r="AF63" s="3088"/>
      <c r="AG63" s="3088"/>
      <c r="AH63" s="3088"/>
      <c r="AI63" s="3088"/>
      <c r="AJ63" s="3088"/>
      <c r="AK63" s="3088"/>
      <c r="AL63" s="3088"/>
      <c r="AM63" s="3088"/>
      <c r="AN63" s="3088"/>
      <c r="AO63" s="3088"/>
      <c r="AP63" s="3088"/>
      <c r="AQ63" s="3088"/>
      <c r="AR63" s="3088"/>
      <c r="AS63" s="3088"/>
      <c r="AT63" s="3088"/>
      <c r="AU63" s="3088"/>
      <c r="AV63" s="3088"/>
      <c r="AW63" s="3088"/>
      <c r="AX63" s="3088"/>
      <c r="AY63" s="3088"/>
      <c r="AZ63" s="3088"/>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99" priority="12" stopIfTrue="1" operator="containsText" text="自行计算">
      <formula>NOT(ISERROR(SEARCH("自行计算",T6)))</formula>
    </cfRule>
    <cfRule type="containsText" dxfId="198" priority="13" stopIfTrue="1" operator="containsText" text="自行计算">
      <formula>NOT(ISERROR(SEARCH("自行计算",T6)))</formula>
    </cfRule>
  </conditionalFormatting>
  <conditionalFormatting sqref="T6:T13">
    <cfRule type="containsText" dxfId="197" priority="10" stopIfTrue="1" operator="containsText" text="自行计算">
      <formula>NOT(ISERROR(SEARCH("自行计算",T6)))</formula>
    </cfRule>
    <cfRule type="containsText" dxfId="196" priority="11" stopIfTrue="1" operator="containsText" text="自行计算">
      <formula>NOT(ISERROR(SEARCH("自行计算",T6)))</formula>
    </cfRule>
  </conditionalFormatting>
  <conditionalFormatting sqref="T12:T13">
    <cfRule type="containsText" dxfId="195" priority="4" stopIfTrue="1" operator="containsText" text="自行计算">
      <formula>NOT(ISERROR(SEARCH("自行计算",T12)))</formula>
    </cfRule>
    <cfRule type="containsText" dxfId="194" priority="5" stopIfTrue="1" operator="containsText" text="自行计算">
      <formula>NOT(ISERROR(SEARCH("自行计算",T12)))</formula>
    </cfRule>
  </conditionalFormatting>
  <conditionalFormatting sqref="T12:T13">
    <cfRule type="containsText" dxfId="193" priority="2" stopIfTrue="1" operator="containsText" text="自行计算">
      <formula>NOT(ISERROR(SEARCH("自行计算",T12)))</formula>
    </cfRule>
    <cfRule type="containsText" dxfId="192" priority="3" stopIfTrue="1" operator="containsText" text="自行计算">
      <formula>NOT(ISERROR(SEARCH("自行计算",T12)))</formula>
    </cfRule>
  </conditionalFormatting>
  <conditionalFormatting sqref="T6:T15">
    <cfRule type="expression" dxfId="191" priority="1" stopIfTrue="1">
      <formula>$T$4="按面积比例"</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3122" customWidth="1"/>
    <col min="2" max="2" width="23.5" style="3154" customWidth="1"/>
    <col min="3" max="3" width="32.25" style="3156" customWidth="1"/>
    <col min="4" max="4" width="2.625" style="3156" customWidth="1"/>
    <col min="5" max="5" width="5.875" style="3156" customWidth="1"/>
    <col min="6" max="6" width="23.625" style="3154" customWidth="1"/>
    <col min="7" max="7" width="33.375" style="3155" customWidth="1"/>
    <col min="8" max="8" width="11.875" style="3154" customWidth="1"/>
    <col min="9" max="9" width="16.75" style="3155" customWidth="1"/>
    <col min="10" max="10" width="2.625" style="3156" customWidth="1"/>
    <col min="11" max="11" width="11.875" style="3154" customWidth="1"/>
    <col min="12" max="12" width="16.75" style="3155" customWidth="1"/>
    <col min="13" max="13" width="2.625" style="3156" customWidth="1"/>
    <col min="14" max="14" width="11.875" style="3154" customWidth="1"/>
    <col min="15" max="15" width="16.75" style="3155" customWidth="1"/>
    <col min="16" max="16" width="2.625" style="3156" customWidth="1"/>
    <col min="17" max="17" width="11.875" style="3154" customWidth="1"/>
    <col min="18" max="18" width="16.75" style="3157" customWidth="1"/>
    <col min="19" max="16384" width="9" style="3122"/>
  </cols>
  <sheetData>
    <row r="1" spans="1:18" s="3116" customFormat="1" ht="19.5" thickBot="1">
      <c r="A1" s="3471" t="s">
        <v>1651</v>
      </c>
      <c r="B1" s="3472"/>
      <c r="C1" s="3472"/>
      <c r="D1" s="3472"/>
      <c r="E1" s="3472"/>
      <c r="F1" s="3472"/>
      <c r="G1" s="3472"/>
      <c r="H1" s="3111"/>
      <c r="I1" s="3112"/>
      <c r="J1" s="3113"/>
      <c r="K1" s="3111"/>
      <c r="L1" s="3112"/>
      <c r="M1" s="3113"/>
      <c r="N1" s="3111"/>
      <c r="O1" s="3112"/>
      <c r="P1" s="3113"/>
      <c r="Q1" s="3114"/>
      <c r="R1" s="3115"/>
    </row>
    <row r="2" spans="1:18" ht="14.25" thickBot="1">
      <c r="A2" s="3117"/>
      <c r="B2" s="3118"/>
      <c r="C2" s="3119" t="s">
        <v>1652</v>
      </c>
      <c r="D2" s="3120"/>
      <c r="E2" s="3117"/>
      <c r="F2" s="3121"/>
      <c r="G2" s="3119" t="s">
        <v>1653</v>
      </c>
      <c r="H2" s="3122"/>
      <c r="I2" s="3122"/>
      <c r="J2" s="3122"/>
      <c r="K2" s="3122"/>
      <c r="L2" s="3122"/>
      <c r="M2" s="3122"/>
      <c r="N2" s="3122"/>
      <c r="O2" s="3122"/>
      <c r="P2" s="3122"/>
      <c r="Q2" s="3122"/>
      <c r="R2" s="3122"/>
    </row>
    <row r="3" spans="1:18" ht="67.5">
      <c r="A3" s="3123" t="s">
        <v>1654</v>
      </c>
      <c r="B3" s="3124" t="s">
        <v>1641</v>
      </c>
      <c r="C3" s="3294" t="s">
        <v>3019</v>
      </c>
      <c r="D3" s="3125"/>
      <c r="E3" s="3126" t="s">
        <v>1654</v>
      </c>
      <c r="F3" s="3127" t="s">
        <v>1642</v>
      </c>
      <c r="G3" s="3128" t="s">
        <v>2881</v>
      </c>
      <c r="H3" s="3122"/>
      <c r="I3" s="3122"/>
      <c r="J3" s="3122"/>
      <c r="K3" s="3122"/>
      <c r="L3" s="3122"/>
      <c r="M3" s="3122"/>
      <c r="N3" s="3122"/>
      <c r="O3" s="3122"/>
      <c r="P3" s="3122"/>
      <c r="Q3" s="3122"/>
      <c r="R3" s="3122"/>
    </row>
    <row r="4" spans="1:18" ht="81">
      <c r="A4" s="3126"/>
      <c r="B4" s="3129" t="s">
        <v>1655</v>
      </c>
      <c r="C4" s="3295" t="s">
        <v>3020</v>
      </c>
      <c r="D4" s="3125"/>
      <c r="E4" s="3130"/>
      <c r="F4" s="3131" t="s">
        <v>1656</v>
      </c>
      <c r="G4" s="3132" t="s">
        <v>2878</v>
      </c>
      <c r="H4" s="3122"/>
      <c r="I4" s="3122"/>
      <c r="J4" s="3122"/>
      <c r="K4" s="3122"/>
      <c r="L4" s="3122"/>
      <c r="M4" s="3122"/>
      <c r="N4" s="3122"/>
      <c r="O4" s="3122"/>
      <c r="P4" s="3122"/>
      <c r="Q4" s="3122"/>
      <c r="R4" s="3122"/>
    </row>
    <row r="5" spans="1:18" ht="54">
      <c r="A5" s="3126"/>
      <c r="B5" s="3129" t="s">
        <v>1657</v>
      </c>
      <c r="C5" s="3295" t="s">
        <v>3021</v>
      </c>
      <c r="D5" s="3125"/>
      <c r="E5" s="3130"/>
      <c r="F5" s="3129" t="s">
        <v>2522</v>
      </c>
      <c r="G5" s="3132" t="s">
        <v>2879</v>
      </c>
      <c r="H5" s="3122"/>
      <c r="I5" s="3122"/>
      <c r="J5" s="3122"/>
      <c r="K5" s="3122"/>
      <c r="L5" s="3122"/>
      <c r="M5" s="3122"/>
      <c r="N5" s="3122"/>
      <c r="O5" s="3122"/>
      <c r="P5" s="3122"/>
      <c r="Q5" s="3122"/>
      <c r="R5" s="3122"/>
    </row>
    <row r="6" spans="1:18" ht="54">
      <c r="A6" s="3126"/>
      <c r="B6" s="3129" t="s">
        <v>1643</v>
      </c>
      <c r="C6" s="3296" t="s">
        <v>3022</v>
      </c>
      <c r="D6" s="3125"/>
      <c r="E6" s="3130"/>
      <c r="F6" s="3129" t="s">
        <v>2523</v>
      </c>
      <c r="G6" s="3132" t="s">
        <v>2877</v>
      </c>
      <c r="H6" s="3122"/>
      <c r="I6" s="3122"/>
      <c r="J6" s="3122"/>
      <c r="K6" s="3122"/>
      <c r="L6" s="3122"/>
      <c r="M6" s="3122"/>
      <c r="N6" s="3122"/>
      <c r="O6" s="3122"/>
      <c r="P6" s="3122"/>
      <c r="Q6" s="3122"/>
      <c r="R6" s="3122"/>
    </row>
    <row r="7" spans="1:18" ht="95.25" thickBot="1">
      <c r="A7" s="3126"/>
      <c r="B7" s="3129" t="s">
        <v>2522</v>
      </c>
      <c r="C7" s="3296" t="s">
        <v>3023</v>
      </c>
      <c r="D7" s="3133"/>
      <c r="E7" s="3134"/>
      <c r="F7" s="3135" t="s">
        <v>1658</v>
      </c>
      <c r="G7" s="3136" t="s">
        <v>2880</v>
      </c>
      <c r="H7" s="3122"/>
      <c r="I7" s="3122"/>
      <c r="J7" s="3122"/>
      <c r="K7" s="3122"/>
      <c r="L7" s="3122"/>
      <c r="M7" s="3122"/>
      <c r="N7" s="3122"/>
      <c r="O7" s="3122"/>
      <c r="P7" s="3122"/>
      <c r="Q7" s="3122"/>
      <c r="R7" s="3122"/>
    </row>
    <row r="8" spans="1:18">
      <c r="A8" s="3126"/>
      <c r="B8" s="3129" t="s">
        <v>2523</v>
      </c>
      <c r="C8" s="3296" t="s">
        <v>1968</v>
      </c>
      <c r="D8" s="3133"/>
      <c r="E8" s="3133"/>
      <c r="F8" s="3137"/>
      <c r="G8" s="3137"/>
      <c r="H8" s="3122"/>
      <c r="I8" s="3122"/>
      <c r="J8" s="3122"/>
      <c r="K8" s="3122"/>
      <c r="L8" s="3122"/>
      <c r="M8" s="3122"/>
      <c r="N8" s="3122"/>
      <c r="O8" s="3122"/>
      <c r="P8" s="3122"/>
      <c r="Q8" s="3122"/>
      <c r="R8" s="3122"/>
    </row>
    <row r="9" spans="1:18" ht="40.5">
      <c r="A9" s="3126"/>
      <c r="B9" s="3129" t="s">
        <v>1644</v>
      </c>
      <c r="C9" s="3295" t="s">
        <v>3024</v>
      </c>
      <c r="D9" s="3125"/>
      <c r="E9" s="3133"/>
      <c r="F9" s="3137"/>
      <c r="G9" s="3137"/>
      <c r="H9" s="3122"/>
      <c r="I9" s="3122"/>
      <c r="J9" s="3122"/>
      <c r="K9" s="3122"/>
      <c r="L9" s="3122"/>
      <c r="M9" s="3122"/>
      <c r="N9" s="3122"/>
      <c r="O9" s="3122"/>
      <c r="P9" s="3122"/>
      <c r="Q9" s="3122"/>
      <c r="R9" s="3122"/>
    </row>
    <row r="10" spans="1:18" s="3143" customFormat="1" ht="14.25" thickBot="1">
      <c r="A10" s="3138"/>
      <c r="B10" s="3139" t="s">
        <v>1659</v>
      </c>
      <c r="C10" s="3297" t="s">
        <v>3149</v>
      </c>
      <c r="D10" s="3125"/>
      <c r="E10" s="3125"/>
      <c r="F10" s="3137"/>
      <c r="G10" s="3137"/>
      <c r="H10" s="3140"/>
      <c r="I10" s="3141"/>
      <c r="J10" s="3142"/>
      <c r="K10" s="3140"/>
      <c r="L10" s="3141"/>
      <c r="M10" s="3142"/>
      <c r="N10" s="3140"/>
      <c r="O10" s="3141"/>
      <c r="P10" s="3142"/>
      <c r="Q10" s="3140"/>
      <c r="R10" s="3141"/>
    </row>
    <row r="11" spans="1:18" s="3143" customFormat="1">
      <c r="A11" s="3144"/>
      <c r="B11" s="3133"/>
      <c r="C11" s="3125"/>
      <c r="D11" s="3125"/>
      <c r="E11" s="3125"/>
      <c r="F11" s="3133"/>
      <c r="G11" s="3145"/>
      <c r="H11" s="3140"/>
      <c r="I11" s="3141"/>
      <c r="J11" s="3142"/>
      <c r="K11" s="3140"/>
      <c r="L11" s="3141"/>
      <c r="M11" s="3142"/>
      <c r="N11" s="3140"/>
      <c r="O11" s="3141"/>
      <c r="P11" s="3142"/>
      <c r="Q11" s="3140"/>
      <c r="R11" s="3141"/>
    </row>
    <row r="12" spans="1:18" s="3116" customFormat="1" ht="18.75">
      <c r="A12" s="3144"/>
      <c r="B12" s="3133"/>
      <c r="C12" s="3125"/>
      <c r="D12" s="3146"/>
      <c r="E12" s="3125"/>
      <c r="F12" s="3133"/>
      <c r="G12" s="3145"/>
      <c r="H12" s="3147"/>
      <c r="I12" s="3148"/>
      <c r="J12" s="3147"/>
      <c r="K12" s="3147"/>
      <c r="L12" s="3149"/>
      <c r="M12" s="3147"/>
      <c r="N12" s="3150"/>
      <c r="O12" s="3151"/>
      <c r="P12" s="3152"/>
      <c r="Q12" s="3150"/>
      <c r="R12" s="3115"/>
    </row>
    <row r="13" spans="1:18" ht="19.5" thickBot="1">
      <c r="A13" s="3153" t="s">
        <v>1660</v>
      </c>
      <c r="B13" s="3146"/>
      <c r="C13" s="3146"/>
      <c r="D13" s="3120"/>
      <c r="E13" s="3146"/>
      <c r="F13" s="3146"/>
      <c r="G13" s="3146"/>
    </row>
    <row r="14" spans="1:18" ht="14.25" thickBot="1">
      <c r="A14" s="3158"/>
      <c r="B14" s="3158"/>
      <c r="C14" s="3159" t="s">
        <v>1652</v>
      </c>
      <c r="D14" s="3125"/>
      <c r="E14" s="3160"/>
      <c r="F14" s="3160"/>
      <c r="G14" s="3119" t="s">
        <v>1653</v>
      </c>
    </row>
    <row r="15" spans="1:18" ht="67.5">
      <c r="A15" s="3161" t="s">
        <v>1645</v>
      </c>
      <c r="B15" s="3162" t="s">
        <v>1641</v>
      </c>
      <c r="C15" s="3163" t="str">
        <f>C3</f>
        <v>估价对象位于北京市通州区经济开发区西区南扩区，周边有芳草园小区、环湖小镇、月亮湾小镇、太玉园等住宅小区，入住率较好，居住社区成熟度一般。</v>
      </c>
      <c r="D15" s="3125"/>
      <c r="E15" s="3164" t="s">
        <v>1646</v>
      </c>
      <c r="F15" s="3162" t="s">
        <v>1661</v>
      </c>
      <c r="G15" s="3165" t="str">
        <f>G3</f>
        <v>估价对象位于XX开发区，园区建设成熟度XX，产业集聚程度XX</v>
      </c>
    </row>
    <row r="16" spans="1:18" ht="81">
      <c r="A16" s="3166"/>
      <c r="B16" s="3167" t="s">
        <v>1655</v>
      </c>
      <c r="C16" s="3168" t="str">
        <f>C4</f>
        <v>估价对象位于通州区经济开发区西区南扩区，估价对象周边有世纪华联超市、福联美超市、美乐购超市、新世纪大卖场等商业服务设施，距离均在2公里范围外，且分布较为分散，综合考虑商业繁华度一般。</v>
      </c>
      <c r="D16" s="3125"/>
      <c r="E16" s="3169"/>
      <c r="F16" s="3170" t="s">
        <v>1656</v>
      </c>
      <c r="G16" s="3171" t="str">
        <f>G4</f>
        <v>估价对象周边道路状况、公共交通通达情况、停车便捷程度，综合评价交通便捷度较好</v>
      </c>
    </row>
    <row r="17" spans="1:7" ht="54">
      <c r="A17" s="3166"/>
      <c r="B17" s="3167" t="s">
        <v>1657</v>
      </c>
      <c r="C17" s="3168" t="str">
        <f>C5</f>
        <v>估价对象周边有科技大厦、森工大厦、方和正元工业园等办公楼项目，但分布较为分散，办公集聚程度一般。</v>
      </c>
      <c r="D17" s="3133"/>
      <c r="E17" s="3169"/>
      <c r="F17" s="3170" t="s">
        <v>1662</v>
      </c>
      <c r="G17" s="3172"/>
    </row>
    <row r="18" spans="1:7" ht="54">
      <c r="A18" s="3166"/>
      <c r="B18" s="3170" t="s">
        <v>1643</v>
      </c>
      <c r="C18" s="3171" t="str">
        <f>C6</f>
        <v>估价对象周边有通14路、通50路、通64路等公交线路；距地铁7号线（花庄站）约2公里，交通便捷度一般</v>
      </c>
      <c r="D18" s="3133"/>
      <c r="E18" s="3169"/>
      <c r="F18" s="3170" t="s">
        <v>1658</v>
      </c>
      <c r="G18" s="3171" t="str">
        <f>G7</f>
        <v>该园区内是否有污染型企业，绿化情况，卫生条件，整体环境状况判断</v>
      </c>
    </row>
    <row r="19" spans="1:7" ht="27">
      <c r="A19" s="3166"/>
      <c r="B19" s="3170" t="s">
        <v>1647</v>
      </c>
      <c r="C19" s="3172"/>
      <c r="D19" s="3125"/>
      <c r="E19" s="3169"/>
      <c r="F19" s="3129" t="s">
        <v>2522</v>
      </c>
      <c r="G19" s="3171" t="str">
        <f>G5</f>
        <v>估价对象所在区域公共配套设施齐备情况</v>
      </c>
    </row>
    <row r="20" spans="1:7" ht="40.5">
      <c r="A20" s="3166"/>
      <c r="B20" s="3170" t="s">
        <v>1648</v>
      </c>
      <c r="C20" s="3168" t="str">
        <f>C9</f>
        <v>区域自然环境：通州大运河森林公园、凉水河；人文环境：北京环球度假区；综合评价环境状况较好</v>
      </c>
      <c r="D20" s="3133"/>
      <c r="E20" s="3169"/>
      <c r="F20" s="3129" t="s">
        <v>2523</v>
      </c>
      <c r="G20" s="3171" t="str">
        <f>G6</f>
        <v>估价对象所在区域基础设施水平</v>
      </c>
    </row>
    <row r="21" spans="1:7" ht="94.5">
      <c r="A21" s="3166"/>
      <c r="B21" s="3129" t="s">
        <v>2522</v>
      </c>
      <c r="C21" s="3171" t="str">
        <f>C7</f>
        <v>估价对象所在区域有张家湾中心幼儿园、张家湾中心小学、张家湾中学等教育资源，有中国建设银行、北京市农村商业银行等金融机构，有世纪华联超市等商业服务设施，有北京运通中医医院等医疗设施，公共服务设施齐备度一般</v>
      </c>
      <c r="D21" s="3125"/>
      <c r="E21" s="3169"/>
      <c r="F21" s="3170" t="s">
        <v>1649</v>
      </c>
      <c r="G21" s="3173"/>
    </row>
    <row r="22" spans="1:7" ht="14.25">
      <c r="A22" s="3166"/>
      <c r="B22" s="3129" t="s">
        <v>2523</v>
      </c>
      <c r="C22" s="3171" t="str">
        <f>C8</f>
        <v>七通</v>
      </c>
      <c r="D22" s="3125"/>
      <c r="E22" s="3169"/>
      <c r="F22" s="3170" t="s">
        <v>1659</v>
      </c>
      <c r="G22" s="3172"/>
    </row>
    <row r="23" spans="1:7" ht="15" thickBot="1">
      <c r="A23" s="3166"/>
      <c r="B23" s="3170" t="s">
        <v>1649</v>
      </c>
      <c r="C23" s="3173"/>
      <c r="E23" s="3174"/>
      <c r="F23" s="3175" t="s">
        <v>1663</v>
      </c>
      <c r="G23" s="3176"/>
    </row>
    <row r="24" spans="1:7" ht="14.25" thickBot="1">
      <c r="A24" s="3177"/>
      <c r="B24" s="3175" t="s">
        <v>1650</v>
      </c>
      <c r="C24" s="3178" t="str">
        <f>C10</f>
        <v>城市主干道——张凤路</v>
      </c>
      <c r="E24" s="3179"/>
      <c r="F24" s="3179"/>
      <c r="G24" s="3180"/>
    </row>
    <row r="25" spans="1:7">
      <c r="E25" s="3122"/>
      <c r="F25" s="3122"/>
      <c r="G25" s="3122"/>
    </row>
    <row r="26" spans="1:7">
      <c r="E26" s="3122"/>
      <c r="F26" s="3122"/>
      <c r="G26" s="3122"/>
    </row>
    <row r="27" spans="1:7">
      <c r="E27" s="3122"/>
      <c r="F27" s="3122"/>
      <c r="G27" s="3122"/>
    </row>
    <row r="28" spans="1:7">
      <c r="E28" s="3122"/>
      <c r="F28" s="3122"/>
      <c r="G28" s="3122"/>
    </row>
    <row r="29" spans="1:7">
      <c r="E29" s="3122"/>
      <c r="F29" s="3122"/>
      <c r="G29" s="3122"/>
    </row>
    <row r="30" spans="1:7">
      <c r="E30" s="3122"/>
      <c r="F30" s="3122"/>
      <c r="G30" s="3122"/>
    </row>
    <row r="31" spans="1:7">
      <c r="E31" s="3122"/>
      <c r="F31" s="3122"/>
      <c r="G31" s="3122"/>
    </row>
    <row r="32" spans="1:7">
      <c r="E32" s="3122"/>
      <c r="F32" s="3122"/>
      <c r="G32" s="3122"/>
    </row>
    <row r="33" spans="5:7">
      <c r="E33" s="3122"/>
      <c r="F33" s="3122"/>
      <c r="G33" s="3122"/>
    </row>
    <row r="34" spans="5:7">
      <c r="E34" s="3122"/>
      <c r="F34" s="3122"/>
      <c r="G34" s="3122"/>
    </row>
    <row r="35" spans="5:7">
      <c r="E35" s="3122"/>
      <c r="F35" s="3122"/>
      <c r="G35" s="3122"/>
    </row>
    <row r="36" spans="5:7">
      <c r="E36" s="3122"/>
      <c r="F36" s="3122"/>
      <c r="G36" s="3122"/>
    </row>
    <row r="37" spans="5:7">
      <c r="E37" s="3122"/>
      <c r="F37" s="3122"/>
      <c r="G37" s="312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2" customWidth="1"/>
    <col min="2" max="16384" width="14.625" style="3182"/>
  </cols>
  <sheetData>
    <row r="1" spans="1:10" ht="16.5">
      <c r="A1" s="3181" t="s">
        <v>2818</v>
      </c>
      <c r="B1" s="3181">
        <f>SUM(B14:B23)</f>
        <v>142378.302</v>
      </c>
      <c r="C1" s="3190"/>
      <c r="D1" s="3190"/>
      <c r="E1" s="3190"/>
      <c r="F1" s="3190"/>
      <c r="G1" s="3191"/>
      <c r="H1" s="3191"/>
      <c r="I1" s="3191"/>
      <c r="J1" s="3191"/>
    </row>
    <row r="2" spans="1:10" ht="16.5">
      <c r="A2" s="3181" t="s">
        <v>2819</v>
      </c>
      <c r="B2" s="3181">
        <f>SUM(C14:C23)</f>
        <v>32358.705000000002</v>
      </c>
      <c r="C2" s="3190"/>
      <c r="D2" s="3190"/>
      <c r="E2" s="3190"/>
      <c r="F2" s="3190"/>
      <c r="G2" s="3191"/>
      <c r="H2" s="3191"/>
      <c r="I2" s="3191"/>
      <c r="J2" s="3191"/>
    </row>
    <row r="3" spans="1:10" ht="16.5">
      <c r="A3" s="3181" t="s">
        <v>2820</v>
      </c>
      <c r="B3" s="3183">
        <f>项目基本情况!D3</f>
        <v>44463</v>
      </c>
      <c r="C3" s="3190"/>
      <c r="D3" s="3190"/>
      <c r="E3" s="3190"/>
      <c r="F3" s="3190"/>
      <c r="G3" s="3191"/>
      <c r="H3" s="3191"/>
      <c r="I3" s="3191"/>
      <c r="J3" s="3191"/>
    </row>
    <row r="4" spans="1:10" ht="33">
      <c r="A4" s="3181" t="s">
        <v>2821</v>
      </c>
      <c r="B4" s="3181" t="s">
        <v>2822</v>
      </c>
      <c r="C4" s="3181" t="s">
        <v>2823</v>
      </c>
      <c r="D4" s="3181" t="s">
        <v>2824</v>
      </c>
      <c r="E4" s="3190"/>
      <c r="F4" s="3190"/>
      <c r="G4" s="3191"/>
      <c r="H4" s="3191"/>
      <c r="I4" s="3191"/>
      <c r="J4" s="3191"/>
    </row>
    <row r="5" spans="1:10" ht="16.5">
      <c r="A5" s="3181" t="s">
        <v>2825</v>
      </c>
      <c r="B5" s="3181">
        <f ca="1">SUM(D14:D23)</f>
        <v>71192</v>
      </c>
      <c r="C5" s="3181">
        <f ca="1">ROUND(B5*10000/$B$1,0)</f>
        <v>5000</v>
      </c>
      <c r="D5" s="3181">
        <f ca="1">ROUND(B5*10000/$B$2,0)</f>
        <v>22001</v>
      </c>
      <c r="E5" s="3190"/>
      <c r="F5" s="3190"/>
      <c r="G5" s="3191"/>
      <c r="H5" s="3191"/>
      <c r="I5" s="3191"/>
      <c r="J5" s="3191"/>
    </row>
    <row r="6" spans="1:10" ht="16.5">
      <c r="A6" s="3181" t="s">
        <v>2826</v>
      </c>
      <c r="B6" s="3181">
        <f>SUM(G14:G23)</f>
        <v>0</v>
      </c>
      <c r="C6" s="3181">
        <f t="shared" ref="C6:C8" si="0">ROUND(B6*10000/$B$1,0)</f>
        <v>0</v>
      </c>
      <c r="D6" s="3181">
        <f t="shared" ref="D6:D8" si="1">ROUND(B6*10000/$B$2,0)</f>
        <v>0</v>
      </c>
      <c r="E6" s="3190"/>
      <c r="F6" s="3190"/>
      <c r="G6" s="3191"/>
      <c r="H6" s="3191"/>
      <c r="I6" s="3191"/>
      <c r="J6" s="3191"/>
    </row>
    <row r="7" spans="1:10" ht="16.5">
      <c r="A7" s="3181" t="s">
        <v>2827</v>
      </c>
      <c r="B7" s="3181">
        <f>SUM(H14:H23)</f>
        <v>0</v>
      </c>
      <c r="C7" s="3181">
        <f t="shared" si="0"/>
        <v>0</v>
      </c>
      <c r="D7" s="3181">
        <f t="shared" si="1"/>
        <v>0</v>
      </c>
      <c r="E7" s="3190"/>
      <c r="F7" s="3190"/>
      <c r="G7" s="3191"/>
      <c r="H7" s="3191"/>
      <c r="I7" s="3191"/>
      <c r="J7" s="3191"/>
    </row>
    <row r="8" spans="1:10" ht="16.5">
      <c r="A8" s="3181" t="s">
        <v>2828</v>
      </c>
      <c r="B8" s="3181">
        <f>SUM(I14:I23)</f>
        <v>0</v>
      </c>
      <c r="C8" s="3181">
        <f t="shared" si="0"/>
        <v>0</v>
      </c>
      <c r="D8" s="3181">
        <f t="shared" si="1"/>
        <v>0</v>
      </c>
      <c r="E8" s="3190"/>
      <c r="F8" s="3190"/>
      <c r="G8" s="3191"/>
      <c r="H8" s="3191"/>
      <c r="I8" s="3191"/>
      <c r="J8" s="3191"/>
    </row>
    <row r="9" spans="1:10" ht="16.5">
      <c r="A9" s="3181" t="s">
        <v>2829</v>
      </c>
      <c r="B9" s="3189"/>
      <c r="C9" s="3190"/>
      <c r="D9" s="3190"/>
      <c r="E9" s="3190"/>
      <c r="F9" s="3190"/>
      <c r="G9" s="3191"/>
      <c r="H9" s="3191"/>
      <c r="I9" s="3191"/>
      <c r="J9" s="3191"/>
    </row>
    <row r="10" spans="1:10" ht="16.5">
      <c r="A10" s="3181" t="s">
        <v>2830</v>
      </c>
      <c r="B10" s="3189"/>
      <c r="C10" s="3190"/>
      <c r="D10" s="3190"/>
      <c r="E10" s="3190"/>
      <c r="F10" s="3190"/>
      <c r="G10" s="3191"/>
      <c r="H10" s="3191"/>
      <c r="I10" s="3191"/>
      <c r="J10" s="3191"/>
    </row>
    <row r="11" spans="1:10" ht="16.5">
      <c r="A11" s="3181" t="s">
        <v>2847</v>
      </c>
      <c r="B11" s="3189"/>
      <c r="C11" s="3190"/>
      <c r="D11" s="3190"/>
      <c r="E11" s="3190"/>
      <c r="F11" s="3190"/>
      <c r="G11" s="3191"/>
      <c r="H11" s="3191"/>
      <c r="I11" s="3191"/>
      <c r="J11" s="3191"/>
    </row>
    <row r="12" spans="1:10" ht="16.5">
      <c r="A12" s="3190"/>
      <c r="B12" s="3190"/>
      <c r="C12" s="3190"/>
      <c r="D12" s="3190"/>
      <c r="E12" s="3190"/>
      <c r="F12" s="3190"/>
      <c r="G12" s="3191"/>
      <c r="H12" s="3191"/>
      <c r="I12" s="3191"/>
      <c r="J12" s="3191"/>
    </row>
    <row r="13" spans="1:10" ht="33">
      <c r="A13" s="3184" t="s">
        <v>2846</v>
      </c>
      <c r="B13" s="3185" t="s">
        <v>2818</v>
      </c>
      <c r="C13" s="3185" t="s">
        <v>2819</v>
      </c>
      <c r="D13" s="3185" t="s">
        <v>2831</v>
      </c>
      <c r="E13" s="3181" t="s">
        <v>2845</v>
      </c>
      <c r="F13" s="3181" t="s">
        <v>2824</v>
      </c>
      <c r="G13" s="3185" t="s">
        <v>2832</v>
      </c>
      <c r="H13" s="3185" t="s">
        <v>2833</v>
      </c>
      <c r="I13" s="3185" t="s">
        <v>2834</v>
      </c>
      <c r="J13" s="3191"/>
    </row>
    <row r="14" spans="1:10" ht="16.5">
      <c r="A14" s="3186" t="s">
        <v>2844</v>
      </c>
      <c r="B14" s="3187">
        <f>结果表!L38</f>
        <v>142378.302</v>
      </c>
      <c r="C14" s="3187">
        <f>结果表!K38</f>
        <v>32358.705000000002</v>
      </c>
      <c r="D14" s="3187">
        <f ca="1">结果表!C42</f>
        <v>71192</v>
      </c>
      <c r="E14" s="3187">
        <f ca="1">ROUND(D14*10000/B14,0)</f>
        <v>5000</v>
      </c>
      <c r="F14" s="3187">
        <f ca="1">ROUND(D14*10000/C14,0)</f>
        <v>22001</v>
      </c>
      <c r="G14" s="3187" t="str">
        <f>结果表!C44</f>
        <v>——</v>
      </c>
      <c r="H14" s="3187" t="str">
        <f>结果表!C45</f>
        <v>——</v>
      </c>
      <c r="I14" s="3187" t="str">
        <f>结果表!C46</f>
        <v>——</v>
      </c>
      <c r="J14" s="3191"/>
    </row>
    <row r="15" spans="1:10" ht="16.5">
      <c r="A15" s="3186" t="s">
        <v>2835</v>
      </c>
      <c r="B15" s="3188"/>
      <c r="C15" s="3188"/>
      <c r="D15" s="3188"/>
      <c r="E15" s="3187" t="e">
        <f t="shared" ref="E15:E23" si="2">ROUND(D15*10000/B15,0)</f>
        <v>#DIV/0!</v>
      </c>
      <c r="F15" s="3187" t="e">
        <f t="shared" ref="F15:F23" si="3">ROUND(D15*10000/C15,0)</f>
        <v>#DIV/0!</v>
      </c>
      <c r="G15" s="2756"/>
      <c r="H15" s="2756"/>
      <c r="I15" s="3188"/>
      <c r="J15" s="3191"/>
    </row>
    <row r="16" spans="1:10" ht="16.5">
      <c r="A16" s="3186" t="s">
        <v>2836</v>
      </c>
      <c r="B16" s="3188"/>
      <c r="C16" s="3188"/>
      <c r="D16" s="3188"/>
      <c r="E16" s="3187" t="e">
        <f t="shared" si="2"/>
        <v>#DIV/0!</v>
      </c>
      <c r="F16" s="3187" t="e">
        <f t="shared" si="3"/>
        <v>#DIV/0!</v>
      </c>
      <c r="G16" s="2756"/>
      <c r="H16" s="2756"/>
      <c r="I16" s="3188"/>
      <c r="J16" s="3191"/>
    </row>
    <row r="17" spans="1:10" ht="16.5">
      <c r="A17" s="3186" t="s">
        <v>2837</v>
      </c>
      <c r="B17" s="3188"/>
      <c r="C17" s="3188"/>
      <c r="D17" s="3188"/>
      <c r="E17" s="3187" t="e">
        <f t="shared" si="2"/>
        <v>#DIV/0!</v>
      </c>
      <c r="F17" s="3187" t="e">
        <f t="shared" si="3"/>
        <v>#DIV/0!</v>
      </c>
      <c r="G17" s="2756"/>
      <c r="H17" s="2756"/>
      <c r="I17" s="3188"/>
      <c r="J17" s="3191"/>
    </row>
    <row r="18" spans="1:10" ht="16.5">
      <c r="A18" s="3186" t="s">
        <v>2838</v>
      </c>
      <c r="B18" s="3188"/>
      <c r="C18" s="3188"/>
      <c r="D18" s="3188"/>
      <c r="E18" s="3187" t="e">
        <f t="shared" si="2"/>
        <v>#DIV/0!</v>
      </c>
      <c r="F18" s="3187" t="e">
        <f t="shared" si="3"/>
        <v>#DIV/0!</v>
      </c>
      <c r="G18" s="3188"/>
      <c r="H18" s="3188"/>
      <c r="I18" s="3188"/>
      <c r="J18" s="3191"/>
    </row>
    <row r="19" spans="1:10" ht="16.5">
      <c r="A19" s="3186" t="s">
        <v>2839</v>
      </c>
      <c r="B19" s="3188"/>
      <c r="C19" s="3188"/>
      <c r="D19" s="3188"/>
      <c r="E19" s="3187" t="e">
        <f t="shared" si="2"/>
        <v>#DIV/0!</v>
      </c>
      <c r="F19" s="3187" t="e">
        <f t="shared" si="3"/>
        <v>#DIV/0!</v>
      </c>
      <c r="G19" s="3188"/>
      <c r="H19" s="3188"/>
      <c r="I19" s="3188"/>
      <c r="J19" s="3191"/>
    </row>
    <row r="20" spans="1:10" ht="16.5">
      <c r="A20" s="3186" t="s">
        <v>2840</v>
      </c>
      <c r="B20" s="3188"/>
      <c r="C20" s="3188"/>
      <c r="D20" s="3188"/>
      <c r="E20" s="3187" t="e">
        <f t="shared" si="2"/>
        <v>#DIV/0!</v>
      </c>
      <c r="F20" s="3187" t="e">
        <f t="shared" si="3"/>
        <v>#DIV/0!</v>
      </c>
      <c r="G20" s="3188"/>
      <c r="H20" s="3188"/>
      <c r="I20" s="3188"/>
      <c r="J20" s="3191"/>
    </row>
    <row r="21" spans="1:10" ht="16.5">
      <c r="A21" s="3186" t="s">
        <v>2841</v>
      </c>
      <c r="B21" s="3188"/>
      <c r="C21" s="3188"/>
      <c r="D21" s="3188"/>
      <c r="E21" s="3187" t="e">
        <f t="shared" si="2"/>
        <v>#DIV/0!</v>
      </c>
      <c r="F21" s="3187" t="e">
        <f t="shared" si="3"/>
        <v>#DIV/0!</v>
      </c>
      <c r="G21" s="3188"/>
      <c r="H21" s="3188"/>
      <c r="I21" s="3188"/>
      <c r="J21" s="3191"/>
    </row>
    <row r="22" spans="1:10" ht="16.5">
      <c r="A22" s="3186" t="s">
        <v>2842</v>
      </c>
      <c r="B22" s="3188"/>
      <c r="C22" s="3188"/>
      <c r="D22" s="3188"/>
      <c r="E22" s="3187" t="e">
        <f t="shared" si="2"/>
        <v>#DIV/0!</v>
      </c>
      <c r="F22" s="3187" t="e">
        <f t="shared" si="3"/>
        <v>#DIV/0!</v>
      </c>
      <c r="G22" s="3188"/>
      <c r="H22" s="3188"/>
      <c r="I22" s="3188"/>
      <c r="J22" s="3191"/>
    </row>
    <row r="23" spans="1:10" ht="16.5">
      <c r="A23" s="3186" t="s">
        <v>2843</v>
      </c>
      <c r="B23" s="3188"/>
      <c r="C23" s="3188"/>
      <c r="D23" s="3188"/>
      <c r="E23" s="3189" t="e">
        <f t="shared" si="2"/>
        <v>#DIV/0!</v>
      </c>
      <c r="F23" s="3189" t="e">
        <f t="shared" si="3"/>
        <v>#DIV/0!</v>
      </c>
      <c r="G23" s="3188"/>
      <c r="H23" s="3188"/>
      <c r="I23" s="3188"/>
      <c r="J23" s="3191"/>
    </row>
    <row r="24" spans="1:10">
      <c r="A24" s="3191"/>
      <c r="B24" s="3191"/>
      <c r="C24" s="3191"/>
      <c r="D24" s="3191"/>
      <c r="E24" s="3191"/>
      <c r="F24" s="3191"/>
      <c r="G24" s="3191"/>
      <c r="H24" s="3191"/>
      <c r="I24" s="3191"/>
      <c r="J24" s="3191"/>
    </row>
    <row r="25" spans="1:10">
      <c r="A25" s="3191"/>
      <c r="B25" s="3191"/>
      <c r="C25" s="3191"/>
      <c r="D25" s="3191"/>
      <c r="E25" s="3191"/>
      <c r="F25" s="3191"/>
      <c r="G25" s="3191"/>
      <c r="H25" s="3191"/>
      <c r="I25" s="3191"/>
      <c r="J25" s="3191"/>
    </row>
    <row r="26" spans="1:10">
      <c r="A26" s="3191"/>
      <c r="B26" s="3191"/>
      <c r="C26" s="3191"/>
      <c r="D26" s="3191"/>
      <c r="E26" s="3191"/>
      <c r="F26" s="3191"/>
      <c r="G26" s="3191"/>
      <c r="H26" s="3191"/>
      <c r="I26" s="3191"/>
      <c r="J26" s="3191"/>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N29"/>
  <sheetViews>
    <sheetView topLeftCell="D1" workbookViewId="0">
      <selection activeCell="K32" sqref="K32"/>
    </sheetView>
  </sheetViews>
  <sheetFormatPr defaultColWidth="9" defaultRowHeight="15.75"/>
  <cols>
    <col min="1" max="1" width="11.75" style="3365" customWidth="1"/>
    <col min="2" max="2" width="7.5" style="3365" customWidth="1"/>
    <col min="3" max="3" width="9" style="3365" customWidth="1"/>
    <col min="4" max="4" width="6.125" style="3365" customWidth="1"/>
    <col min="5" max="5" width="7.625" style="3365" customWidth="1"/>
    <col min="6" max="6" width="7.75" style="3365" customWidth="1"/>
    <col min="7" max="7" width="6.125" style="3365" customWidth="1"/>
    <col min="8" max="8" width="9.875" style="3365" customWidth="1"/>
    <col min="9" max="9" width="14.5" style="3366" customWidth="1"/>
    <col min="10" max="10" width="8.5" style="3366" customWidth="1"/>
    <col min="11" max="11" width="10.125" style="3367" customWidth="1"/>
    <col min="12" max="12" width="9.5" style="3365" customWidth="1"/>
    <col min="13" max="13" width="5.625" style="3365" customWidth="1"/>
    <col min="14" max="16384" width="9" style="3365"/>
  </cols>
  <sheetData>
    <row r="1" spans="1:14" s="3310" customFormat="1" ht="14.25">
      <c r="A1" s="3473" t="s">
        <v>3148</v>
      </c>
      <c r="B1" s="3473"/>
      <c r="C1" s="3473"/>
      <c r="D1" s="3473"/>
      <c r="E1" s="3473"/>
      <c r="F1" s="3473"/>
      <c r="G1" s="3473"/>
      <c r="H1" s="3473"/>
      <c r="I1" s="3474"/>
      <c r="J1" s="3473"/>
      <c r="K1" s="3474"/>
    </row>
    <row r="2" spans="1:14" s="3310" customFormat="1" ht="36">
      <c r="A2" s="3311" t="s">
        <v>3097</v>
      </c>
      <c r="B2" s="3312" t="s">
        <v>3098</v>
      </c>
      <c r="C2" s="3313" t="s">
        <v>3099</v>
      </c>
      <c r="D2" s="3314" t="s">
        <v>3100</v>
      </c>
      <c r="E2" s="3314" t="s">
        <v>3101</v>
      </c>
      <c r="F2" s="3314" t="s">
        <v>3102</v>
      </c>
      <c r="G2" s="3314" t="s">
        <v>3103</v>
      </c>
      <c r="H2" s="3314" t="s">
        <v>3104</v>
      </c>
      <c r="I2" s="3314" t="s">
        <v>3105</v>
      </c>
      <c r="J2" s="3315" t="s">
        <v>3106</v>
      </c>
      <c r="K2" s="3316" t="s">
        <v>3107</v>
      </c>
    </row>
    <row r="3" spans="1:14" s="3323" customFormat="1" ht="10.5">
      <c r="A3" s="3314" t="s">
        <v>3108</v>
      </c>
      <c r="B3" s="3314">
        <f>'基准地价-商'!C6</f>
        <v>5280</v>
      </c>
      <c r="C3" s="3317">
        <f>[1]基准地价商业!C7</f>
        <v>1</v>
      </c>
      <c r="D3" s="3318">
        <f>'基准地价-商'!C16</f>
        <v>30</v>
      </c>
      <c r="E3" s="3319">
        <f>[1]基准地价商业!C18</f>
        <v>1</v>
      </c>
      <c r="F3" s="3319">
        <f>'基准地价-商'!C19</f>
        <v>1.3906000000000001</v>
      </c>
      <c r="G3" s="3320">
        <f>[1]基准地价商业!C20</f>
        <v>1</v>
      </c>
      <c r="H3" s="3320">
        <f>'基准地价-商'!C21</f>
        <v>0.95230000000000004</v>
      </c>
      <c r="I3" s="3320">
        <f>'基准地价-商'!C24</f>
        <v>1.0314000000000001</v>
      </c>
      <c r="J3" s="3321">
        <f t="shared" ref="J3:J7" si="0">ROUND((B3*C3+D3)*E3*F3*G3*H3*I3,0)</f>
        <v>7253</v>
      </c>
      <c r="K3" s="3322">
        <f t="shared" ref="K3:K15" si="1">J3*0.25</f>
        <v>1813.25</v>
      </c>
    </row>
    <row r="4" spans="1:14" s="3323" customFormat="1" ht="10.5">
      <c r="A4" s="3314" t="s">
        <v>1665</v>
      </c>
      <c r="B4" s="3314">
        <f>'基准地价-办'!C6</f>
        <v>5250</v>
      </c>
      <c r="C4" s="3317">
        <v>1</v>
      </c>
      <c r="D4" s="3318">
        <f>'基准地价-办'!C16</f>
        <v>30</v>
      </c>
      <c r="E4" s="3319">
        <f>[1]基准地价办公!C18</f>
        <v>1</v>
      </c>
      <c r="F4" s="3319">
        <f>'基准地价-办'!C19</f>
        <v>1.3906000000000001</v>
      </c>
      <c r="G4" s="3320">
        <f>[1]基准地价办公!C20</f>
        <v>1</v>
      </c>
      <c r="H4" s="3320">
        <f>'基准地价-办'!C21</f>
        <v>0.96889999999999998</v>
      </c>
      <c r="I4" s="3320">
        <f>'基准地价-办'!C24</f>
        <v>1.0329999999999999</v>
      </c>
      <c r="J4" s="3321">
        <f t="shared" si="0"/>
        <v>7349</v>
      </c>
      <c r="K4" s="3322">
        <f t="shared" si="1"/>
        <v>1837.25</v>
      </c>
      <c r="L4" s="3324"/>
    </row>
    <row r="5" spans="1:14" s="3323" customFormat="1" ht="10.5" hidden="1">
      <c r="A5" s="3314" t="s">
        <v>3109</v>
      </c>
      <c r="B5" s="3314">
        <f>[1]基准地价车位!C6</f>
        <v>5250</v>
      </c>
      <c r="C5" s="3317">
        <v>1</v>
      </c>
      <c r="D5" s="3325">
        <v>15</v>
      </c>
      <c r="E5" s="3320">
        <f>[1]基准地价车位!C18</f>
        <v>0.5</v>
      </c>
      <c r="F5" s="3326">
        <f>F3</f>
        <v>1.3906000000000001</v>
      </c>
      <c r="G5" s="3320">
        <f>[1]基准地价商业!C41</f>
        <v>1</v>
      </c>
      <c r="H5" s="3320">
        <v>1</v>
      </c>
      <c r="I5" s="3320">
        <f>[1]基准地价车位!C24</f>
        <v>1.0698000000000001</v>
      </c>
      <c r="J5" s="3321">
        <f t="shared" si="0"/>
        <v>3916</v>
      </c>
      <c r="K5" s="3322">
        <f t="shared" si="1"/>
        <v>979</v>
      </c>
      <c r="L5" s="3327"/>
    </row>
    <row r="6" spans="1:14" s="3323" customFormat="1" ht="10.5" hidden="1">
      <c r="A6" s="3314" t="s">
        <v>3110</v>
      </c>
      <c r="B6" s="3314">
        <f>[1]基准地价商业!C6</f>
        <v>5280</v>
      </c>
      <c r="C6" s="3317">
        <f>[1]基准地价商业!C12</f>
        <v>1</v>
      </c>
      <c r="D6" s="3325">
        <f>[1]基准地价商业!C16</f>
        <v>-18</v>
      </c>
      <c r="E6" s="3320">
        <v>1</v>
      </c>
      <c r="F6" s="3326">
        <f>[1]基准地价商业!C19</f>
        <v>1.3906000000000001</v>
      </c>
      <c r="G6" s="3320">
        <f>[1]基准地价商业!C20</f>
        <v>1</v>
      </c>
      <c r="H6" s="3326">
        <f>[1]基准地价商业!F39</f>
        <v>0.15</v>
      </c>
      <c r="I6" s="3320">
        <f>[1]基准地价商业!C24</f>
        <v>1.0749</v>
      </c>
      <c r="J6" s="3321">
        <f t="shared" si="0"/>
        <v>1180</v>
      </c>
      <c r="K6" s="3322">
        <f t="shared" si="1"/>
        <v>295</v>
      </c>
      <c r="L6" s="3327"/>
    </row>
    <row r="7" spans="1:14" s="3323" customFormat="1" ht="10.5" hidden="1">
      <c r="A7" s="3314" t="s">
        <v>3111</v>
      </c>
      <c r="B7" s="3314">
        <f>[1]基准地价办公!C6</f>
        <v>5250</v>
      </c>
      <c r="C7" s="3317">
        <v>1</v>
      </c>
      <c r="D7" s="3325">
        <f>[1]基准地价办公!C16</f>
        <v>-18</v>
      </c>
      <c r="E7" s="3320">
        <f>[1]基准地价办公!C18</f>
        <v>1</v>
      </c>
      <c r="F7" s="3326">
        <f>[1]基准地价办公!C19</f>
        <v>1.3906000000000001</v>
      </c>
      <c r="G7" s="3320">
        <f>G5</f>
        <v>1</v>
      </c>
      <c r="H7" s="3326">
        <f>[1]基准地价办公!F39</f>
        <v>0.15</v>
      </c>
      <c r="I7" s="3320">
        <f>[1]基准地价办公!C24</f>
        <v>1.0788</v>
      </c>
      <c r="J7" s="3321">
        <f t="shared" si="0"/>
        <v>1177</v>
      </c>
      <c r="K7" s="3322">
        <f t="shared" si="1"/>
        <v>294.25</v>
      </c>
      <c r="L7" s="3327"/>
    </row>
    <row r="8" spans="1:14" s="3310" customFormat="1" ht="14.25">
      <c r="A8" s="3475" t="s">
        <v>3112</v>
      </c>
      <c r="B8" s="3475"/>
      <c r="C8" s="3475"/>
      <c r="D8" s="3475"/>
      <c r="E8" s="3475"/>
      <c r="F8" s="3475"/>
      <c r="G8" s="3475"/>
      <c r="H8" s="3475"/>
      <c r="I8" s="3475"/>
      <c r="J8" s="3475" t="s">
        <v>3113</v>
      </c>
      <c r="K8" s="3475"/>
    </row>
    <row r="9" spans="1:14" s="3310" customFormat="1" ht="27">
      <c r="A9" s="3311" t="s">
        <v>3114</v>
      </c>
      <c r="B9" s="3313" t="s">
        <v>3115</v>
      </c>
      <c r="C9" s="3312" t="s">
        <v>3116</v>
      </c>
      <c r="D9" s="3312" t="s">
        <v>3117</v>
      </c>
      <c r="E9" s="3312" t="s">
        <v>3118</v>
      </c>
      <c r="F9" s="3312" t="s">
        <v>3119</v>
      </c>
      <c r="G9" s="3312" t="s">
        <v>3120</v>
      </c>
      <c r="H9" s="3312" t="s">
        <v>3121</v>
      </c>
      <c r="I9" s="3312" t="s">
        <v>3122</v>
      </c>
      <c r="J9" s="3328" t="s">
        <v>3106</v>
      </c>
      <c r="K9" s="3329" t="s">
        <v>3107</v>
      </c>
    </row>
    <row r="10" spans="1:14" s="3335" customFormat="1" ht="14.25" hidden="1">
      <c r="A10" s="3330" t="s">
        <v>3123</v>
      </c>
      <c r="B10" s="3330"/>
      <c r="C10" s="3331"/>
      <c r="D10" s="3312"/>
      <c r="E10" s="3312"/>
      <c r="F10" s="3312"/>
      <c r="G10" s="3312"/>
      <c r="H10" s="3331"/>
      <c r="I10" s="3332"/>
      <c r="J10" s="3333"/>
      <c r="K10" s="3334">
        <f t="shared" si="1"/>
        <v>0</v>
      </c>
    </row>
    <row r="11" spans="1:14" s="3335" customFormat="1" ht="14.25">
      <c r="A11" s="3336" t="s">
        <v>3124</v>
      </c>
      <c r="B11" s="3330">
        <f ca="1">'不动产收益法-商'!B3</f>
        <v>25047</v>
      </c>
      <c r="C11" s="3331">
        <v>0</v>
      </c>
      <c r="D11" s="3330">
        <v>0</v>
      </c>
      <c r="E11" s="3330">
        <v>0</v>
      </c>
      <c r="F11" s="3330">
        <v>0</v>
      </c>
      <c r="G11" s="3330">
        <v>0</v>
      </c>
      <c r="H11" s="3331">
        <v>0</v>
      </c>
      <c r="I11" s="3332">
        <f t="shared" ref="I11:I12" ca="1" si="2">B11</f>
        <v>25047</v>
      </c>
      <c r="J11" s="3337">
        <f ca="1">'剩余法-商'!B3</f>
        <v>11178</v>
      </c>
      <c r="K11" s="3334">
        <f t="shared" ca="1" si="1"/>
        <v>2794.5</v>
      </c>
    </row>
    <row r="12" spans="1:14" s="3310" customFormat="1" ht="14.25">
      <c r="A12" s="3314" t="s">
        <v>3125</v>
      </c>
      <c r="B12" s="3330">
        <f ca="1">'不动产收益法-办'!B3</f>
        <v>22405</v>
      </c>
      <c r="C12" s="3338">
        <f>'数据-汇总表'!F19</f>
        <v>71189.150999999998</v>
      </c>
      <c r="D12" s="3312">
        <v>0</v>
      </c>
      <c r="E12" s="3338">
        <v>0</v>
      </c>
      <c r="F12" s="3338">
        <v>0</v>
      </c>
      <c r="G12" s="3338">
        <v>0</v>
      </c>
      <c r="H12" s="3338">
        <f>C12</f>
        <v>71189.150999999998</v>
      </c>
      <c r="I12" s="3332">
        <f t="shared" ca="1" si="2"/>
        <v>22405</v>
      </c>
      <c r="J12" s="3337">
        <f ca="1">'剩余法-办'!B3</f>
        <v>10450</v>
      </c>
      <c r="K12" s="3334">
        <f t="shared" ca="1" si="1"/>
        <v>2612.5</v>
      </c>
    </row>
    <row r="13" spans="1:14" s="3310" customFormat="1" ht="14.25" hidden="1">
      <c r="A13" s="3314" t="str">
        <f>A5</f>
        <v>办公（地上车库）</v>
      </c>
      <c r="B13" s="3330">
        <f>[1]不动产收益法车位!C43</f>
        <v>3311</v>
      </c>
      <c r="C13" s="3338"/>
      <c r="D13" s="3312"/>
      <c r="E13" s="3338"/>
      <c r="F13" s="3338"/>
      <c r="G13" s="3338"/>
      <c r="H13" s="3338">
        <v>0</v>
      </c>
      <c r="I13" s="3332">
        <f>B13</f>
        <v>3311</v>
      </c>
      <c r="J13" s="3337">
        <f>[1]剩余法车位!B3</f>
        <v>1213</v>
      </c>
      <c r="K13" s="3334">
        <f t="shared" si="1"/>
        <v>303.25</v>
      </c>
      <c r="N13" s="3339"/>
    </row>
    <row r="14" spans="1:14" s="3310" customFormat="1" ht="14.25" hidden="1">
      <c r="A14" s="3314" t="str">
        <f>A6</f>
        <v>地下车库-商业</v>
      </c>
      <c r="B14" s="3330"/>
      <c r="C14" s="3338"/>
      <c r="D14" s="3312"/>
      <c r="E14" s="3338"/>
      <c r="F14" s="3338"/>
      <c r="G14" s="3338"/>
      <c r="H14" s="3338">
        <v>0</v>
      </c>
      <c r="I14" s="3332">
        <f>B14</f>
        <v>0</v>
      </c>
      <c r="J14" s="3337">
        <f ca="1">ROUND(J11*[1]基准地价商业!F39,0)</f>
        <v>1677</v>
      </c>
      <c r="K14" s="3334">
        <f t="shared" ca="1" si="1"/>
        <v>419.25</v>
      </c>
      <c r="N14" s="3339"/>
    </row>
    <row r="15" spans="1:14" s="3310" customFormat="1" ht="14.25" hidden="1">
      <c r="A15" s="3314" t="str">
        <f>A7</f>
        <v>地下车库-办公</v>
      </c>
      <c r="B15" s="3330"/>
      <c r="C15" s="3338"/>
      <c r="D15" s="3312"/>
      <c r="E15" s="3338"/>
      <c r="F15" s="3338"/>
      <c r="G15" s="3338"/>
      <c r="H15" s="3338">
        <v>69000</v>
      </c>
      <c r="I15" s="3332">
        <f>B15</f>
        <v>0</v>
      </c>
      <c r="J15" s="3337">
        <f ca="1">ROUND(J12*[1]基准地价办公!F39,0)</f>
        <v>1568</v>
      </c>
      <c r="K15" s="3334">
        <f t="shared" ca="1" si="1"/>
        <v>392</v>
      </c>
      <c r="N15" s="3339"/>
    </row>
    <row r="16" spans="1:14" s="3310" customFormat="1" ht="22.5">
      <c r="A16" s="3340" t="s">
        <v>3126</v>
      </c>
      <c r="B16" s="3341" t="s">
        <v>3127</v>
      </c>
      <c r="C16" s="3341" t="s">
        <v>3128</v>
      </c>
      <c r="D16" s="3341" t="s">
        <v>3129</v>
      </c>
      <c r="E16" s="3341" t="s">
        <v>3128</v>
      </c>
      <c r="F16" s="3341"/>
      <c r="G16" s="3341"/>
      <c r="H16" s="3341" t="s">
        <v>3130</v>
      </c>
      <c r="I16" s="3341" t="s">
        <v>3131</v>
      </c>
      <c r="J16" s="3341" t="s">
        <v>3132</v>
      </c>
      <c r="K16" s="3341" t="s">
        <v>3107</v>
      </c>
    </row>
    <row r="17" spans="1:14" s="3310" customFormat="1" ht="14.25">
      <c r="A17" s="3312" t="s">
        <v>2996</v>
      </c>
      <c r="B17" s="3342">
        <f>J3</f>
        <v>7253</v>
      </c>
      <c r="C17" s="3343">
        <v>0.3</v>
      </c>
      <c r="D17" s="3344">
        <f ca="1">J11</f>
        <v>11178</v>
      </c>
      <c r="E17" s="3345">
        <f>1-C17</f>
        <v>0.7</v>
      </c>
      <c r="F17" s="3312"/>
      <c r="G17" s="3345"/>
      <c r="H17" s="3338">
        <v>0</v>
      </c>
      <c r="I17" s="3346">
        <v>0</v>
      </c>
      <c r="J17" s="3337">
        <f ca="1">ROUND(B17*C17+D17*E17,0)</f>
        <v>10001</v>
      </c>
      <c r="K17" s="3347">
        <f ca="1">ROUND(J17*0.25,0)</f>
        <v>2500</v>
      </c>
      <c r="L17" s="3348"/>
      <c r="M17" s="3348"/>
    </row>
    <row r="18" spans="1:14" s="3310" customFormat="1" ht="14.25">
      <c r="A18" s="3312" t="s">
        <v>1665</v>
      </c>
      <c r="B18" s="3342">
        <f>J4</f>
        <v>7349</v>
      </c>
      <c r="C18" s="3343">
        <v>0.3</v>
      </c>
      <c r="D18" s="3344">
        <f ca="1">J12</f>
        <v>10450</v>
      </c>
      <c r="E18" s="3345">
        <f>1-C18</f>
        <v>0.7</v>
      </c>
      <c r="F18" s="3312"/>
      <c r="G18" s="3345"/>
      <c r="H18" s="3338">
        <f>H12</f>
        <v>71189.150999999998</v>
      </c>
      <c r="I18" s="3346">
        <f ca="1">ROUND(J18*H18/10000,2)</f>
        <v>67772.070000000007</v>
      </c>
      <c r="J18" s="3337">
        <f ca="1">ROUND(B18*C18+D18*E18,0)</f>
        <v>9520</v>
      </c>
      <c r="K18" s="3347">
        <f ca="1">ROUND(J18*0.25,0)</f>
        <v>2380</v>
      </c>
      <c r="N18" s="3349"/>
    </row>
    <row r="19" spans="1:14" s="3310" customFormat="1" ht="14.25" hidden="1">
      <c r="A19" s="3314" t="str">
        <f>A13</f>
        <v>办公（地上车库）</v>
      </c>
      <c r="B19" s="3350">
        <f>J5</f>
        <v>3916</v>
      </c>
      <c r="C19" s="3343">
        <v>0.3</v>
      </c>
      <c r="D19" s="3351">
        <f>J13</f>
        <v>1213</v>
      </c>
      <c r="E19" s="3345">
        <f>1-C19</f>
        <v>0.7</v>
      </c>
      <c r="F19" s="3352"/>
      <c r="G19" s="3353"/>
      <c r="H19" s="3354">
        <v>0</v>
      </c>
      <c r="I19" s="3355">
        <v>0</v>
      </c>
      <c r="J19" s="3337">
        <f t="shared" ref="J19:J21" si="3">ROUND(B19*C19+D19*E19,0)</f>
        <v>2024</v>
      </c>
      <c r="K19" s="3347">
        <f t="shared" ref="K19:K21" si="4">ROUND(J19*0.25,0)</f>
        <v>506</v>
      </c>
      <c r="N19" s="3349"/>
    </row>
    <row r="20" spans="1:14" s="3310" customFormat="1" ht="14.25" hidden="1">
      <c r="A20" s="3314" t="str">
        <f t="shared" ref="A20:A21" si="5">A14</f>
        <v>地下车库-商业</v>
      </c>
      <c r="B20" s="3350">
        <f>J6</f>
        <v>1180</v>
      </c>
      <c r="C20" s="3343">
        <v>0.3</v>
      </c>
      <c r="D20" s="3351">
        <f ca="1">J14</f>
        <v>1677</v>
      </c>
      <c r="E20" s="3345">
        <f>1-C20</f>
        <v>0.7</v>
      </c>
      <c r="F20" s="3352"/>
      <c r="G20" s="3353"/>
      <c r="H20" s="3354">
        <v>0</v>
      </c>
      <c r="I20" s="3355">
        <v>0</v>
      </c>
      <c r="J20" s="3337">
        <f t="shared" ca="1" si="3"/>
        <v>1528</v>
      </c>
      <c r="K20" s="3347">
        <f t="shared" ca="1" si="4"/>
        <v>382</v>
      </c>
      <c r="N20" s="3349"/>
    </row>
    <row r="21" spans="1:14" s="3310" customFormat="1" ht="14.25" hidden="1">
      <c r="A21" s="3314" t="str">
        <f t="shared" si="5"/>
        <v>地下车库-办公</v>
      </c>
      <c r="B21" s="3350">
        <f>J7</f>
        <v>1177</v>
      </c>
      <c r="C21" s="3343">
        <v>0.3</v>
      </c>
      <c r="D21" s="3351">
        <f ca="1">J15</f>
        <v>1568</v>
      </c>
      <c r="E21" s="3345">
        <f>1-C21</f>
        <v>0.7</v>
      </c>
      <c r="F21" s="3352"/>
      <c r="G21" s="3353"/>
      <c r="H21" s="3354">
        <v>69000</v>
      </c>
      <c r="I21" s="3346">
        <f ca="1">ROUND(J21*H21/10000,2)</f>
        <v>10011.9</v>
      </c>
      <c r="J21" s="3337">
        <f t="shared" ca="1" si="3"/>
        <v>1451</v>
      </c>
      <c r="K21" s="3347">
        <f t="shared" ca="1" si="4"/>
        <v>363</v>
      </c>
      <c r="N21" s="3349"/>
    </row>
    <row r="22" spans="1:14" s="3310" customFormat="1" ht="14.25">
      <c r="A22" s="3356" t="s">
        <v>3131</v>
      </c>
      <c r="B22" s="3357"/>
      <c r="C22" s="3357"/>
      <c r="D22" s="3357"/>
      <c r="E22" s="3357"/>
      <c r="F22" s="3357"/>
      <c r="G22" s="3357"/>
      <c r="H22" s="3357"/>
      <c r="I22" s="3355">
        <f ca="1">I18</f>
        <v>67772.070000000007</v>
      </c>
      <c r="J22" s="3357"/>
      <c r="K22" s="3358"/>
    </row>
    <row r="23" spans="1:14" s="3310" customFormat="1" ht="14.25">
      <c r="A23" s="3314" t="s">
        <v>3133</v>
      </c>
      <c r="B23" s="3359"/>
      <c r="C23" s="3359"/>
      <c r="D23" s="3359"/>
      <c r="E23" s="3359"/>
      <c r="F23" s="3359"/>
      <c r="G23" s="3359"/>
      <c r="H23" s="3359"/>
      <c r="I23" s="3346">
        <f ca="1">ROUND(K18*H18/10000,2)</f>
        <v>16943.02</v>
      </c>
      <c r="J23" s="3359"/>
      <c r="K23" s="3360"/>
    </row>
    <row r="24" spans="1:14" s="3310" customFormat="1" ht="14.25">
      <c r="A24" s="3314" t="s">
        <v>3134</v>
      </c>
      <c r="B24" s="3359"/>
      <c r="C24" s="3359"/>
      <c r="D24" s="3359"/>
      <c r="E24" s="3359"/>
      <c r="F24" s="3359"/>
      <c r="G24" s="3359"/>
      <c r="H24" s="3359"/>
      <c r="I24" s="3378">
        <v>99680</v>
      </c>
      <c r="J24" s="3359"/>
      <c r="K24" s="3360"/>
    </row>
    <row r="25" spans="1:14" s="3310" customFormat="1" ht="14.25">
      <c r="A25" s="3314" t="s">
        <v>3135</v>
      </c>
      <c r="B25" s="3359"/>
      <c r="C25" s="3359"/>
      <c r="D25" s="3359"/>
      <c r="E25" s="3359"/>
      <c r="F25" s="3359"/>
      <c r="G25" s="3359"/>
      <c r="H25" s="3359"/>
      <c r="I25" s="3361">
        <f ca="1">I23+I24</f>
        <v>116623.02</v>
      </c>
      <c r="J25" s="3359"/>
      <c r="K25" s="3360"/>
    </row>
    <row r="26" spans="1:14" s="3362" customFormat="1">
      <c r="I26" s="3363"/>
      <c r="J26" s="3363"/>
      <c r="K26" s="3364"/>
    </row>
    <row r="29" spans="1:14">
      <c r="K29" s="3380">
        <f ca="1">ROUND(K18*H18/10000,2)</f>
        <v>16943.02</v>
      </c>
    </row>
  </sheetData>
  <mergeCells count="3">
    <mergeCell ref="A1:K1"/>
    <mergeCell ref="A8:I8"/>
    <mergeCell ref="J8:K8"/>
  </mergeCells>
  <phoneticPr fontId="228" type="noConversion"/>
  <pageMargins left="0.7" right="0.7" top="0.75" bottom="0.75" header="0.3" footer="0.3"/>
  <pageSetup paperSize="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63FE7-35D7-4F3A-B9A2-6FFF1568F985}">
  <sheetPr>
    <tabColor rgb="FFFF0000"/>
  </sheetPr>
  <dimension ref="A34:A65"/>
  <sheetViews>
    <sheetView tabSelected="1" topLeftCell="A43" workbookViewId="0">
      <selection activeCell="A65" sqref="A65"/>
    </sheetView>
  </sheetViews>
  <sheetFormatPr defaultRowHeight="13.5"/>
  <sheetData>
    <row r="34" spans="1:1">
      <c r="A34" s="3381" t="s">
        <v>3150</v>
      </c>
    </row>
    <row r="65" spans="1:1">
      <c r="A65" s="3381" t="s">
        <v>3151</v>
      </c>
    </row>
  </sheetData>
  <phoneticPr fontId="228" type="noConversion"/>
  <hyperlinks>
    <hyperlink ref="A34" r:id="rId1" xr:uid="{4A36FB16-6FDB-48C7-A169-59AB2FF55CA7}"/>
    <hyperlink ref="A65" r:id="rId2" xr:uid="{C3E6ED97-16A9-40F2-AB8A-888BE6A5E61E}"/>
  </hyperlinks>
  <pageMargins left="0.7" right="0.7" top="0.75" bottom="0.75" header="0.3" footer="0.3"/>
  <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zoomScale="70" zoomScaleNormal="100" zoomScaleSheetLayoutView="70" zoomScalePageLayoutView="80" workbookViewId="0">
      <selection activeCell="D8" sqref="D8:D9"/>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2039</v>
      </c>
      <c r="B1" s="1691"/>
      <c r="C1" s="1719" t="s">
        <v>2040</v>
      </c>
      <c r="D1" s="1720"/>
      <c r="E1" s="1719" t="s">
        <v>2041</v>
      </c>
      <c r="F1" s="1721"/>
      <c r="G1" s="309"/>
      <c r="H1" s="309"/>
      <c r="I1" s="309"/>
      <c r="J1" s="1911"/>
      <c r="K1" s="1911"/>
      <c r="L1" s="1911"/>
      <c r="M1" s="1911"/>
      <c r="N1" s="1911"/>
      <c r="O1" s="1911"/>
      <c r="P1" s="1911"/>
      <c r="Q1" s="1911"/>
      <c r="R1" s="1911"/>
      <c r="S1" s="1911"/>
      <c r="T1" s="1911"/>
      <c r="U1" s="1911"/>
      <c r="V1" s="1911"/>
    </row>
    <row r="2" spans="1:22" ht="21.75" customHeight="1" thickBot="1">
      <c r="A2" s="3520" t="str">
        <f>项目基本情况!K2</f>
        <v>北京市出让国有建设用地使用权</v>
      </c>
      <c r="B2" s="3521"/>
      <c r="C2" s="3522"/>
      <c r="D2" s="3522"/>
      <c r="E2" s="3522"/>
      <c r="F2" s="3522"/>
      <c r="G2" s="3521"/>
      <c r="H2" s="3521"/>
      <c r="I2" s="3523"/>
      <c r="J2" s="1912"/>
      <c r="K2" s="1911"/>
      <c r="L2" s="1911"/>
      <c r="M2" s="1911"/>
      <c r="N2" s="1911"/>
      <c r="O2" s="1911"/>
      <c r="P2" s="1911"/>
      <c r="Q2" s="1911"/>
      <c r="R2" s="1911"/>
      <c r="S2" s="1911"/>
      <c r="T2" s="1911"/>
      <c r="U2" s="1911"/>
      <c r="V2" s="1911"/>
    </row>
    <row r="3" spans="1:22" ht="14.25">
      <c r="A3" s="3531" t="s">
        <v>296</v>
      </c>
      <c r="B3" s="3532"/>
      <c r="C3" s="3532"/>
      <c r="D3" s="3532"/>
      <c r="E3" s="3532"/>
      <c r="F3" s="3532"/>
      <c r="G3" s="3532"/>
      <c r="H3" s="3532"/>
      <c r="I3" s="3532"/>
      <c r="J3" s="1912"/>
      <c r="K3" s="1911"/>
      <c r="L3" s="1911"/>
      <c r="M3" s="1911"/>
      <c r="N3" s="1911"/>
      <c r="O3" s="1911"/>
      <c r="P3" s="1911"/>
      <c r="Q3" s="1911"/>
      <c r="R3" s="1911"/>
      <c r="S3" s="1911"/>
      <c r="T3" s="1911"/>
      <c r="U3" s="1911"/>
      <c r="V3" s="1911"/>
    </row>
    <row r="4" spans="1:22" ht="14.25">
      <c r="A4" s="256" t="s">
        <v>297</v>
      </c>
      <c r="B4" s="257" t="s">
        <v>298</v>
      </c>
      <c r="C4" s="258" t="s">
        <v>3030</v>
      </c>
      <c r="D4" s="258" t="s">
        <v>3025</v>
      </c>
      <c r="E4" s="3495" t="s">
        <v>299</v>
      </c>
      <c r="F4" s="3537"/>
      <c r="G4" s="3537"/>
      <c r="H4" s="3537"/>
      <c r="I4" s="3496"/>
      <c r="J4" s="1912"/>
      <c r="K4" s="1911"/>
      <c r="L4" s="3192" t="str">
        <f>IF(ISNUMBER(FIND("比较法",C4)),"比较法",IF(ISNUMBER(FIND("成本法",C4)),"成本法",IF(ISNUMBER(FIND("剩余法",C4)),"剩余法",IF(ISNUMBER(FIND("收益法",C4)),"收益法","基准地价系数修正法"))))</f>
        <v>剩余法</v>
      </c>
      <c r="M4" s="937"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524" t="s">
        <v>300</v>
      </c>
      <c r="B5" s="3525">
        <v>25</v>
      </c>
      <c r="C5" s="3533">
        <v>7</v>
      </c>
      <c r="D5" s="3536">
        <f>10-C5</f>
        <v>3</v>
      </c>
      <c r="E5" s="259" t="s">
        <v>301</v>
      </c>
      <c r="F5" s="260"/>
      <c r="G5" s="260"/>
      <c r="H5" s="260"/>
      <c r="I5" s="261"/>
      <c r="J5" s="1912"/>
      <c r="K5" s="1911"/>
      <c r="L5" s="1911"/>
      <c r="M5" s="1911"/>
      <c r="N5" s="1911"/>
      <c r="O5" s="1911"/>
      <c r="P5" s="1911"/>
      <c r="Q5" s="1911"/>
      <c r="R5" s="1911"/>
      <c r="S5" s="1911"/>
      <c r="T5" s="1911"/>
      <c r="U5" s="1911"/>
      <c r="V5" s="1911"/>
    </row>
    <row r="6" spans="1:22" ht="14.25">
      <c r="A6" s="3524"/>
      <c r="B6" s="3525"/>
      <c r="C6" s="3534"/>
      <c r="D6" s="3536"/>
      <c r="E6" s="259" t="s">
        <v>302</v>
      </c>
      <c r="F6" s="260"/>
      <c r="G6" s="260"/>
      <c r="H6" s="260"/>
      <c r="I6" s="261"/>
      <c r="J6" s="1912"/>
      <c r="K6" s="1911"/>
      <c r="L6" s="1911"/>
      <c r="M6" s="1911"/>
      <c r="N6" s="1911"/>
      <c r="O6" s="1911"/>
      <c r="P6" s="1911"/>
      <c r="Q6" s="1911"/>
      <c r="R6" s="1911"/>
      <c r="S6" s="1911"/>
      <c r="T6" s="1911"/>
      <c r="U6" s="1911"/>
      <c r="V6" s="1911"/>
    </row>
    <row r="7" spans="1:22" ht="14.25">
      <c r="A7" s="3524"/>
      <c r="B7" s="3525"/>
      <c r="C7" s="3535"/>
      <c r="D7" s="3536"/>
      <c r="E7" s="259" t="s">
        <v>303</v>
      </c>
      <c r="F7" s="260"/>
      <c r="G7" s="260"/>
      <c r="H7" s="260"/>
      <c r="I7" s="261"/>
      <c r="J7" s="1912"/>
      <c r="K7" s="1911"/>
      <c r="L7" s="1911"/>
      <c r="M7" s="1911"/>
      <c r="N7" s="1911"/>
      <c r="O7" s="1911"/>
      <c r="P7" s="1911"/>
      <c r="Q7" s="1911"/>
      <c r="R7" s="1911"/>
      <c r="S7" s="1911"/>
      <c r="T7" s="1911"/>
      <c r="U7" s="1911"/>
      <c r="V7" s="1911"/>
    </row>
    <row r="8" spans="1:22" ht="14.25">
      <c r="A8" s="3524" t="s">
        <v>304</v>
      </c>
      <c r="B8" s="3525">
        <v>15</v>
      </c>
      <c r="C8" s="3533"/>
      <c r="D8" s="3536"/>
      <c r="E8" s="259" t="s">
        <v>305</v>
      </c>
      <c r="F8" s="260"/>
      <c r="G8" s="260"/>
      <c r="H8" s="260"/>
      <c r="I8" s="261"/>
      <c r="J8" s="1912"/>
      <c r="K8" s="1911"/>
      <c r="L8" s="1911"/>
      <c r="M8" s="1911"/>
      <c r="N8" s="1911"/>
      <c r="O8" s="1911"/>
      <c r="P8" s="1911"/>
      <c r="Q8" s="1911"/>
      <c r="R8" s="1911"/>
      <c r="S8" s="1911"/>
      <c r="T8" s="1911"/>
      <c r="U8" s="1911"/>
      <c r="V8" s="1911"/>
    </row>
    <row r="9" spans="1:22" ht="14.25">
      <c r="A9" s="3524"/>
      <c r="B9" s="3525"/>
      <c r="C9" s="3535"/>
      <c r="D9" s="3536"/>
      <c r="E9" s="259" t="s">
        <v>306</v>
      </c>
      <c r="F9" s="260"/>
      <c r="G9" s="260"/>
      <c r="H9" s="260"/>
      <c r="I9" s="261"/>
      <c r="J9" s="1912"/>
      <c r="K9" s="1911"/>
      <c r="L9" s="1911"/>
      <c r="M9" s="1911"/>
      <c r="N9" s="1911"/>
      <c r="O9" s="1911"/>
      <c r="P9" s="1911"/>
      <c r="Q9" s="1911"/>
      <c r="R9" s="1911"/>
      <c r="S9" s="1911"/>
      <c r="T9" s="1911"/>
      <c r="U9" s="1911"/>
      <c r="V9" s="1911"/>
    </row>
    <row r="10" spans="1:22" ht="14.25">
      <c r="A10" s="3524" t="s">
        <v>307</v>
      </c>
      <c r="B10" s="3525">
        <v>15</v>
      </c>
      <c r="C10" s="3533"/>
      <c r="D10" s="3536"/>
      <c r="E10" s="259" t="s">
        <v>308</v>
      </c>
      <c r="F10" s="260"/>
      <c r="G10" s="260"/>
      <c r="H10" s="260"/>
      <c r="I10" s="261"/>
      <c r="J10" s="1912"/>
      <c r="K10" s="1911"/>
      <c r="L10" s="1911"/>
      <c r="M10" s="1911"/>
      <c r="N10" s="1911"/>
      <c r="O10" s="1911"/>
      <c r="P10" s="1911"/>
      <c r="Q10" s="1911"/>
      <c r="R10" s="1911"/>
      <c r="S10" s="1911"/>
      <c r="T10" s="1911"/>
      <c r="U10" s="1911"/>
      <c r="V10" s="1911"/>
    </row>
    <row r="11" spans="1:22" ht="14.25">
      <c r="A11" s="3524"/>
      <c r="B11" s="3525"/>
      <c r="C11" s="3535"/>
      <c r="D11" s="3536"/>
      <c r="E11" s="259" t="s">
        <v>309</v>
      </c>
      <c r="F11" s="260"/>
      <c r="G11" s="260"/>
      <c r="H11" s="260"/>
      <c r="I11" s="261"/>
      <c r="J11" s="1912"/>
      <c r="K11" s="1911"/>
      <c r="L11" s="1911"/>
      <c r="M11" s="1911"/>
      <c r="N11" s="1911"/>
      <c r="O11" s="1911"/>
      <c r="P11" s="1911"/>
      <c r="Q11" s="1911"/>
      <c r="R11" s="1911"/>
      <c r="S11" s="1911"/>
      <c r="T11" s="1911"/>
      <c r="U11" s="1911"/>
      <c r="V11" s="1911"/>
    </row>
    <row r="12" spans="1:22" ht="14.25">
      <c r="A12" s="3524" t="s">
        <v>310</v>
      </c>
      <c r="B12" s="3525">
        <v>15</v>
      </c>
      <c r="C12" s="3533"/>
      <c r="D12" s="3536"/>
      <c r="E12" s="259" t="s">
        <v>311</v>
      </c>
      <c r="F12" s="260"/>
      <c r="G12" s="260"/>
      <c r="H12" s="260"/>
      <c r="I12" s="261"/>
      <c r="J12" s="1912"/>
      <c r="K12" s="1911"/>
      <c r="L12" s="1911"/>
      <c r="M12" s="1911"/>
      <c r="N12" s="1911"/>
      <c r="O12" s="1911"/>
      <c r="P12" s="1911"/>
      <c r="Q12" s="1911"/>
      <c r="R12" s="1911"/>
      <c r="S12" s="1911"/>
      <c r="T12" s="1911"/>
      <c r="U12" s="1911"/>
      <c r="V12" s="1911"/>
    </row>
    <row r="13" spans="1:22" ht="14.25">
      <c r="A13" s="3524"/>
      <c r="B13" s="3525"/>
      <c r="C13" s="3535"/>
      <c r="D13" s="3536"/>
      <c r="E13" s="259" t="s">
        <v>312</v>
      </c>
      <c r="F13" s="260"/>
      <c r="G13" s="260"/>
      <c r="H13" s="260"/>
      <c r="I13" s="261"/>
      <c r="J13" s="1912"/>
      <c r="K13" s="1911"/>
      <c r="L13" s="1911"/>
      <c r="M13" s="1911"/>
      <c r="N13" s="1911"/>
      <c r="O13" s="1911"/>
      <c r="P13" s="1911"/>
      <c r="Q13" s="1911"/>
      <c r="R13" s="1911"/>
      <c r="S13" s="1911"/>
      <c r="T13" s="1911"/>
      <c r="U13" s="1911"/>
      <c r="V13" s="1911"/>
    </row>
    <row r="14" spans="1:22" ht="14.25">
      <c r="A14" s="3524" t="s">
        <v>313</v>
      </c>
      <c r="B14" s="3525">
        <v>30</v>
      </c>
      <c r="C14" s="3533"/>
      <c r="D14" s="3536"/>
      <c r="E14" s="259" t="s">
        <v>314</v>
      </c>
      <c r="F14" s="260"/>
      <c r="G14" s="260"/>
      <c r="H14" s="260"/>
      <c r="I14" s="261"/>
      <c r="J14" s="1912"/>
      <c r="K14" s="1911"/>
      <c r="L14" s="1911"/>
      <c r="M14" s="1911"/>
      <c r="N14" s="1911"/>
      <c r="O14" s="1911"/>
      <c r="P14" s="1911"/>
      <c r="Q14" s="1911"/>
      <c r="R14" s="1911"/>
      <c r="S14" s="1911"/>
      <c r="T14" s="1911"/>
      <c r="U14" s="1911"/>
      <c r="V14" s="1911"/>
    </row>
    <row r="15" spans="1:22" ht="14.25">
      <c r="A15" s="3524"/>
      <c r="B15" s="3525"/>
      <c r="C15" s="3534"/>
      <c r="D15" s="3536"/>
      <c r="E15" s="259" t="s">
        <v>315</v>
      </c>
      <c r="F15" s="260"/>
      <c r="G15" s="260"/>
      <c r="H15" s="260"/>
      <c r="I15" s="261"/>
      <c r="J15" s="1912"/>
      <c r="K15" s="1911"/>
      <c r="L15" s="1911"/>
      <c r="M15" s="1911"/>
      <c r="N15" s="1911"/>
      <c r="O15" s="1911"/>
      <c r="P15" s="1911"/>
      <c r="Q15" s="1911"/>
      <c r="R15" s="1911"/>
      <c r="S15" s="1911"/>
      <c r="T15" s="1911"/>
      <c r="U15" s="1911"/>
      <c r="V15" s="1911"/>
    </row>
    <row r="16" spans="1:22" ht="14.25">
      <c r="A16" s="3524"/>
      <c r="B16" s="3525"/>
      <c r="C16" s="3535"/>
      <c r="D16" s="3536"/>
      <c r="E16" s="259" t="s">
        <v>316</v>
      </c>
      <c r="F16" s="260"/>
      <c r="G16" s="260"/>
      <c r="H16" s="260"/>
      <c r="I16" s="261"/>
      <c r="J16" s="1912"/>
      <c r="K16" s="1911"/>
      <c r="L16" s="1911"/>
      <c r="M16" s="1911"/>
      <c r="N16" s="1911"/>
      <c r="O16" s="1911"/>
      <c r="P16" s="1911"/>
      <c r="Q16" s="1911"/>
      <c r="R16" s="1911"/>
      <c r="S16" s="1911"/>
      <c r="T16" s="1911"/>
      <c r="U16" s="1911"/>
      <c r="V16" s="1911"/>
    </row>
    <row r="17" spans="1:26" ht="15">
      <c r="A17" s="262" t="s">
        <v>317</v>
      </c>
      <c r="B17" s="142"/>
      <c r="C17" s="263">
        <f>SUM(C5:C16)</f>
        <v>7</v>
      </c>
      <c r="D17" s="263">
        <f>SUM(D5:D16)</f>
        <v>3</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318</v>
      </c>
      <c r="B18" s="105"/>
      <c r="C18" s="265">
        <f>ROUND(C17/SUM(C17:D17),2)</f>
        <v>0.7</v>
      </c>
      <c r="D18" s="265">
        <f>1-C18</f>
        <v>0.30000000000000004</v>
      </c>
      <c r="E18" s="3538" t="s">
        <v>2953</v>
      </c>
      <c r="F18" s="3539"/>
      <c r="G18" s="3539"/>
      <c r="H18" s="3539"/>
      <c r="I18" s="3539"/>
      <c r="J18" s="1911"/>
      <c r="K18" s="1911"/>
      <c r="L18" s="1911"/>
      <c r="M18" s="1911"/>
      <c r="N18" s="1911"/>
      <c r="O18" s="1911"/>
      <c r="P18" s="1911"/>
      <c r="Q18" s="1911"/>
      <c r="R18" s="1911"/>
      <c r="S18" s="1911"/>
      <c r="T18" s="1911"/>
      <c r="U18" s="1911"/>
      <c r="V18" s="1911"/>
    </row>
    <row r="19" spans="1:26" ht="15">
      <c r="A19" s="266" t="s">
        <v>319</v>
      </c>
      <c r="B19" s="267" t="s">
        <v>320</v>
      </c>
      <c r="C19" s="268">
        <f ca="1">SUMIF(INDIRECT("'"&amp;C4&amp;"'"&amp;"!A:A"),结果表!B19,INDIRECT("'"&amp;C4&amp;"'"&amp;"!B:B"))</f>
        <v>79574</v>
      </c>
      <c r="D19" s="269">
        <f ca="1">SUMIF(INDIRECT("'"&amp;D4&amp;"'"&amp;"!A:A"),结果表!B19,INDIRECT("'"&amp;D4&amp;"'"&amp;"!B:B"))</f>
        <v>51633</v>
      </c>
      <c r="E19" s="266" t="s">
        <v>321</v>
      </c>
      <c r="F19" s="267" t="s">
        <v>320</v>
      </c>
      <c r="G19" s="270">
        <f ca="1">ROUND(C19*$C$18+D19*$D$18,0)</f>
        <v>71192</v>
      </c>
      <c r="H19" s="271" t="s">
        <v>322</v>
      </c>
      <c r="I19" s="309"/>
      <c r="J19" s="1911"/>
      <c r="K19" s="1911"/>
      <c r="L19" s="1911"/>
      <c r="M19" s="1911"/>
      <c r="N19" s="1911"/>
      <c r="O19" s="1911"/>
      <c r="P19" s="1911"/>
      <c r="Q19" s="1911"/>
      <c r="R19" s="1911"/>
      <c r="S19" s="1911"/>
      <c r="T19" s="1911"/>
      <c r="U19" s="1911"/>
      <c r="V19" s="1911"/>
    </row>
    <row r="20" spans="1:26" ht="15">
      <c r="A20" s="272"/>
      <c r="B20" s="273" t="s">
        <v>323</v>
      </c>
      <c r="C20" s="274">
        <f ca="1">SUMIF(INDIRECT("'"&amp;C4&amp;"'"&amp;"!A:A"),结果表!B20,INDIRECT("'"&amp;C4&amp;"'"&amp;"!B:B"))</f>
        <v>11178</v>
      </c>
      <c r="D20" s="275">
        <f ca="1">SUMIF(INDIRECT("'"&amp;D4&amp;"'"&amp;"!A:A"),结果表!B20,INDIRECT("'"&amp;D4&amp;"'"&amp;"!B:B"))</f>
        <v>7253</v>
      </c>
      <c r="E20" s="272"/>
      <c r="F20" s="273" t="s">
        <v>323</v>
      </c>
      <c r="G20" s="276">
        <f ca="1">ROUND(C20*$C$18+D20*$D$18,0)</f>
        <v>10001</v>
      </c>
      <c r="H20" s="277" t="s">
        <v>324</v>
      </c>
      <c r="I20" s="309"/>
      <c r="J20" s="1911"/>
      <c r="K20" s="1911"/>
      <c r="L20" s="1911"/>
      <c r="M20" s="1911"/>
      <c r="N20" s="1911"/>
      <c r="O20" s="1911"/>
      <c r="P20" s="1911"/>
      <c r="Q20" s="1911"/>
      <c r="R20" s="1911"/>
      <c r="S20" s="1911"/>
      <c r="T20" s="1911"/>
      <c r="U20" s="1911"/>
      <c r="V20" s="1911"/>
    </row>
    <row r="21" spans="1:26" ht="15" customHeight="1">
      <c r="A21" s="272"/>
      <c r="B21" s="278" t="s">
        <v>325</v>
      </c>
      <c r="C21" s="279">
        <f ca="1">SUMIF(INDIRECT("'"&amp;C4&amp;"'"&amp;"!A:A"),结果表!B21,INDIRECT("'"&amp;C4&amp;"'"&amp;"!B:B"))</f>
        <v>49182</v>
      </c>
      <c r="D21" s="149">
        <f ca="1">SUMIF(INDIRECT("'"&amp;D4&amp;"'"&amp;"!A:A"),结果表!B21,INDIRECT("'"&amp;D4&amp;"'"&amp;"!B:B"))</f>
        <v>15956</v>
      </c>
      <c r="E21" s="272"/>
      <c r="F21" s="278" t="s">
        <v>325</v>
      </c>
      <c r="G21" s="280">
        <f ca="1">ROUND(C21*$C$18+D21*$D$18,0)</f>
        <v>39214</v>
      </c>
      <c r="H21" s="1204" t="s">
        <v>324</v>
      </c>
      <c r="I21" s="309"/>
      <c r="J21" s="1911"/>
      <c r="K21" s="1911"/>
      <c r="L21" s="1911"/>
      <c r="M21" s="1911"/>
      <c r="N21" s="1911"/>
      <c r="O21" s="1911"/>
      <c r="P21" s="1911"/>
      <c r="Q21" s="1911"/>
      <c r="R21" s="1911"/>
      <c r="S21" s="1911"/>
      <c r="T21" s="1911"/>
      <c r="U21" s="1911"/>
      <c r="V21" s="1911"/>
    </row>
    <row r="22" spans="1:26" ht="15.75" thickBot="1">
      <c r="A22" s="126" t="s">
        <v>326</v>
      </c>
      <c r="B22" s="1205"/>
      <c r="C22" s="1206"/>
      <c r="D22" s="281">
        <f ca="1">IF(C19&lt;D19,D19/C19-1,C19/D19-1)</f>
        <v>0.54114616621153133</v>
      </c>
      <c r="E22" s="282"/>
      <c r="F22" s="283"/>
      <c r="G22" s="284">
        <f ca="1">ROUND(G19/('数据-汇总表'!D3/666.67),0)</f>
        <v>1467</v>
      </c>
      <c r="H22" s="285" t="s">
        <v>327</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97" t="s">
        <v>328</v>
      </c>
      <c r="B24" s="267" t="s">
        <v>320</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544"/>
      <c r="B25" s="1274" t="s">
        <v>329</v>
      </c>
      <c r="C25" s="288">
        <f>IF(B30=0,0,C30)</f>
        <v>0</v>
      </c>
      <c r="D25" s="289"/>
      <c r="E25" s="309"/>
      <c r="F25" s="309"/>
      <c r="G25" s="309"/>
      <c r="H25" s="309"/>
      <c r="I25" s="309"/>
      <c r="J25" s="1911"/>
      <c r="K25" s="1208" t="str">
        <f ca="1">项目基本情况!B16&amp;"国有建设用地使用权价格："&amp;O38&amp;"万元"</f>
        <v>出让国有建设用地使用权价格：71192万元</v>
      </c>
      <c r="L25" s="1209"/>
      <c r="M25" s="1209"/>
      <c r="N25" s="1209"/>
      <c r="O25" s="1210"/>
      <c r="P25" s="1911"/>
      <c r="Q25" s="1911"/>
      <c r="R25" s="1911"/>
      <c r="S25" s="1911"/>
      <c r="T25" s="1911"/>
      <c r="U25" s="1911"/>
      <c r="V25" s="1911"/>
    </row>
    <row r="26" spans="1:26" s="1207" customFormat="1" ht="18">
      <c r="A26" s="291" t="s">
        <v>330</v>
      </c>
      <c r="B26" s="292" t="s">
        <v>331</v>
      </c>
      <c r="C26" s="292" t="s">
        <v>332</v>
      </c>
      <c r="D26" s="293" t="s">
        <v>333</v>
      </c>
      <c r="E26" s="309"/>
      <c r="F26" s="309"/>
      <c r="G26" s="309"/>
      <c r="H26" s="309"/>
      <c r="I26" s="309"/>
      <c r="J26" s="1911"/>
      <c r="K26" s="1211" t="str">
        <f ca="1">"大写金额：人民币"&amp;NUMBERSTRING(INT(O38*10000),2)&amp;"元整"</f>
        <v>大写金额：人民币柒亿壹仟壹佰玖拾贰万元整</v>
      </c>
      <c r="L26" s="1205"/>
      <c r="M26" s="1205"/>
      <c r="N26" s="1205"/>
      <c r="O26" s="1204"/>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1" t="str">
        <f ca="1">"单位面积地价："&amp;M38&amp;"元/平方米"</f>
        <v>单位面积地价：22001元/平方米</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str">
        <f ca="1">"楼面地价："&amp;N38&amp;"元/平方米"</f>
        <v>楼面地价：5000元/平方米</v>
      </c>
      <c r="L28" s="1205"/>
      <c r="M28" s="1205"/>
      <c r="N28" s="1205"/>
      <c r="O28" s="1204"/>
      <c r="P28" s="1911"/>
      <c r="V28" s="1911"/>
    </row>
    <row r="29" spans="1:26" ht="18">
      <c r="A29" s="291"/>
      <c r="B29" s="292"/>
      <c r="C29" s="292"/>
      <c r="D29" s="293"/>
      <c r="E29" s="309"/>
      <c r="F29" s="309"/>
      <c r="G29" s="309"/>
      <c r="H29" s="309"/>
      <c r="I29" s="309"/>
      <c r="J29" s="1911"/>
      <c r="K29" s="1211" t="str">
        <f>IF(OR(项目基本情况!E8="抵押价格",项目基本情况!E8="已注销及未注销"),"抵押价格："&amp;O39&amp;"万元","——")</f>
        <v>——</v>
      </c>
      <c r="L29" s="1205"/>
      <c r="M29" s="1205"/>
      <c r="N29" s="1205"/>
      <c r="O29" s="1204"/>
      <c r="P29" s="1911"/>
      <c r="V29" s="1911"/>
    </row>
    <row r="30" spans="1:26" ht="18.75" thickBot="1">
      <c r="A30" s="2799" t="s">
        <v>334</v>
      </c>
      <c r="B30" s="307"/>
      <c r="C30" s="307"/>
      <c r="D30" s="308"/>
      <c r="E30" s="3002" t="s">
        <v>2954</v>
      </c>
      <c r="F30" s="309"/>
      <c r="G30" s="309"/>
      <c r="H30" s="309"/>
      <c r="I30" s="309"/>
      <c r="J30" s="1911"/>
      <c r="K30" s="1211" t="str">
        <f>IF(K29="——","——","大写金额：人民币"&amp;NUMBERSTRING(INT(O39*10000),2)&amp;"元整")</f>
        <v>——</v>
      </c>
      <c r="L30" s="1205"/>
      <c r="M30" s="1205"/>
      <c r="N30" s="1205"/>
      <c r="O30" s="1204"/>
      <c r="P30" s="1911"/>
      <c r="V30" s="1911"/>
    </row>
    <row r="31" spans="1:26" ht="24" customHeight="1" thickBot="1">
      <c r="A31" s="3540" t="s">
        <v>2955</v>
      </c>
      <c r="B31" s="3540"/>
      <c r="C31" s="3540"/>
      <c r="D31" s="3540"/>
      <c r="E31" s="3540"/>
      <c r="F31" s="3540"/>
      <c r="G31" s="3540"/>
      <c r="H31" s="3540"/>
      <c r="I31" s="3540"/>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335</v>
      </c>
      <c r="B32" s="3003" t="s">
        <v>1674</v>
      </c>
      <c r="C32" s="264">
        <f ca="1">G19-C24</f>
        <v>71192</v>
      </c>
      <c r="D32" s="3004" t="s">
        <v>1675</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338</v>
      </c>
      <c r="B33" s="1332" t="s">
        <v>1676</v>
      </c>
      <c r="C33" s="262">
        <f ca="1">ROUND(C32*10000/'数据-汇总表'!E3,0)</f>
        <v>5000</v>
      </c>
      <c r="D33" s="1333" t="s">
        <v>1677</v>
      </c>
      <c r="E33" s="3497" t="s">
        <v>336</v>
      </c>
      <c r="F33" s="294" t="s">
        <v>337</v>
      </c>
      <c r="G33" s="295"/>
      <c r="H33" s="968"/>
      <c r="I33" s="1212"/>
      <c r="J33" s="1911"/>
      <c r="K33" s="1211" t="str">
        <f>IF(项目基本情况!E9="——","——","抵押净值："&amp;C46&amp;"万元")</f>
        <v>抵押净值：——万元</v>
      </c>
      <c r="L33" s="1205"/>
      <c r="M33" s="1205"/>
      <c r="N33" s="1205"/>
      <c r="O33" s="1204"/>
      <c r="P33" s="1911"/>
      <c r="V33" s="1911"/>
    </row>
    <row r="34" spans="1:26" s="1207" customFormat="1" ht="18.75" thickBot="1">
      <c r="A34" s="298"/>
      <c r="B34" s="1334" t="s">
        <v>1678</v>
      </c>
      <c r="C34" s="262">
        <f ca="1">ROUND(C32*10000/'数据-汇总表'!D3,0)</f>
        <v>22001</v>
      </c>
      <c r="D34" s="1335" t="s">
        <v>1677</v>
      </c>
      <c r="E34" s="3498"/>
      <c r="F34" s="127" t="s">
        <v>339</v>
      </c>
      <c r="G34" s="297"/>
      <c r="H34" s="105"/>
      <c r="I34" s="309"/>
      <c r="J34" s="1911"/>
      <c r="K34" s="1214" t="e">
        <f>IF(K33="——","——","大写金额：人民币"&amp;NUMBERSTRING(INT(O41*10000),2)&amp;"元整")</f>
        <v>#VALUE!</v>
      </c>
      <c r="L34" s="1215"/>
      <c r="M34" s="1215"/>
      <c r="N34" s="1215"/>
      <c r="O34" s="1216"/>
      <c r="P34" s="1911"/>
      <c r="Q34" s="290"/>
      <c r="R34" s="290"/>
      <c r="S34" s="290"/>
      <c r="T34" s="290"/>
      <c r="U34" s="290"/>
      <c r="V34" s="1911"/>
      <c r="W34" s="290"/>
      <c r="X34" s="290"/>
      <c r="Y34" s="290"/>
      <c r="Z34" s="290"/>
    </row>
    <row r="35" spans="1:26" ht="15.75" thickBot="1">
      <c r="A35" s="282"/>
      <c r="B35" s="1336"/>
      <c r="C35" s="1337">
        <f ca="1">ROUND(C32/('数据-汇总表'!D3/666.67),0)</f>
        <v>1467</v>
      </c>
      <c r="D35" s="1338" t="s">
        <v>1679</v>
      </c>
      <c r="E35" s="3499"/>
      <c r="F35" s="299" t="s">
        <v>340</v>
      </c>
      <c r="G35" s="970"/>
      <c r="H35" s="969" t="s">
        <v>341</v>
      </c>
      <c r="I35" s="309"/>
      <c r="J35" s="1911"/>
      <c r="K35" s="3503" t="s">
        <v>348</v>
      </c>
      <c r="L35" s="3503" t="s">
        <v>349</v>
      </c>
      <c r="M35" s="1217" t="s">
        <v>350</v>
      </c>
      <c r="N35" s="3503" t="s">
        <v>351</v>
      </c>
      <c r="O35" s="3503" t="s">
        <v>352</v>
      </c>
      <c r="P35" s="1911"/>
      <c r="V35" s="1911"/>
    </row>
    <row r="36" spans="1:26" ht="16.5" customHeight="1">
      <c r="A36" s="301" t="s">
        <v>342</v>
      </c>
      <c r="B36" s="302" t="s">
        <v>331</v>
      </c>
      <c r="C36" s="303" t="s">
        <v>343</v>
      </c>
      <c r="D36" s="303" t="s">
        <v>344</v>
      </c>
      <c r="E36" s="304" t="s">
        <v>345</v>
      </c>
      <c r="F36" s="309"/>
      <c r="G36" s="309"/>
      <c r="H36" s="309"/>
      <c r="I36" s="309"/>
      <c r="J36" s="1913"/>
      <c r="K36" s="3504"/>
      <c r="L36" s="3504"/>
      <c r="M36" s="1219" t="s">
        <v>353</v>
      </c>
      <c r="N36" s="3504"/>
      <c r="O36" s="3504"/>
      <c r="P36" s="1911"/>
      <c r="V36" s="1911"/>
    </row>
    <row r="37" spans="1:26" ht="16.5" customHeight="1" thickBot="1">
      <c r="A37" s="1213" t="s">
        <v>346</v>
      </c>
      <c r="B37" s="305"/>
      <c r="C37" s="292"/>
      <c r="D37" s="292"/>
      <c r="E37" s="293"/>
      <c r="F37" s="309"/>
      <c r="G37" s="309"/>
      <c r="H37" s="309"/>
      <c r="I37" s="309"/>
      <c r="J37" s="1913"/>
      <c r="K37" s="3505"/>
      <c r="L37" s="3505"/>
      <c r="M37" s="1220"/>
      <c r="N37" s="3505"/>
      <c r="O37" s="3505"/>
      <c r="P37" s="1911"/>
      <c r="V37" s="1911"/>
    </row>
    <row r="38" spans="1:26" ht="16.5" customHeight="1" thickBot="1">
      <c r="A38" s="1213" t="s">
        <v>347</v>
      </c>
      <c r="B38" s="305"/>
      <c r="C38" s="292"/>
      <c r="D38" s="292"/>
      <c r="E38" s="293"/>
      <c r="F38" s="309"/>
      <c r="G38" s="309"/>
      <c r="H38" s="309"/>
      <c r="I38" s="309"/>
      <c r="J38" s="1913"/>
      <c r="K38" s="1221">
        <f>'数据-汇总表'!D3</f>
        <v>32358.705000000002</v>
      </c>
      <c r="L38" s="1222">
        <f>'数据-汇总表'!E3</f>
        <v>142378.302</v>
      </c>
      <c r="M38" s="1222">
        <f ca="1">C34</f>
        <v>22001</v>
      </c>
      <c r="N38" s="1222">
        <f ca="1">C33</f>
        <v>5000</v>
      </c>
      <c r="O38" s="1223">
        <f ca="1">C32</f>
        <v>71192</v>
      </c>
      <c r="P38" s="1911"/>
      <c r="V38" s="1911"/>
    </row>
    <row r="39" spans="1:26" ht="16.5" customHeight="1" thickBot="1">
      <c r="A39" s="1218"/>
      <c r="B39" s="306"/>
      <c r="C39" s="307"/>
      <c r="D39" s="307"/>
      <c r="E39" s="308"/>
      <c r="F39" s="309"/>
      <c r="G39" s="309"/>
      <c r="H39" s="309"/>
      <c r="I39" s="309"/>
      <c r="J39" s="1913"/>
      <c r="K39" s="3516" t="str">
        <f>MID(A44,3,LEN(A44)-2)</f>
        <v/>
      </c>
      <c r="L39" s="3517"/>
      <c r="M39" s="3517"/>
      <c r="N39" s="3518"/>
      <c r="O39" s="1340" t="str">
        <f>C44</f>
        <v>——</v>
      </c>
      <c r="P39" s="1911"/>
      <c r="V39" s="1911"/>
    </row>
    <row r="40" spans="1:26" ht="19.5" thickBot="1">
      <c r="A40" s="104" t="s">
        <v>862</v>
      </c>
      <c r="B40" s="309"/>
      <c r="C40" s="309"/>
      <c r="D40" s="309"/>
      <c r="E40" s="309"/>
      <c r="F40" s="309"/>
      <c r="G40" s="309"/>
      <c r="H40" s="309"/>
      <c r="I40" s="309"/>
      <c r="J40" s="1913"/>
      <c r="K40" s="3516" t="str">
        <f t="shared" ref="K40:K41" si="0">MID(A45,3,LEN(A45)-2)</f>
        <v/>
      </c>
      <c r="L40" s="3517"/>
      <c r="M40" s="3517"/>
      <c r="N40" s="3518"/>
      <c r="O40" s="1340" t="str">
        <f>C45</f>
        <v>——</v>
      </c>
      <c r="P40" s="1911"/>
      <c r="V40" s="1911"/>
    </row>
    <row r="41" spans="1:26" ht="16.5" thickBot="1">
      <c r="A41" s="310" t="s">
        <v>354</v>
      </c>
      <c r="B41" s="311"/>
      <c r="C41" s="312" t="s">
        <v>355</v>
      </c>
      <c r="D41" s="313" t="s">
        <v>356</v>
      </c>
      <c r="E41" s="313" t="s">
        <v>357</v>
      </c>
      <c r="F41" s="314" t="s">
        <v>358</v>
      </c>
      <c r="G41" s="309"/>
      <c r="H41" s="309"/>
      <c r="I41" s="309"/>
      <c r="J41" s="1913"/>
      <c r="K41" s="3516" t="str">
        <f t="shared" si="0"/>
        <v/>
      </c>
      <c r="L41" s="3517"/>
      <c r="M41" s="3517"/>
      <c r="N41" s="3518"/>
      <c r="O41" s="1340" t="str">
        <f>C46</f>
        <v>——</v>
      </c>
      <c r="P41" s="1911"/>
      <c r="V41" s="1911"/>
    </row>
    <row r="42" spans="1:26" ht="29.25">
      <c r="A42" s="3545" t="s">
        <v>2051</v>
      </c>
      <c r="B42" s="3546"/>
      <c r="C42" s="262">
        <f ca="1">C32</f>
        <v>71192</v>
      </c>
      <c r="D42" s="315">
        <f ca="1">C33</f>
        <v>5000</v>
      </c>
      <c r="E42" s="315">
        <f ca="1">C34</f>
        <v>22001</v>
      </c>
      <c r="F42" s="316">
        <f ca="1">C35</f>
        <v>1467</v>
      </c>
      <c r="G42" s="309"/>
      <c r="H42" s="309"/>
      <c r="I42" s="317"/>
      <c r="J42" s="1913"/>
      <c r="K42" s="1224" t="s">
        <v>359</v>
      </c>
      <c r="L42" s="1930" t="s">
        <v>360</v>
      </c>
      <c r="M42" s="1225" t="s">
        <v>361</v>
      </c>
      <c r="N42" s="1931" t="s">
        <v>362</v>
      </c>
      <c r="O42" s="1932" t="s">
        <v>363</v>
      </c>
      <c r="P42" s="1911"/>
      <c r="V42" s="1911"/>
    </row>
    <row r="43" spans="1:26" ht="18">
      <c r="A43" s="3555" t="s">
        <v>2705</v>
      </c>
      <c r="B43" s="3556"/>
      <c r="C43" s="262">
        <f>IF(H33="正常操作",G33+G34+G35,G34+G35)</f>
        <v>0</v>
      </c>
      <c r="D43" s="315" t="s">
        <v>43</v>
      </c>
      <c r="E43" s="315" t="s">
        <v>44</v>
      </c>
      <c r="F43" s="316" t="s">
        <v>44</v>
      </c>
      <c r="G43" s="2583" t="s">
        <v>941</v>
      </c>
      <c r="H43" s="309"/>
      <c r="I43" s="317"/>
      <c r="J43" s="1913"/>
      <c r="K43" s="1226" t="str">
        <f>C4</f>
        <v>剩余法-商</v>
      </c>
      <c r="L43" s="1227">
        <f ca="1">IF(L42="估价结果/万元",C19,C20)</f>
        <v>79574</v>
      </c>
      <c r="M43" s="1228">
        <f>C18</f>
        <v>0.7</v>
      </c>
      <c r="N43" s="1229">
        <f ca="1">IF(N42="测算结果/万元",G19,G20)</f>
        <v>71192</v>
      </c>
      <c r="O43" s="1230">
        <f ca="1">IF(O42="最终结果/万元",C32,C33)</f>
        <v>71192</v>
      </c>
      <c r="P43" s="1911"/>
      <c r="V43" s="1911"/>
    </row>
    <row r="44" spans="1:26" ht="18.75" thickBot="1">
      <c r="A44" s="3545" t="str">
        <f>IF(OR(项目基本情况!E8="抵押价格",项目基本情况!E8="已注销及未注销"),"3.抵押价格","——")</f>
        <v>——</v>
      </c>
      <c r="B44" s="3546"/>
      <c r="C44" s="262" t="str">
        <f>IF(A44="——","——",C42-C43)</f>
        <v>——</v>
      </c>
      <c r="D44" s="315" t="e">
        <f>ROUND(C44*10000/'数据-汇总表'!E3,0)</f>
        <v>#VALUE!</v>
      </c>
      <c r="E44" s="315" t="e">
        <f>ROUND(C44*10000/'数据-汇总表'!D3,0)</f>
        <v>#VALUE!</v>
      </c>
      <c r="F44" s="316" t="e">
        <f>ROUND(C44/('数据-汇总表'!D3/666.67),0)</f>
        <v>#VALUE!</v>
      </c>
      <c r="G44" s="309"/>
      <c r="H44" s="309"/>
      <c r="I44" s="317"/>
      <c r="J44" s="1913"/>
      <c r="K44" s="1231" t="str">
        <f>D4</f>
        <v>基准地价-商</v>
      </c>
      <c r="L44" s="1232">
        <f ca="1">IF(L42="估价结果/万元",D19,D20)</f>
        <v>51633</v>
      </c>
      <c r="M44" s="1233">
        <f>D18</f>
        <v>0.30000000000000004</v>
      </c>
      <c r="N44" s="1234"/>
      <c r="O44" s="1235"/>
      <c r="P44" s="1911"/>
      <c r="V44" s="1911"/>
    </row>
    <row r="45" spans="1:26" ht="15">
      <c r="A45" s="3550" t="str">
        <f>IF(项目基本情况!E8="已注销及未注销","4.抵押担保权已注销时的抵押价格",IF(项目基本情况!E8="已注销","3.抵押担保权已注销时的抵押价格","——"))</f>
        <v>——</v>
      </c>
      <c r="B45" s="3551"/>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547" t="str">
        <f>IF(项目基本情况!E9="抵押净值",IF(A45="——","4.抵押净值","5.抵押净值"),"——")</f>
        <v>——</v>
      </c>
      <c r="B46" s="3548"/>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364</v>
      </c>
      <c r="B47" s="1236"/>
      <c r="C47" s="320" t="s">
        <v>365</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366</v>
      </c>
      <c r="G53" s="335"/>
      <c r="H53" s="335"/>
      <c r="I53" s="336" t="s">
        <v>367</v>
      </c>
      <c r="J53" s="1914"/>
      <c r="K53" s="1911"/>
      <c r="L53" s="1911"/>
      <c r="M53" s="1911"/>
      <c r="N53" s="1911"/>
      <c r="O53" s="1911"/>
      <c r="P53" s="1911"/>
      <c r="Q53" s="1911"/>
      <c r="R53" s="1911"/>
      <c r="S53" s="1911"/>
      <c r="T53" s="1911"/>
      <c r="U53" s="1911"/>
      <c r="V53" s="1911"/>
    </row>
    <row r="54" spans="1:22" ht="12.75">
      <c r="A54" s="255"/>
      <c r="B54" s="337" t="s">
        <v>368</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369</v>
      </c>
      <c r="J56" s="1914"/>
      <c r="K56" s="1911"/>
      <c r="L56" s="1911"/>
      <c r="M56" s="1911"/>
      <c r="N56" s="1911"/>
      <c r="O56" s="1911"/>
      <c r="P56" s="1911"/>
      <c r="Q56" s="1911"/>
      <c r="R56" s="1911"/>
      <c r="S56" s="1911"/>
      <c r="T56" s="1911"/>
      <c r="U56" s="1911"/>
      <c r="V56" s="1911"/>
    </row>
    <row r="57" spans="1:22" ht="12.75">
      <c r="A57" s="255"/>
      <c r="B57" s="337" t="s">
        <v>370</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369</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371</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508" t="s">
        <v>372</v>
      </c>
      <c r="B63" s="3509"/>
      <c r="C63" s="3510"/>
      <c r="D63" s="339">
        <f ca="1">ROUND(C42*F63,0)</f>
        <v>71192</v>
      </c>
      <c r="E63" s="300" t="s">
        <v>373</v>
      </c>
      <c r="F63" s="340">
        <v>1</v>
      </c>
      <c r="G63" s="341" t="s">
        <v>374</v>
      </c>
      <c r="H63" s="309"/>
      <c r="I63" s="309"/>
      <c r="J63" s="1911"/>
      <c r="K63" s="1911"/>
      <c r="L63" s="1911"/>
      <c r="M63" s="1911"/>
      <c r="N63" s="1911"/>
      <c r="O63" s="1911"/>
      <c r="P63" s="1911"/>
      <c r="Q63" s="1911"/>
      <c r="R63" s="1911"/>
      <c r="S63" s="1911"/>
      <c r="T63" s="1911"/>
      <c r="U63" s="1911"/>
      <c r="V63" s="1911"/>
    </row>
    <row r="64" spans="1:22" ht="14.25" customHeight="1">
      <c r="A64" s="3552" t="s">
        <v>376</v>
      </c>
      <c r="B64" s="3553"/>
      <c r="C64" s="3553"/>
      <c r="D64" s="3553"/>
      <c r="E64" s="3553"/>
      <c r="F64" s="3553"/>
      <c r="G64" s="3554"/>
      <c r="H64" s="1241"/>
      <c r="I64" s="937"/>
      <c r="J64" s="1902"/>
      <c r="K64" s="1498" t="s">
        <v>375</v>
      </c>
      <c r="L64" s="11"/>
      <c r="M64" s="11"/>
      <c r="N64" s="11"/>
      <c r="O64" s="11"/>
      <c r="P64" s="309"/>
      <c r="Q64" s="1911"/>
      <c r="R64" s="1911"/>
      <c r="S64" s="1911"/>
      <c r="T64" s="1911"/>
      <c r="U64" s="1911"/>
      <c r="V64" s="1911"/>
    </row>
    <row r="65" spans="1:22" ht="12" customHeight="1">
      <c r="A65" s="342" t="s">
        <v>378</v>
      </c>
      <c r="B65" s="343"/>
      <c r="C65" s="344"/>
      <c r="D65" s="345" t="s">
        <v>379</v>
      </c>
      <c r="E65" s="53" t="s">
        <v>380</v>
      </c>
      <c r="F65" s="346" t="s">
        <v>381</v>
      </c>
      <c r="G65" s="347" t="s">
        <v>382</v>
      </c>
      <c r="H65" s="1241"/>
      <c r="I65" s="937"/>
      <c r="J65" s="1902"/>
      <c r="K65" s="1242"/>
      <c r="L65" s="1243"/>
      <c r="M65" s="1243"/>
      <c r="N65" s="1275" t="s">
        <v>377</v>
      </c>
      <c r="O65" s="1276"/>
      <c r="P65" s="1277"/>
      <c r="Q65" s="1911"/>
      <c r="R65" s="1911"/>
      <c r="S65" s="1911"/>
      <c r="T65" s="1911"/>
      <c r="U65" s="1911"/>
      <c r="V65" s="1911"/>
    </row>
    <row r="66" spans="1:22" ht="25.5">
      <c r="A66" s="3549" t="s">
        <v>384</v>
      </c>
      <c r="B66" s="3515"/>
      <c r="C66" s="3515"/>
      <c r="D66" s="259" t="b">
        <f>IF(H66="情况1",0,IF(H66="情况2",D70,IF(H66="情况3",D71,IF(H66="情况4",D72))))</f>
        <v>0</v>
      </c>
      <c r="E66" s="981" t="str">
        <f>IF(H66="情况4","(销售额-原购置价)×税（费）率","销售额×税（费）率")</f>
        <v>销售额×税（费）率</v>
      </c>
      <c r="F66" s="348">
        <f>IF(H66="情况1","免征",'数据-取费表'!B41)</f>
        <v>5.5000000000000007E-2</v>
      </c>
      <c r="G66" s="349" t="s">
        <v>385</v>
      </c>
      <c r="H66" s="189"/>
      <c r="I66" s="1241"/>
      <c r="J66" s="1917"/>
      <c r="K66" s="1244">
        <v>1</v>
      </c>
      <c r="L66" s="3476" t="s">
        <v>383</v>
      </c>
      <c r="M66" s="3477"/>
      <c r="N66" s="2312"/>
      <c r="O66" s="2313"/>
      <c r="P66" s="2314"/>
      <c r="Q66" s="1911"/>
      <c r="R66" s="1911"/>
      <c r="S66" s="1911"/>
      <c r="T66" s="1911"/>
      <c r="U66" s="1911"/>
      <c r="V66" s="1911"/>
    </row>
    <row r="67" spans="1:22" ht="25.5" customHeight="1">
      <c r="A67" s="350" t="s">
        <v>387</v>
      </c>
      <c r="B67" s="3527" t="s">
        <v>388</v>
      </c>
      <c r="C67" s="3527"/>
      <c r="D67" s="351">
        <v>0</v>
      </c>
      <c r="E67" s="41" t="s">
        <v>389</v>
      </c>
      <c r="F67" s="62" t="s">
        <v>21</v>
      </c>
      <c r="G67" s="3511"/>
      <c r="H67" s="3005" t="s">
        <v>2956</v>
      </c>
      <c r="I67" s="3007"/>
      <c r="J67" s="1918"/>
      <c r="K67" s="1890">
        <v>2</v>
      </c>
      <c r="L67" s="3481" t="s">
        <v>386</v>
      </c>
      <c r="M67" s="3481"/>
      <c r="N67" s="1278">
        <f>'数据-取费表'!B2</f>
        <v>44463</v>
      </c>
      <c r="O67" s="1278"/>
      <c r="P67" s="1278"/>
      <c r="Q67" s="1911"/>
      <c r="R67" s="1911"/>
      <c r="S67" s="1911"/>
      <c r="T67" s="1911"/>
      <c r="U67" s="1911"/>
      <c r="V67" s="1911"/>
    </row>
    <row r="68" spans="1:22" ht="25.5" customHeight="1">
      <c r="A68" s="352"/>
      <c r="B68" s="3527" t="s">
        <v>391</v>
      </c>
      <c r="C68" s="3527"/>
      <c r="D68" s="353"/>
      <c r="E68" s="77"/>
      <c r="F68" s="354"/>
      <c r="G68" s="3512"/>
      <c r="H68" s="3006" t="s">
        <v>2957</v>
      </c>
      <c r="I68" s="3007"/>
      <c r="J68" s="1918"/>
      <c r="K68" s="1890">
        <v>3</v>
      </c>
      <c r="L68" s="3481" t="s">
        <v>390</v>
      </c>
      <c r="M68" s="3481"/>
      <c r="N68" s="1246">
        <f ca="1">C42</f>
        <v>71192</v>
      </c>
      <c r="O68" s="1246"/>
      <c r="P68" s="1246"/>
      <c r="Q68" s="1911"/>
      <c r="R68" s="1911"/>
      <c r="S68" s="1911"/>
      <c r="T68" s="1911"/>
      <c r="U68" s="1911"/>
      <c r="V68" s="1911"/>
    </row>
    <row r="69" spans="1:22" ht="23.45" customHeight="1">
      <c r="A69" s="355"/>
      <c r="B69" s="3527" t="s">
        <v>392</v>
      </c>
      <c r="C69" s="3527"/>
      <c r="D69" s="356"/>
      <c r="E69" s="73"/>
      <c r="F69" s="354"/>
      <c r="G69" s="3513"/>
      <c r="H69" s="3006" t="s">
        <v>2958</v>
      </c>
      <c r="I69" s="3007"/>
      <c r="J69" s="1918"/>
      <c r="K69" s="1247">
        <v>4</v>
      </c>
      <c r="L69" s="3482" t="s">
        <v>2857</v>
      </c>
      <c r="M69" s="3483"/>
      <c r="N69" s="1248" t="str">
        <f>C44</f>
        <v>——</v>
      </c>
      <c r="O69" s="1248"/>
      <c r="P69" s="1248"/>
      <c r="Q69" s="1911"/>
      <c r="R69" s="1911"/>
      <c r="S69" s="1911"/>
      <c r="T69" s="1911"/>
      <c r="U69" s="1911"/>
      <c r="V69" s="1911"/>
    </row>
    <row r="70" spans="1:22" ht="24" customHeight="1">
      <c r="A70" s="357" t="s">
        <v>393</v>
      </c>
      <c r="B70" s="3527" t="s">
        <v>394</v>
      </c>
      <c r="C70" s="3527"/>
      <c r="D70" s="356">
        <f ca="1">ROUND(D63*'数据-取费表'!B41/(1+'数据-取费表'!C42),0)</f>
        <v>3729</v>
      </c>
      <c r="E70" s="17" t="s">
        <v>395</v>
      </c>
      <c r="F70" s="358">
        <f>'数据-取费表'!B41</f>
        <v>5.5000000000000007E-2</v>
      </c>
      <c r="G70" s="359"/>
      <c r="H70" s="309"/>
      <c r="I70" s="1245"/>
      <c r="J70" s="1918"/>
      <c r="K70" s="2764"/>
      <c r="L70" s="2765"/>
      <c r="M70" s="2765"/>
      <c r="N70" s="2766" t="s">
        <v>2861</v>
      </c>
      <c r="O70" s="2765"/>
      <c r="P70" s="2767"/>
      <c r="Q70" s="1911"/>
      <c r="R70" s="1911"/>
      <c r="S70" s="1911"/>
      <c r="T70" s="1911"/>
      <c r="U70" s="1911"/>
      <c r="V70" s="1911"/>
    </row>
    <row r="71" spans="1:22" ht="12" customHeight="1">
      <c r="A71" s="357" t="s">
        <v>401</v>
      </c>
      <c r="B71" s="3526" t="s">
        <v>2987</v>
      </c>
      <c r="C71" s="3543"/>
      <c r="D71" s="356">
        <f ca="1">ROUND(D63*'数据-取费表'!B41/(1+'数据-取费表'!C42),0)</f>
        <v>3729</v>
      </c>
      <c r="E71" s="17" t="s">
        <v>395</v>
      </c>
      <c r="F71" s="358">
        <f>'数据-取费表'!B41</f>
        <v>5.5000000000000007E-2</v>
      </c>
      <c r="G71" s="359"/>
      <c r="H71" s="309"/>
      <c r="I71" s="1245"/>
      <c r="J71" s="1918"/>
      <c r="K71" s="2763" t="s">
        <v>396</v>
      </c>
      <c r="L71" s="3484" t="s">
        <v>397</v>
      </c>
      <c r="M71" s="3484"/>
      <c r="N71" s="2763" t="s">
        <v>398</v>
      </c>
      <c r="O71" s="2763" t="s">
        <v>399</v>
      </c>
      <c r="P71" s="2763" t="s">
        <v>400</v>
      </c>
      <c r="Q71" s="1911"/>
      <c r="R71" s="1911"/>
      <c r="S71" s="1911"/>
      <c r="T71" s="1911"/>
      <c r="U71" s="1911"/>
      <c r="V71" s="1911"/>
    </row>
    <row r="72" spans="1:22" ht="12" customHeight="1">
      <c r="A72" s="357" t="s">
        <v>403</v>
      </c>
      <c r="B72" s="3526" t="s">
        <v>2988</v>
      </c>
      <c r="C72" s="3543"/>
      <c r="D72" s="356">
        <f ca="1">C86</f>
        <v>3729</v>
      </c>
      <c r="E72" s="73" t="s">
        <v>404</v>
      </c>
      <c r="F72" s="358">
        <f>'数据-取费表'!B41</f>
        <v>5.5000000000000007E-2</v>
      </c>
      <c r="G72" s="359"/>
      <c r="H72" s="1251"/>
      <c r="I72" s="1245"/>
      <c r="J72" s="1918"/>
      <c r="K72" s="1890">
        <v>1</v>
      </c>
      <c r="L72" s="3480" t="s">
        <v>402</v>
      </c>
      <c r="M72" s="3480"/>
      <c r="N72" s="1249" t="b">
        <f>D66</f>
        <v>0</v>
      </c>
      <c r="O72" s="1773" t="str">
        <f>E66</f>
        <v>销售额×税（费）率</v>
      </c>
      <c r="P72" s="1250">
        <f>F66</f>
        <v>5.5000000000000007E-2</v>
      </c>
      <c r="Q72" s="1911"/>
      <c r="R72" s="1911"/>
      <c r="S72" s="1911"/>
      <c r="T72" s="1911"/>
      <c r="U72" s="1911"/>
      <c r="V72" s="1911"/>
    </row>
    <row r="73" spans="1:22" ht="24" customHeight="1">
      <c r="A73" s="3514" t="s">
        <v>406</v>
      </c>
      <c r="B73" s="3515"/>
      <c r="C73" s="3515"/>
      <c r="D73" s="360">
        <f ca="1">IF(H73="个人住宅",0,ROUND(D63*I73,0))</f>
        <v>36</v>
      </c>
      <c r="E73" s="17" t="s">
        <v>407</v>
      </c>
      <c r="F73" s="358" t="str">
        <f>IF(H73="正常",I73,"免征")</f>
        <v>免征</v>
      </c>
      <c r="G73" s="359"/>
      <c r="H73" s="189"/>
      <c r="I73" s="358">
        <f>'数据-取费表'!B49</f>
        <v>5.0000000000000001E-4</v>
      </c>
      <c r="J73" s="1918"/>
      <c r="K73" s="1890">
        <v>2</v>
      </c>
      <c r="L73" s="3480" t="s">
        <v>405</v>
      </c>
      <c r="M73" s="3480"/>
      <c r="N73" s="1249">
        <f t="shared" ref="N73:P74" ca="1" si="1">D73</f>
        <v>36</v>
      </c>
      <c r="O73" s="1773" t="str">
        <f t="shared" si="1"/>
        <v>销售额×税（费）率</v>
      </c>
      <c r="P73" s="1250" t="str">
        <f t="shared" si="1"/>
        <v>免征</v>
      </c>
      <c r="Q73" s="1911"/>
      <c r="R73" s="1911"/>
      <c r="S73" s="1911"/>
      <c r="T73" s="1911"/>
      <c r="U73" s="1911"/>
      <c r="V73" s="1911"/>
    </row>
    <row r="74" spans="1:22" ht="24.75">
      <c r="A74" s="3514" t="s">
        <v>409</v>
      </c>
      <c r="B74" s="3515"/>
      <c r="C74" s="3515"/>
      <c r="D74" s="360">
        <f ca="1">IF(H74="个人住宅",D75,D76)</f>
        <v>40359</v>
      </c>
      <c r="E74" s="17" t="s">
        <v>410</v>
      </c>
      <c r="F74" s="358" t="str">
        <f>IF(H74="正常",F76,"免征")</f>
        <v>免征</v>
      </c>
      <c r="G74" s="971" t="s">
        <v>411</v>
      </c>
      <c r="H74" s="361"/>
      <c r="I74" s="42"/>
      <c r="J74" s="1918"/>
      <c r="K74" s="1890">
        <v>3</v>
      </c>
      <c r="L74" s="3480" t="s">
        <v>408</v>
      </c>
      <c r="M74" s="3480"/>
      <c r="N74" s="1249">
        <f t="shared" ca="1" si="1"/>
        <v>40359</v>
      </c>
      <c r="O74" s="1773" t="str">
        <f t="shared" si="1"/>
        <v>增值额×税（费）率</v>
      </c>
      <c r="P74" s="1252" t="str">
        <f t="shared" si="1"/>
        <v>免征</v>
      </c>
      <c r="Q74" s="1911"/>
      <c r="R74" s="1911"/>
      <c r="S74" s="1911"/>
      <c r="T74" s="1911"/>
      <c r="U74" s="1911"/>
      <c r="V74" s="1911"/>
    </row>
    <row r="75" spans="1:22" ht="12.75">
      <c r="A75" s="357" t="s">
        <v>412</v>
      </c>
      <c r="B75" s="3495" t="s">
        <v>413</v>
      </c>
      <c r="C75" s="3496"/>
      <c r="D75" s="362">
        <v>0</v>
      </c>
      <c r="E75" s="41" t="s">
        <v>414</v>
      </c>
      <c r="F75" s="363"/>
      <c r="G75" s="359"/>
      <c r="H75" s="42"/>
      <c r="I75" s="42"/>
      <c r="J75" s="1918"/>
      <c r="K75" s="2757">
        <f>IF(H77="非个人房产","",4)</f>
        <v>4</v>
      </c>
      <c r="L75" s="3480" t="str">
        <f>IF(H77="非个人房产","——","个人所得税")</f>
        <v>个人所得税</v>
      </c>
      <c r="M75" s="3480"/>
      <c r="N75" s="1253">
        <f>D77</f>
        <v>0</v>
      </c>
      <c r="O75" s="1786" t="str">
        <f>E77</f>
        <v>差额计税</v>
      </c>
      <c r="P75" s="1254">
        <f>F77</f>
        <v>0.01</v>
      </c>
      <c r="Q75" s="1911"/>
      <c r="R75" s="1911"/>
      <c r="S75" s="1911"/>
      <c r="T75" s="1911"/>
      <c r="U75" s="1911"/>
      <c r="V75" s="1911"/>
    </row>
    <row r="76" spans="1:22" ht="24.75">
      <c r="A76" s="357" t="s">
        <v>393</v>
      </c>
      <c r="B76" s="3495" t="s">
        <v>416</v>
      </c>
      <c r="C76" s="3537"/>
      <c r="D76" s="360">
        <f ca="1">IF(H76="转让取得",C99,C115)</f>
        <v>40359</v>
      </c>
      <c r="E76" s="17" t="s">
        <v>417</v>
      </c>
      <c r="F76" s="53" t="s">
        <v>21</v>
      </c>
      <c r="G76" s="359"/>
      <c r="H76" s="361"/>
      <c r="I76" s="42"/>
      <c r="J76" s="1918"/>
      <c r="K76" s="2757" t="str">
        <f>IF(项目基本情况!K6="上海银行",IF(K75="",4,K75+1),"")</f>
        <v/>
      </c>
      <c r="L76" s="3491" t="str">
        <f>IF(项目基本情况!K6="上海银行","其他处置费用","")</f>
        <v/>
      </c>
      <c r="M76" s="3492"/>
      <c r="N76" s="1249" t="str">
        <f>IF(项目基本情况!K6="上海银行",N89,"")</f>
        <v/>
      </c>
      <c r="O76" s="3493" t="str">
        <f>IF(项目基本情况!K6="上海银行","包含处置中涉及的律师、诉讼、拍卖、评估等费用","")</f>
        <v/>
      </c>
      <c r="P76" s="3494"/>
      <c r="Q76" s="1911"/>
      <c r="R76" s="1911"/>
      <c r="S76" s="1911"/>
      <c r="T76" s="1911"/>
      <c r="U76" s="1911"/>
      <c r="V76" s="1911"/>
    </row>
    <row r="77" spans="1:22" ht="24.75" thickBot="1">
      <c r="A77" s="3506" t="s">
        <v>419</v>
      </c>
      <c r="B77" s="3507"/>
      <c r="C77" s="3507"/>
      <c r="D77" s="3010">
        <f>IF(H77="非个人房产","——",IF(H77="个人住宅（满五唯一有凭证）",0,IF(H77="个人其他（无凭证）",ROUND(D63*F77,0),ROUND(C84*F77,0))))</f>
        <v>0</v>
      </c>
      <c r="E77" s="3011" t="str">
        <f>IF(H77="非个人房产","——",IF(H77="个人其他（无凭证）","销售额×税（费）率",IF(H77="个人住宅（满五唯一有凭证）","免征","差额计税")))</f>
        <v>差额计税</v>
      </c>
      <c r="F77" s="3012">
        <f>IF(OR(H77="非个人房产",H77="个人住宅（满五唯一有凭证）"),"——",IF(H77="个人其他（有凭证）",20%,1%))</f>
        <v>0.01</v>
      </c>
      <c r="G77" s="972" t="s">
        <v>411</v>
      </c>
      <c r="H77" s="3009"/>
      <c r="I77" s="3008" t="s">
        <v>2959</v>
      </c>
      <c r="J77" s="1918"/>
      <c r="K77" s="3502">
        <f>IF(AND(K75="",K76=""),4,IF(项目基本情况!K6="上海银行",K76+1,K75+1))</f>
        <v>5</v>
      </c>
      <c r="L77" s="3480" t="s">
        <v>2858</v>
      </c>
      <c r="M77" s="2762" t="s">
        <v>415</v>
      </c>
      <c r="N77" s="1255"/>
      <c r="O77" s="1256">
        <f ca="1">SUMIF(N72:N76,"&lt;9e307")</f>
        <v>40395</v>
      </c>
      <c r="P77" s="1257"/>
      <c r="Q77" s="2760" t="e">
        <f ca="1">O77/N69</f>
        <v>#VALUE!</v>
      </c>
      <c r="R77" s="1911"/>
      <c r="S77" s="1911"/>
      <c r="T77" s="1911"/>
      <c r="U77" s="1911"/>
      <c r="V77" s="1911"/>
    </row>
    <row r="78" spans="1:22" ht="12" customHeight="1">
      <c r="A78" s="1258"/>
      <c r="B78" s="309"/>
      <c r="C78" s="309"/>
      <c r="D78" s="309"/>
      <c r="E78" s="42"/>
      <c r="F78" s="42"/>
      <c r="G78" s="42"/>
      <c r="H78" s="991"/>
      <c r="I78" s="309"/>
      <c r="J78" s="1918"/>
      <c r="K78" s="3502"/>
      <c r="L78" s="3480"/>
      <c r="M78" s="2762" t="s">
        <v>418</v>
      </c>
      <c r="N78" s="1255"/>
      <c r="O78" s="1256" t="str">
        <f ca="1">NUMBERSTRING(INT(O77*10000),2)&amp;"元整"</f>
        <v>肆亿零叁佰玖拾伍万元整</v>
      </c>
      <c r="P78" s="1257"/>
      <c r="Q78" s="1911"/>
      <c r="R78" s="1911"/>
      <c r="S78" s="1911"/>
      <c r="T78" s="1911"/>
      <c r="U78" s="1911"/>
      <c r="V78" s="1911"/>
    </row>
    <row r="79" spans="1:22" ht="13.5" thickBot="1">
      <c r="A79" s="3557" t="s">
        <v>420</v>
      </c>
      <c r="B79" s="3557"/>
      <c r="C79" s="3557"/>
      <c r="D79" s="3557"/>
      <c r="E79" s="3557"/>
      <c r="F79" s="42"/>
      <c r="G79" s="42"/>
      <c r="H79" s="991"/>
      <c r="I79" s="309"/>
      <c r="J79" s="1918"/>
      <c r="K79" s="3478">
        <f>K77+1</f>
        <v>6</v>
      </c>
      <c r="L79" s="3480" t="s">
        <v>2859</v>
      </c>
      <c r="M79" s="2762" t="s">
        <v>415</v>
      </c>
      <c r="N79" s="1255"/>
      <c r="O79" s="1256" t="e">
        <f ca="1">N69-O77</f>
        <v>#VALUE!</v>
      </c>
      <c r="P79" s="1257"/>
      <c r="Q79" s="1911"/>
      <c r="R79" s="1911"/>
      <c r="S79" s="1911"/>
      <c r="T79" s="1911"/>
      <c r="U79" s="1911"/>
      <c r="V79" s="1911"/>
    </row>
    <row r="80" spans="1:22" ht="12.75">
      <c r="A80" s="3488" t="s">
        <v>421</v>
      </c>
      <c r="B80" s="3489"/>
      <c r="C80" s="982"/>
      <c r="D80" s="982" t="s">
        <v>422</v>
      </c>
      <c r="E80" s="364" t="s">
        <v>423</v>
      </c>
      <c r="F80" s="42"/>
      <c r="G80" s="42"/>
      <c r="H80" s="991"/>
      <c r="I80" s="309"/>
      <c r="J80" s="1911"/>
      <c r="K80" s="3479"/>
      <c r="L80" s="3480"/>
      <c r="M80" s="2762" t="s">
        <v>418</v>
      </c>
      <c r="N80" s="1255"/>
      <c r="O80" s="1256" t="e">
        <f ca="1">NUMBERSTRING(INT(O79*10000),2)&amp;"元整"</f>
        <v>#VALUE!</v>
      </c>
      <c r="P80" s="1257"/>
      <c r="Q80" s="1911"/>
      <c r="R80" s="1911"/>
      <c r="S80" s="1911"/>
      <c r="T80" s="1911"/>
      <c r="U80" s="1911"/>
      <c r="V80" s="1911"/>
    </row>
    <row r="81" spans="1:26" ht="13.5" thickBot="1">
      <c r="A81" s="375" t="s">
        <v>1809</v>
      </c>
      <c r="B81" s="365" t="s">
        <v>424</v>
      </c>
      <c r="C81" s="366">
        <f ca="1">ROUND((C82+C83)/(1+'数据-取费表'!C42),0)</f>
        <v>67802</v>
      </c>
      <c r="D81" s="367"/>
      <c r="E81" s="368"/>
      <c r="F81" s="42"/>
      <c r="G81" s="42"/>
      <c r="H81" s="991"/>
      <c r="I81" s="309"/>
      <c r="J81" s="1911"/>
      <c r="K81" s="2757">
        <f>K79+1</f>
        <v>7</v>
      </c>
      <c r="L81" s="3500" t="s">
        <v>2860</v>
      </c>
      <c r="M81" s="3501"/>
      <c r="N81" s="1259"/>
      <c r="O81" s="1260" t="e">
        <f ca="1">ROUND(O79*10000/'数据-汇总表'!E3,0)</f>
        <v>#VALUE!</v>
      </c>
      <c r="P81" s="1261"/>
      <c r="Q81" s="1911"/>
      <c r="R81" s="1911"/>
      <c r="S81" s="1911"/>
      <c r="T81" s="1911"/>
      <c r="U81" s="1911"/>
      <c r="V81" s="1911"/>
    </row>
    <row r="82" spans="1:26" ht="13.5" thickTop="1">
      <c r="A82" s="369" t="s">
        <v>1810</v>
      </c>
      <c r="B82" s="370" t="s">
        <v>425</v>
      </c>
      <c r="C82" s="371">
        <f ca="1">D63</f>
        <v>71192</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1811</v>
      </c>
      <c r="B83" s="370" t="s">
        <v>426</v>
      </c>
      <c r="C83" s="374"/>
      <c r="D83" s="372"/>
      <c r="E83" s="373"/>
      <c r="F83" s="42"/>
      <c r="G83" s="42"/>
      <c r="H83" s="991"/>
      <c r="I83" s="309"/>
      <c r="J83" s="1911"/>
      <c r="K83" s="3490" t="s">
        <v>2848</v>
      </c>
      <c r="L83" s="2768" t="s">
        <v>2849</v>
      </c>
      <c r="M83" s="2758" t="e">
        <f>IF(N69&gt;10000,N69*0.5%,IF(AND(N69&gt;1000,N69&lt;=10000),N69*1%,IF(AND(N69&gt;100,N69&lt;=1000),N69*3%,IF(AND(N69&gt;10,N69&lt;=100),N69*5%,N69*8%))))</f>
        <v>#VALUE!</v>
      </c>
      <c r="N83" s="53" t="e">
        <f>ROUND(M83,1)</f>
        <v>#VALUE!</v>
      </c>
      <c r="O83" s="2761"/>
      <c r="P83" s="1911"/>
      <c r="Q83" s="1911"/>
      <c r="R83" s="1911"/>
      <c r="S83" s="1911"/>
      <c r="T83" s="1911"/>
      <c r="U83" s="1911"/>
      <c r="V83" s="1911"/>
    </row>
    <row r="84" spans="1:26" ht="12.75">
      <c r="A84" s="375" t="s">
        <v>1812</v>
      </c>
      <c r="B84" s="376" t="s">
        <v>427</v>
      </c>
      <c r="C84" s="377"/>
      <c r="D84" s="378" t="s">
        <v>19</v>
      </c>
      <c r="E84" s="2786" t="s">
        <v>2898</v>
      </c>
      <c r="F84" s="42"/>
      <c r="G84" s="42"/>
      <c r="H84" s="991"/>
      <c r="I84" s="309"/>
      <c r="J84" s="1911"/>
      <c r="K84" s="3490"/>
      <c r="L84" s="2768" t="s">
        <v>2850</v>
      </c>
      <c r="M84" s="275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2851</v>
      </c>
      <c r="P84" s="1911"/>
      <c r="Q84" s="1911"/>
      <c r="R84" s="1911"/>
      <c r="S84" s="1911"/>
      <c r="T84" s="1911"/>
      <c r="U84" s="1911"/>
      <c r="V84" s="1911"/>
    </row>
    <row r="85" spans="1:26" ht="12.75">
      <c r="A85" s="375" t="s">
        <v>1813</v>
      </c>
      <c r="B85" s="376" t="s">
        <v>428</v>
      </c>
      <c r="C85" s="379">
        <f ca="1">C81-C84</f>
        <v>67802</v>
      </c>
      <c r="D85" s="372" t="s">
        <v>19</v>
      </c>
      <c r="E85" s="373"/>
      <c r="F85" s="42"/>
      <c r="G85" s="42"/>
      <c r="H85" s="991"/>
      <c r="I85" s="309"/>
      <c r="J85" s="1911"/>
      <c r="K85" s="3490"/>
      <c r="L85" s="2768" t="s">
        <v>2852</v>
      </c>
      <c r="M85" s="2758" t="e">
        <f>IF(N69&gt;1000,N69*0.1%,IF(AND(N69&gt;500,N69&lt;=1000),N69*0.5%,IF(AND(N69&gt;50,N69&lt;=500),N69*1%,IF(AND(N69&gt;1,N69&lt;=50),N69*1.5%))))</f>
        <v>#VALUE!</v>
      </c>
      <c r="N85" s="53" t="e">
        <f t="shared" si="2"/>
        <v>#VALUE!</v>
      </c>
      <c r="O85" s="1911" t="s">
        <v>2851</v>
      </c>
      <c r="P85" s="1911"/>
      <c r="Q85" s="1911"/>
      <c r="R85" s="1911"/>
      <c r="S85" s="1911"/>
      <c r="T85" s="1911"/>
      <c r="U85" s="1911"/>
      <c r="V85" s="1911"/>
    </row>
    <row r="86" spans="1:26" ht="13.5" thickBot="1">
      <c r="A86" s="380" t="s">
        <v>1814</v>
      </c>
      <c r="B86" s="381" t="s">
        <v>429</v>
      </c>
      <c r="C86" s="382">
        <f ca="1">IF(C85&lt;=0,0,ROUND(C85*D86,0))</f>
        <v>3729</v>
      </c>
      <c r="D86" s="383">
        <f>'数据-取费表'!B41</f>
        <v>5.5000000000000007E-2</v>
      </c>
      <c r="E86" s="384"/>
      <c r="F86" s="42"/>
      <c r="G86" s="42"/>
      <c r="H86" s="991"/>
      <c r="I86" s="309"/>
      <c r="J86" s="1911"/>
      <c r="K86" s="3490"/>
      <c r="L86" s="2768" t="s">
        <v>2853</v>
      </c>
      <c r="M86" s="2758" t="e">
        <f>N69*0.5%</f>
        <v>#VALUE!</v>
      </c>
      <c r="N86" s="53" t="e">
        <f>IF(M86&gt;0.5,0.5,ROUND(M86,0))</f>
        <v>#VALUE!</v>
      </c>
      <c r="O86" s="1911" t="s">
        <v>2854</v>
      </c>
      <c r="P86" s="1911"/>
      <c r="Q86" s="1911"/>
      <c r="R86" s="1911"/>
      <c r="S86" s="1911"/>
      <c r="T86" s="1911"/>
      <c r="U86" s="1911"/>
      <c r="V86" s="1911"/>
    </row>
    <row r="87" spans="1:26" s="1207" customFormat="1" ht="14.25" customHeight="1">
      <c r="A87" s="1262"/>
      <c r="B87" s="1263"/>
      <c r="C87" s="1264"/>
      <c r="D87" s="1265"/>
      <c r="E87" s="1266"/>
      <c r="F87" s="42"/>
      <c r="G87" s="42"/>
      <c r="H87" s="991"/>
      <c r="I87" s="309"/>
      <c r="J87" s="1911"/>
      <c r="K87" s="3490"/>
      <c r="L87" s="2768" t="s">
        <v>2855</v>
      </c>
      <c r="M87" s="275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1"/>
      <c r="P87" s="1911"/>
      <c r="Q87" s="1911"/>
      <c r="R87" s="1911"/>
      <c r="S87" s="1911"/>
      <c r="T87" s="1911"/>
      <c r="U87" s="1911"/>
      <c r="V87" s="1911"/>
      <c r="W87" s="290"/>
      <c r="X87" s="290"/>
      <c r="Y87" s="290"/>
      <c r="Z87" s="290"/>
    </row>
    <row r="88" spans="1:26" s="1267" customFormat="1" ht="15" thickBot="1">
      <c r="A88" s="3529" t="s">
        <v>430</v>
      </c>
      <c r="B88" s="3530"/>
      <c r="C88" s="3530"/>
      <c r="D88" s="3530"/>
      <c r="E88" s="3530"/>
      <c r="F88" s="3530"/>
      <c r="G88" s="3530"/>
      <c r="H88" s="3530"/>
      <c r="I88" s="1268"/>
      <c r="J88" s="1919"/>
      <c r="K88" s="3490"/>
      <c r="L88" s="2768" t="s">
        <v>2856</v>
      </c>
      <c r="M88" s="2758" t="e">
        <f>IF(N69&gt;10000,N69*0.5%,IF(AND(N69&gt;5000,N69&lt;=10000),N69*1%,IF(AND(N69&gt;1000,N69&lt;=5000),N69*2%,IF(AND(N69&gt;200,N69&lt;=1000),N69*3%,N69*5%))))</f>
        <v>#VALUE!</v>
      </c>
      <c r="N88" s="53" t="e">
        <f>ROUND(M88,1)</f>
        <v>#VALUE!</v>
      </c>
      <c r="O88" s="2761"/>
      <c r="P88" s="1916"/>
      <c r="Q88" s="1916"/>
      <c r="R88" s="1916"/>
      <c r="S88" s="1916"/>
      <c r="T88" s="1916"/>
      <c r="U88" s="1916"/>
      <c r="V88" s="1916"/>
      <c r="W88" s="1920"/>
      <c r="X88" s="1920"/>
      <c r="Y88" s="1920"/>
      <c r="Z88" s="1920"/>
    </row>
    <row r="89" spans="1:26" s="1267" customFormat="1" ht="14.25">
      <c r="A89" s="3488" t="s">
        <v>421</v>
      </c>
      <c r="B89" s="3489"/>
      <c r="C89" s="982"/>
      <c r="D89" s="982" t="s">
        <v>422</v>
      </c>
      <c r="E89" s="385" t="s">
        <v>431</v>
      </c>
      <c r="F89" s="386"/>
      <c r="G89" s="386"/>
      <c r="H89" s="387"/>
      <c r="I89" s="1269"/>
      <c r="J89" s="1921"/>
      <c r="K89" s="3490"/>
      <c r="L89" s="2768" t="s">
        <v>27</v>
      </c>
      <c r="M89" s="2759"/>
      <c r="N89" s="53" t="e">
        <f>ROUND(SUM(N83:N88),0)</f>
        <v>#VALUE!</v>
      </c>
      <c r="O89" s="2769" t="e">
        <f>N89/N69</f>
        <v>#VALUE!</v>
      </c>
      <c r="P89" s="1916"/>
      <c r="Q89" s="1916"/>
      <c r="R89" s="1916"/>
      <c r="S89" s="1916"/>
      <c r="T89" s="1916"/>
      <c r="U89" s="1916"/>
      <c r="V89" s="1916"/>
      <c r="W89" s="1920"/>
      <c r="X89" s="1920"/>
      <c r="Y89" s="1920"/>
      <c r="Z89" s="1920"/>
    </row>
    <row r="90" spans="1:26" s="1267" customFormat="1" ht="14.25">
      <c r="A90" s="375" t="s">
        <v>1809</v>
      </c>
      <c r="B90" s="376" t="s">
        <v>432</v>
      </c>
      <c r="C90" s="379">
        <f ca="1">ROUND(D63/(1+'数据-取费表'!C42),0)</f>
        <v>67802</v>
      </c>
      <c r="D90" s="372" t="s">
        <v>19</v>
      </c>
      <c r="E90" s="979"/>
      <c r="F90" s="978"/>
      <c r="G90" s="978"/>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1815</v>
      </c>
      <c r="B91" s="346" t="s">
        <v>433</v>
      </c>
      <c r="C91" s="379">
        <f ca="1">C92+C96</f>
        <v>339</v>
      </c>
      <c r="D91" s="372" t="s">
        <v>19</v>
      </c>
      <c r="E91" s="979"/>
      <c r="F91" s="978"/>
      <c r="G91" s="978"/>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1816</v>
      </c>
      <c r="B92" s="370" t="s">
        <v>434</v>
      </c>
      <c r="C92" s="372">
        <f>ROUND(IF(G95="2016年5月1日后购买",C93/(1+'数据-取费表'!C30)+C94+C95,C93+C94+C95),0)</f>
        <v>0</v>
      </c>
      <c r="D92" s="372" t="s">
        <v>19</v>
      </c>
      <c r="E92" s="979"/>
      <c r="F92" s="978"/>
      <c r="G92" s="978"/>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1817</v>
      </c>
      <c r="B93" s="370" t="s">
        <v>435</v>
      </c>
      <c r="C93" s="390"/>
      <c r="D93" s="372" t="s">
        <v>19</v>
      </c>
      <c r="E93" s="391" t="s">
        <v>436</v>
      </c>
      <c r="F93" s="392"/>
      <c r="G93" s="391" t="s">
        <v>437</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1818</v>
      </c>
      <c r="B94" s="394" t="s">
        <v>438</v>
      </c>
      <c r="C94" s="372">
        <f>IF(F93="购房发票",ROUND(C93*H93*5%,0),0)</f>
        <v>0</v>
      </c>
      <c r="D94" s="395">
        <v>0.05</v>
      </c>
      <c r="E94" s="3526" t="s">
        <v>439</v>
      </c>
      <c r="F94" s="3527"/>
      <c r="G94" s="3527"/>
      <c r="H94" s="3528"/>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1819</v>
      </c>
      <c r="B95" s="370" t="s">
        <v>440</v>
      </c>
      <c r="C95" s="372">
        <f>ROUND(IF(G95="个人买卖住房",0,IF(G95="2016年5月1日前购买",C93*D95,C93*D95/(1+'数据-取费表'!C42))),0)</f>
        <v>0</v>
      </c>
      <c r="D95" s="396">
        <f>'数据-取费表'!B48+'数据-取费表'!B49</f>
        <v>3.0499999999999999E-2</v>
      </c>
      <c r="E95" s="26" t="s">
        <v>441</v>
      </c>
      <c r="F95" s="397"/>
      <c r="G95" s="398"/>
      <c r="H95" s="987"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1820</v>
      </c>
      <c r="B96" s="370" t="s">
        <v>442</v>
      </c>
      <c r="C96" s="399">
        <f ca="1">ROUND(D63*D96/(1+'数据-取费表'!C42),0)</f>
        <v>339</v>
      </c>
      <c r="D96" s="400">
        <f>'数据-取费表'!B43</f>
        <v>5.000000000000001E-3</v>
      </c>
      <c r="E96" s="3485" t="s">
        <v>2408</v>
      </c>
      <c r="F96" s="3486"/>
      <c r="G96" s="3486"/>
      <c r="H96" s="3487"/>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1821</v>
      </c>
      <c r="B97" s="376" t="s">
        <v>443</v>
      </c>
      <c r="C97" s="379">
        <f ca="1">C90-C91</f>
        <v>67463</v>
      </c>
      <c r="D97" s="372" t="s">
        <v>19</v>
      </c>
      <c r="E97" s="979"/>
      <c r="F97" s="978"/>
      <c r="G97" s="978"/>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1822</v>
      </c>
      <c r="B98" s="376" t="s">
        <v>444</v>
      </c>
      <c r="C98" s="401">
        <f ca="1">IF(C97&lt;=0,0,C97/C91)</f>
        <v>199.00589970501474</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1823</v>
      </c>
      <c r="B99" s="381" t="s">
        <v>445</v>
      </c>
      <c r="C99" s="402">
        <f ca="1">ROUND(IF(C97&lt;=0,0,IF(C98&gt;=200%,C97*60%-C91*35%,IF(C98&gt;=100%,C97*50%-C91*15%,IF(C98&gt;=50%,C97*40%-C91*5%,IF(C98&lt;50%,C97*30%,0))))),0)</f>
        <v>40359</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529" t="s">
        <v>446</v>
      </c>
      <c r="B101" s="3530"/>
      <c r="C101" s="3530"/>
      <c r="D101" s="3530"/>
      <c r="E101" s="3530"/>
      <c r="F101" s="3530"/>
      <c r="G101" s="3530"/>
      <c r="H101" s="3530"/>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88" t="s">
        <v>421</v>
      </c>
      <c r="B102" s="3489"/>
      <c r="C102" s="982"/>
      <c r="D102" s="982" t="s">
        <v>422</v>
      </c>
      <c r="E102" s="385" t="s">
        <v>431</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1809</v>
      </c>
      <c r="B103" s="376" t="s">
        <v>432</v>
      </c>
      <c r="C103" s="379">
        <f ca="1">ROUND(D63/(1+'数据-取费表'!C42),0)</f>
        <v>67802</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1815</v>
      </c>
      <c r="B104" s="346" t="s">
        <v>433</v>
      </c>
      <c r="C104" s="379">
        <f ca="1">IF(H106="仅含出让金",C105+C108+C109+C110+C111+C112,C105+C109+C110+C111+C112)</f>
        <v>339</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1816</v>
      </c>
      <c r="B105" s="370" t="s">
        <v>447</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1817</v>
      </c>
      <c r="B106" s="370" t="s">
        <v>448</v>
      </c>
      <c r="C106" s="410"/>
      <c r="D106" s="400"/>
      <c r="E106" s="411" t="s">
        <v>449</v>
      </c>
      <c r="F106" s="974"/>
      <c r="G106" s="412" t="s">
        <v>450</v>
      </c>
      <c r="H106" s="413"/>
      <c r="I106" s="11"/>
      <c r="J106" s="1916"/>
      <c r="K106" s="3240" t="s">
        <v>2980</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1818</v>
      </c>
      <c r="B107" s="370" t="s">
        <v>440</v>
      </c>
      <c r="C107" s="399">
        <f>ROUND(C106*D107,0)</f>
        <v>0</v>
      </c>
      <c r="D107" s="400">
        <f>'数据-取费表'!B48+'数据-取费表'!B49</f>
        <v>3.0499999999999999E-2</v>
      </c>
      <c r="E107" s="411" t="s">
        <v>451</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1820</v>
      </c>
      <c r="B108" s="370" t="s">
        <v>452</v>
      </c>
      <c r="C108" s="410"/>
      <c r="D108" s="400"/>
      <c r="E108" s="411" t="str">
        <f>IF(H106="-","土地取得成本中已包含该笔费用"," ")</f>
        <v xml:space="preserve"> </v>
      </c>
      <c r="F108" s="974"/>
      <c r="G108" s="3541" t="s">
        <v>2951</v>
      </c>
      <c r="H108" s="3542"/>
      <c r="I108" s="2858"/>
      <c r="J108" s="1916"/>
      <c r="K108" s="3240" t="s">
        <v>2981</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1824</v>
      </c>
      <c r="B109" s="370" t="s">
        <v>453</v>
      </c>
      <c r="C109" s="399">
        <f>IF(H109="——",IF(F1="现房",'剩余法-现房'!C18,0),I109)</f>
        <v>0</v>
      </c>
      <c r="D109" s="400"/>
      <c r="E109" s="3519" t="s">
        <v>454</v>
      </c>
      <c r="F109" s="3486"/>
      <c r="G109" s="3486"/>
      <c r="H109" s="1855" t="s">
        <v>941</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1825</v>
      </c>
      <c r="B110" s="370" t="s">
        <v>455</v>
      </c>
      <c r="C110" s="399">
        <f>ROUND((C105+C108+C109)*D110,0)</f>
        <v>0</v>
      </c>
      <c r="D110" s="3271">
        <v>0</v>
      </c>
      <c r="E110" s="3519" t="s">
        <v>456</v>
      </c>
      <c r="F110" s="3486"/>
      <c r="G110" s="3486"/>
      <c r="H110" s="3487"/>
      <c r="I110" s="11"/>
      <c r="J110" s="1916"/>
      <c r="K110" s="3241" t="s">
        <v>2982</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1826</v>
      </c>
      <c r="B111" s="370" t="s">
        <v>442</v>
      </c>
      <c r="C111" s="399">
        <f ca="1">ROUND(D63*D111/(1+'数据-取费表'!C42),0)</f>
        <v>339</v>
      </c>
      <c r="D111" s="400">
        <f>'数据-取费表'!B43</f>
        <v>5.000000000000001E-3</v>
      </c>
      <c r="E111" s="3485" t="s">
        <v>2408</v>
      </c>
      <c r="F111" s="3486"/>
      <c r="G111" s="3486"/>
      <c r="H111" s="3487"/>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1827</v>
      </c>
      <c r="B112" s="370" t="s">
        <v>457</v>
      </c>
      <c r="C112" s="399">
        <f>ROUND(C108*D112,0)</f>
        <v>0</v>
      </c>
      <c r="D112" s="400">
        <v>0.2</v>
      </c>
      <c r="E112" s="3519" t="s">
        <v>2431</v>
      </c>
      <c r="F112" s="3486"/>
      <c r="G112" s="3486"/>
      <c r="H112" s="3487"/>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1821</v>
      </c>
      <c r="B113" s="376" t="s">
        <v>443</v>
      </c>
      <c r="C113" s="379">
        <f ca="1">ROUND(C103-C104,0)</f>
        <v>67463</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1822</v>
      </c>
      <c r="B114" s="376" t="s">
        <v>444</v>
      </c>
      <c r="C114" s="401">
        <f ca="1">IF(C113&lt;=0,0,C113/C104)</f>
        <v>199.00589970501474</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1823</v>
      </c>
      <c r="B115" s="381" t="s">
        <v>445</v>
      </c>
      <c r="C115" s="402">
        <f ca="1">ROUND(IF(C113&lt;=0,0,IF(C114&gt;=200%,C113*60%-C104*35%,IF(C114&gt;=100%,C113*50%-C104*15%,IF(C114&gt;=50%,C113*40%-C104*5%,IF(C114&lt;50%,C113*30%,0))))),0)</f>
        <v>40359</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108">
    <cfRule type="expression" dxfId="183" priority="3" stopIfTrue="1">
      <formula>$H$106&lt;&gt;"仅含出让金"</formula>
    </cfRule>
  </conditionalFormatting>
  <conditionalFormatting sqref="C109">
    <cfRule type="expression" dxfId="182" priority="2" stopIfTrue="1">
      <formula>$H$109="由企业提供"</formula>
    </cfRule>
  </conditionalFormatting>
  <conditionalFormatting sqref="I33">
    <cfRule type="expression" dxfId="181"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"100%,80%,60%,64%"</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1887</v>
      </c>
      <c r="B36" s="1582" t="s">
        <v>1888</v>
      </c>
    </row>
    <row r="37" spans="1:9" ht="28.5" customHeight="1">
      <c r="A37" s="1582"/>
      <c r="B37" s="3382" t="str">
        <f>项目基本情况!B1</f>
        <v>北京市出让国有建设用地使用权市场价格预评估</v>
      </c>
      <c r="C37" s="3382"/>
      <c r="D37" s="3382"/>
      <c r="E37" s="3382"/>
      <c r="F37" s="3382"/>
      <c r="G37" s="3382"/>
      <c r="H37" s="3382"/>
      <c r="I37" s="3382"/>
    </row>
    <row r="38" spans="1:9">
      <c r="A38" s="1584"/>
      <c r="B38" s="1584"/>
    </row>
    <row r="39" spans="1:9">
      <c r="A39" s="1582" t="s">
        <v>1887</v>
      </c>
      <c r="B39" s="1582" t="s">
        <v>2030</v>
      </c>
    </row>
    <row r="40" spans="1:9">
      <c r="A40" s="1582"/>
      <c r="B40" s="1582">
        <f>项目基本情况!B5</f>
        <v>0</v>
      </c>
    </row>
    <row r="41" spans="1:9">
      <c r="A41" s="1582"/>
      <c r="B41" s="1582"/>
    </row>
    <row r="42" spans="1:9">
      <c r="A42" s="1582" t="s">
        <v>1887</v>
      </c>
      <c r="B42" s="1582" t="s">
        <v>2031</v>
      </c>
    </row>
    <row r="43" spans="1:9">
      <c r="A43" s="1582"/>
      <c r="B43" s="1582" t="s">
        <v>1889</v>
      </c>
    </row>
    <row r="44" spans="1:9">
      <c r="A44" s="1582"/>
      <c r="B44" s="1582"/>
    </row>
    <row r="45" spans="1:9">
      <c r="A45" s="1582" t="s">
        <v>1887</v>
      </c>
      <c r="B45" s="1582" t="s">
        <v>2029</v>
      </c>
    </row>
    <row r="46" spans="1:9" s="1582" customFormat="1" ht="12.75">
      <c r="B46" s="1582" t="str">
        <f>项目基本情况!K4</f>
        <v>陈颖、崔锴</v>
      </c>
    </row>
    <row r="47" spans="1:9">
      <c r="A47" s="1582"/>
      <c r="B47" s="1582"/>
    </row>
    <row r="48" spans="1:9">
      <c r="A48" s="1582" t="s">
        <v>1887</v>
      </c>
      <c r="B48" s="1582" t="s">
        <v>2032</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458</v>
      </c>
      <c r="B1" s="2526"/>
      <c r="C1" s="1986"/>
      <c r="D1" s="1986"/>
      <c r="E1" s="1986"/>
      <c r="F1" s="1986"/>
      <c r="G1" s="1986"/>
      <c r="H1" s="1986"/>
      <c r="I1" s="1986"/>
      <c r="J1" s="1986"/>
      <c r="K1" s="416">
        <f>MATCH(B1,'数据-取费表'!A6:A16,0)+5</f>
        <v>8</v>
      </c>
      <c r="L1" s="290"/>
      <c r="M1" s="290"/>
      <c r="N1" s="290"/>
      <c r="O1" s="290"/>
      <c r="P1" s="290"/>
      <c r="Q1" s="290"/>
      <c r="R1" s="290"/>
      <c r="S1" s="290"/>
      <c r="T1" s="290"/>
      <c r="U1" s="290"/>
      <c r="V1" s="290"/>
      <c r="W1" s="290"/>
      <c r="X1" s="290"/>
      <c r="Y1" s="290"/>
      <c r="Z1" s="290"/>
    </row>
    <row r="2" spans="1:41" s="1924" customFormat="1" ht="18" customHeight="1">
      <c r="A2" s="417" t="s">
        <v>459</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0" t="s">
        <v>1670</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460</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461</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2627</v>
      </c>
      <c r="B6" s="427"/>
      <c r="C6" s="1551">
        <f>SUM(C10:K10)</f>
        <v>0</v>
      </c>
      <c r="D6" s="1991"/>
      <c r="E6" s="1991"/>
      <c r="F6" s="1991"/>
      <c r="G6" s="1991"/>
      <c r="H6" s="1991"/>
      <c r="I6" s="1991"/>
      <c r="J6" s="1991"/>
      <c r="K6" s="1992"/>
      <c r="L6" s="3193"/>
      <c r="M6" s="3193"/>
      <c r="N6" s="3193"/>
      <c r="O6" s="3193"/>
      <c r="P6" s="3193"/>
      <c r="Q6" s="3193"/>
      <c r="R6" s="3193"/>
      <c r="S6" s="3193"/>
      <c r="T6" s="3193"/>
      <c r="U6" s="3193"/>
      <c r="V6" s="3193"/>
      <c r="W6" s="3193"/>
      <c r="X6" s="3193"/>
      <c r="Y6" s="3193"/>
      <c r="Z6" s="3193"/>
    </row>
    <row r="7" spans="1:41" s="1995" customFormat="1" ht="15">
      <c r="A7" s="428" t="s">
        <v>462</v>
      </c>
      <c r="B7" s="429" t="s">
        <v>463</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59" t="s">
        <v>1831</v>
      </c>
      <c r="B8" s="432" t="s">
        <v>464</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59" t="s">
        <v>1832</v>
      </c>
      <c r="B9" s="432" t="s">
        <v>465</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1833</v>
      </c>
      <c r="B10" s="1552" t="s">
        <v>466</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1850</v>
      </c>
      <c r="B11" s="1549"/>
      <c r="C11" s="1549"/>
      <c r="D11" s="1549"/>
      <c r="E11" s="1549"/>
      <c r="F11" s="1549"/>
      <c r="G11" s="1549"/>
      <c r="H11" s="1549"/>
      <c r="I11" s="1549"/>
      <c r="J11" s="1549"/>
      <c r="K11" s="1550"/>
      <c r="L11" s="3193"/>
      <c r="M11" s="3193"/>
      <c r="N11" s="3193"/>
      <c r="O11" s="3193"/>
      <c r="P11" s="3193"/>
      <c r="Q11" s="3193"/>
      <c r="R11" s="3193"/>
      <c r="S11" s="3193"/>
      <c r="T11" s="3193"/>
      <c r="U11" s="3193"/>
      <c r="V11" s="3193"/>
      <c r="W11" s="3193"/>
      <c r="X11" s="3193"/>
      <c r="Y11" s="3193"/>
      <c r="Z11" s="3193"/>
    </row>
    <row r="12" spans="1:41" s="1967" customFormat="1" ht="13.5" customHeight="1">
      <c r="A12" s="428" t="s">
        <v>462</v>
      </c>
      <c r="B12" s="438" t="s">
        <v>463</v>
      </c>
      <c r="C12" s="439" t="s">
        <v>467</v>
      </c>
      <c r="D12" s="440" t="s">
        <v>468</v>
      </c>
      <c r="E12" s="440" t="s">
        <v>469</v>
      </c>
      <c r="F12" s="440" t="s">
        <v>470</v>
      </c>
      <c r="G12" s="438"/>
      <c r="H12" s="441"/>
      <c r="I12" s="441"/>
      <c r="J12" s="441"/>
      <c r="K12" s="442"/>
      <c r="L12" s="3194"/>
      <c r="M12" s="3194"/>
      <c r="N12" s="3194"/>
      <c r="O12" s="3194"/>
      <c r="P12" s="3194"/>
      <c r="Q12" s="3194"/>
      <c r="R12" s="3194"/>
      <c r="S12" s="3194"/>
      <c r="T12" s="3194"/>
      <c r="U12" s="3194"/>
      <c r="V12" s="3194"/>
      <c r="W12" s="3194"/>
      <c r="X12" s="3194"/>
      <c r="Y12" s="3194"/>
      <c r="Z12" s="3194"/>
    </row>
    <row r="13" spans="1:41" s="1998" customFormat="1" ht="13.5" customHeight="1">
      <c r="A13" s="1561" t="s">
        <v>1834</v>
      </c>
      <c r="B13" s="443" t="s">
        <v>471</v>
      </c>
      <c r="C13" s="444">
        <f ca="1">IF(B1="",'数据-取费表'!M16,INDIRECT("'数据-取费表'!M"&amp;$K$1)+INDIRECT("'数据-取费表'!t"&amp;$K$1))</f>
        <v>61222</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1" t="s">
        <v>1835</v>
      </c>
      <c r="B14" s="443" t="s">
        <v>472</v>
      </c>
      <c r="C14" s="53">
        <f ca="1">ROUND(C13*F14,0)</f>
        <v>1837</v>
      </c>
      <c r="D14" s="445"/>
      <c r="E14" s="363"/>
      <c r="F14" s="447">
        <f>'数据-取费表'!B33</f>
        <v>0.03</v>
      </c>
      <c r="G14" s="438" t="s">
        <v>494</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1" t="s">
        <v>1836</v>
      </c>
      <c r="B15" s="443" t="s">
        <v>474</v>
      </c>
      <c r="C15" s="53">
        <f ca="1">ROUND(IF(B1="",SUMIF('数据-取费表'!C:C,"住宅",'数据-取费表'!M:M)*F15,IF(INDIRECT("'数据-取费表'!c"&amp;$K$1)="住宅",INDIRECT("'数据-取费表'!M"&amp;$K$1)*F15,0)),0)</f>
        <v>0</v>
      </c>
      <c r="D15" s="445"/>
      <c r="E15" s="363"/>
      <c r="F15" s="447">
        <f>'数据-取费表'!B34</f>
        <v>0</v>
      </c>
      <c r="G15" s="438" t="s">
        <v>494</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1" t="s">
        <v>1837</v>
      </c>
      <c r="B16" s="443" t="s">
        <v>476</v>
      </c>
      <c r="C16" s="53">
        <f ca="1">ROUND(D16*E16/10000,0)</f>
        <v>4271</v>
      </c>
      <c r="D16" s="445">
        <f ca="1">IF(B1="",'数据-汇总表'!E3,INDIRECT("'数据-取费表'!K"&amp;$K$1)+INDIRECT("'数据-取费表'!S"&amp;$K$1))</f>
        <v>142378.302</v>
      </c>
      <c r="E16" s="53">
        <f>'数据-取费表'!B35</f>
        <v>300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1838</v>
      </c>
      <c r="B17" s="443" t="s">
        <v>477</v>
      </c>
      <c r="C17" s="448">
        <f ca="1">ROUND(C13*F17,0)</f>
        <v>918</v>
      </c>
      <c r="D17" s="449"/>
      <c r="E17" s="448"/>
      <c r="F17" s="450">
        <f>'数据-取费表'!B36</f>
        <v>1.4999999999999999E-2</v>
      </c>
      <c r="G17" s="438" t="s">
        <v>494</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2" t="s">
        <v>1839</v>
      </c>
      <c r="B18" s="453" t="s">
        <v>479</v>
      </c>
      <c r="C18" s="454">
        <f ca="1">SUM(C13:C17)</f>
        <v>68248</v>
      </c>
      <c r="D18" s="455"/>
      <c r="E18" s="456"/>
      <c r="F18" s="456"/>
      <c r="G18" s="1280" t="s">
        <v>2411</v>
      </c>
      <c r="H18" s="441"/>
      <c r="I18" s="441"/>
      <c r="J18" s="441"/>
      <c r="K18" s="442"/>
      <c r="L18" s="3196"/>
      <c r="M18" s="3196"/>
      <c r="N18" s="3196"/>
      <c r="O18" s="3196"/>
      <c r="P18" s="3196"/>
      <c r="Q18" s="3196"/>
      <c r="R18" s="3196"/>
      <c r="S18" s="3196"/>
      <c r="T18" s="3196"/>
      <c r="U18" s="3196"/>
      <c r="V18" s="3196"/>
      <c r="W18" s="3196"/>
      <c r="X18" s="3196"/>
      <c r="Y18" s="3196"/>
      <c r="Z18" s="3196"/>
    </row>
    <row r="19" spans="1:26" s="2001" customFormat="1" ht="13.5" customHeight="1">
      <c r="A19" s="1562" t="s">
        <v>1840</v>
      </c>
      <c r="B19" s="453" t="s">
        <v>485</v>
      </c>
      <c r="C19" s="454">
        <f ca="1">ROUND(C18*F19,0)</f>
        <v>682</v>
      </c>
      <c r="D19" s="456"/>
      <c r="E19" s="456"/>
      <c r="F19" s="460">
        <f>'数据-取费表'!B37</f>
        <v>0.01</v>
      </c>
      <c r="G19" s="438" t="s">
        <v>495</v>
      </c>
      <c r="H19" s="441"/>
      <c r="I19" s="441"/>
      <c r="J19" s="441"/>
      <c r="K19" s="442"/>
      <c r="L19" s="3198"/>
      <c r="M19" s="3198"/>
      <c r="N19" s="3198"/>
      <c r="O19" s="3196"/>
      <c r="P19" s="3196"/>
      <c r="Q19" s="3196"/>
      <c r="R19" s="3196"/>
      <c r="S19" s="3196"/>
      <c r="T19" s="3196"/>
      <c r="U19" s="3196"/>
      <c r="V19" s="3196"/>
      <c r="W19" s="3196"/>
      <c r="X19" s="3196"/>
      <c r="Y19" s="3196"/>
      <c r="Z19" s="3196"/>
    </row>
    <row r="20" spans="1:26" s="2001" customFormat="1" ht="13.5" customHeight="1">
      <c r="A20" s="1562" t="s">
        <v>1841</v>
      </c>
      <c r="B20" s="453" t="s">
        <v>496</v>
      </c>
      <c r="C20" s="2742">
        <f>F20</f>
        <v>0.02</v>
      </c>
      <c r="D20" s="463" t="s">
        <v>497</v>
      </c>
      <c r="E20" s="463"/>
      <c r="F20" s="480">
        <f>'数据-取费表'!B38</f>
        <v>0.02</v>
      </c>
      <c r="G20" s="1280" t="s">
        <v>498</v>
      </c>
      <c r="H20" s="441"/>
      <c r="I20" s="441"/>
      <c r="J20" s="441"/>
      <c r="K20" s="442"/>
      <c r="L20" s="3198"/>
      <c r="M20" s="3198"/>
      <c r="N20" s="3198"/>
      <c r="O20" s="3196"/>
      <c r="P20" s="3196"/>
      <c r="Q20" s="3196"/>
      <c r="R20" s="3196"/>
      <c r="S20" s="3196"/>
      <c r="T20" s="3196"/>
      <c r="U20" s="3196"/>
      <c r="V20" s="3196"/>
      <c r="W20" s="3196"/>
      <c r="X20" s="3196"/>
      <c r="Y20" s="3196"/>
      <c r="Z20" s="3196"/>
    </row>
    <row r="21" spans="1:26" s="2003" customFormat="1" ht="13.5" customHeight="1">
      <c r="A21" s="1562" t="s">
        <v>1844</v>
      </c>
      <c r="B21" s="455" t="s">
        <v>486</v>
      </c>
      <c r="C21" s="464">
        <f ca="1">C22</f>
        <v>3274</v>
      </c>
      <c r="D21" s="461">
        <f ca="1">C23</f>
        <v>1E-3</v>
      </c>
      <c r="E21" s="463" t="s">
        <v>499</v>
      </c>
      <c r="F21" s="465">
        <f ca="1">'数据-取费表'!B40</f>
        <v>4.7500000000000001E-2</v>
      </c>
      <c r="G21" s="1280" t="str">
        <f>IF('数据-取费表'!B22&lt;=1,"单利计息。","复利计息。")&amp;"建造成本、管理费用及销售费用产生的利息。"</f>
        <v>复利计息。建造成本、管理费用及销售费用产生的利息。</v>
      </c>
      <c r="H21" s="441"/>
      <c r="I21" s="441"/>
      <c r="J21" s="441"/>
      <c r="K21" s="442"/>
      <c r="L21" s="3204" t="s">
        <v>2432</v>
      </c>
      <c r="M21" s="3205"/>
      <c r="N21" s="3205"/>
      <c r="O21" s="3205"/>
      <c r="P21" s="3205"/>
      <c r="Q21" s="3198"/>
      <c r="R21" s="3198"/>
      <c r="S21" s="3198"/>
      <c r="T21" s="3198"/>
      <c r="U21" s="3198"/>
      <c r="V21" s="3198"/>
      <c r="W21" s="3198"/>
      <c r="X21" s="3198"/>
      <c r="Y21" s="3198"/>
      <c r="Z21" s="3198"/>
    </row>
    <row r="22" spans="1:26" s="2002" customFormat="1" ht="13.5" customHeight="1">
      <c r="A22" s="1561" t="s">
        <v>1834</v>
      </c>
      <c r="B22" s="1281" t="s">
        <v>2414</v>
      </c>
      <c r="C22" s="481">
        <f ca="1">ROUND(IF('数据-取费表'!B22&lt;=1,(C18+C19)*F21*'数据-取费表'!B20/2,(C18+C19)*(POWER((1+F21),'数据-取费表'!B20/2)-1)),0)</f>
        <v>3274</v>
      </c>
      <c r="D22" s="466"/>
      <c r="E22" s="467"/>
      <c r="F22" s="468"/>
      <c r="G22" s="2420" t="str">
        <f>IF('数据-取费表'!B22&lt;=1,"((1)+(2))×年利率×建设期÷2","((1)+(2))×((1+年利率)^(建设期÷2)-1)")</f>
        <v>((1)+(2))×((1+年利率)^(建设期÷2)-1)</v>
      </c>
      <c r="H22" s="451"/>
      <c r="I22" s="451"/>
      <c r="J22" s="451"/>
      <c r="K22" s="452"/>
      <c r="L22" s="3197"/>
      <c r="M22" s="3197"/>
      <c r="N22" s="3197"/>
      <c r="O22" s="3197"/>
      <c r="P22" s="3197"/>
      <c r="Q22" s="3197"/>
      <c r="R22" s="3197"/>
      <c r="S22" s="3197"/>
      <c r="T22" s="3197"/>
      <c r="U22" s="3197"/>
      <c r="V22" s="3197"/>
      <c r="W22" s="3197"/>
      <c r="X22" s="3197"/>
      <c r="Y22" s="3197"/>
      <c r="Z22" s="3197"/>
    </row>
    <row r="23" spans="1:26" s="2002" customFormat="1" ht="13.5" customHeight="1">
      <c r="A23" s="1561" t="s">
        <v>1835</v>
      </c>
      <c r="B23" s="1281" t="s">
        <v>500</v>
      </c>
      <c r="C23" s="482">
        <f ca="1">ROUND(IF('数据-取费表'!B22&lt;=1,F20*F21*'数据-取费表'!B20/2,F20*(POWER((1+F21),'数据-取费表'!B20/2)-1)),4)</f>
        <v>1E-3</v>
      </c>
      <c r="D23" s="466"/>
      <c r="E23" s="467"/>
      <c r="F23" s="468"/>
      <c r="G23" s="2420" t="str">
        <f>IF('数据-取费表'!B22&lt;=1,"销售费用率×年利率×建设期÷2","销售费用率×((1+年利率)^(建设期÷2)-1)")</f>
        <v>销售费用率×((1+年利率)^(建设期÷2)-1)</v>
      </c>
      <c r="H23" s="451"/>
      <c r="I23" s="451"/>
      <c r="J23" s="451"/>
      <c r="K23" s="452"/>
      <c r="L23" s="3197"/>
      <c r="M23" s="3197"/>
      <c r="N23" s="3197"/>
      <c r="O23" s="3197"/>
      <c r="P23" s="3197"/>
      <c r="Q23" s="3197"/>
      <c r="R23" s="3197"/>
      <c r="S23" s="3197"/>
      <c r="T23" s="3197"/>
      <c r="U23" s="3197"/>
      <c r="V23" s="3197"/>
      <c r="W23" s="3197"/>
      <c r="X23" s="3197"/>
      <c r="Y23" s="3197"/>
      <c r="Z23" s="3197"/>
    </row>
    <row r="24" spans="1:26" s="2002" customFormat="1" ht="13.5" customHeight="1">
      <c r="A24" s="1562" t="s">
        <v>1845</v>
      </c>
      <c r="B24" s="2744" t="s">
        <v>2806</v>
      </c>
      <c r="C24" s="472">
        <f ca="1">C25</f>
        <v>19300</v>
      </c>
      <c r="D24" s="483">
        <f ca="1">C26</f>
        <v>5.5999999999999999E-3</v>
      </c>
      <c r="E24" s="463" t="s">
        <v>499</v>
      </c>
      <c r="F24" s="473">
        <f ca="1">IF(B1="",'数据-取费表'!Q16,INDIRECT("'数据-取费表'!q"&amp;$K$1))</f>
        <v>0.28000000000000003</v>
      </c>
      <c r="G24" s="438"/>
      <c r="H24" s="441"/>
      <c r="I24" s="441"/>
      <c r="J24" s="441"/>
      <c r="K24" s="442"/>
      <c r="L24" s="3197"/>
      <c r="M24" s="3197"/>
      <c r="N24" s="3197"/>
      <c r="O24" s="3197"/>
      <c r="P24" s="3197"/>
      <c r="Q24" s="3197"/>
      <c r="R24" s="3197"/>
      <c r="S24" s="3197"/>
      <c r="T24" s="3197"/>
      <c r="U24" s="3197"/>
      <c r="V24" s="3197"/>
      <c r="W24" s="3197"/>
      <c r="X24" s="3197"/>
      <c r="Y24" s="3197"/>
      <c r="Z24" s="3197"/>
    </row>
    <row r="25" spans="1:26" s="2002" customFormat="1" ht="13.5" customHeight="1">
      <c r="A25" s="1561" t="s">
        <v>1834</v>
      </c>
      <c r="B25" s="1281" t="s">
        <v>2415</v>
      </c>
      <c r="C25" s="484">
        <f ca="1">ROUND((C18+C19)*F24,0)</f>
        <v>19300</v>
      </c>
      <c r="D25" s="466"/>
      <c r="E25" s="467"/>
      <c r="F25" s="474"/>
      <c r="G25" s="1279" t="s">
        <v>2412</v>
      </c>
      <c r="H25" s="451"/>
      <c r="I25" s="451"/>
      <c r="J25" s="451"/>
      <c r="K25" s="452"/>
      <c r="L25" s="3197"/>
      <c r="M25" s="3197"/>
      <c r="N25" s="3197"/>
      <c r="O25" s="3197"/>
      <c r="P25" s="3197"/>
      <c r="Q25" s="3197"/>
      <c r="R25" s="3197"/>
      <c r="S25" s="3197"/>
      <c r="T25" s="3197"/>
      <c r="U25" s="3197"/>
      <c r="V25" s="3197"/>
      <c r="W25" s="3197"/>
      <c r="X25" s="3197"/>
      <c r="Y25" s="3197"/>
      <c r="Z25" s="3197"/>
    </row>
    <row r="26" spans="1:26" s="2002" customFormat="1" ht="13.5" customHeight="1">
      <c r="A26" s="1561" t="s">
        <v>1835</v>
      </c>
      <c r="B26" s="1281" t="s">
        <v>501</v>
      </c>
      <c r="C26" s="485">
        <f ca="1">ROUND(F20*F24,4)</f>
        <v>5.5999999999999999E-3</v>
      </c>
      <c r="D26" s="466"/>
      <c r="E26" s="475"/>
      <c r="F26" s="474"/>
      <c r="G26" s="1279" t="s">
        <v>502</v>
      </c>
      <c r="H26" s="451"/>
      <c r="I26" s="451"/>
      <c r="J26" s="451"/>
      <c r="K26" s="452"/>
      <c r="L26" s="3197"/>
      <c r="M26" s="3197"/>
      <c r="N26" s="3197"/>
      <c r="O26" s="3197"/>
      <c r="P26" s="3197"/>
      <c r="Q26" s="3197"/>
      <c r="R26" s="3197"/>
      <c r="S26" s="3197"/>
      <c r="T26" s="3197"/>
      <c r="U26" s="3197"/>
      <c r="V26" s="3197"/>
      <c r="W26" s="3197"/>
      <c r="X26" s="3197"/>
      <c r="Y26" s="3197"/>
      <c r="Z26" s="3197"/>
    </row>
    <row r="27" spans="1:26" s="2002" customFormat="1" ht="13.5" customHeight="1">
      <c r="A27" s="1565" t="s">
        <v>1853</v>
      </c>
      <c r="B27" s="453" t="s">
        <v>503</v>
      </c>
      <c r="C27" s="2743">
        <f>ROUND(F27/(1+'数据-取费表'!C42),4)</f>
        <v>5.2400000000000002E-2</v>
      </c>
      <c r="D27" s="456" t="s">
        <v>2804</v>
      </c>
      <c r="E27" s="456"/>
      <c r="F27" s="460">
        <f>'数据-取费表'!B41</f>
        <v>5.5000000000000007E-2</v>
      </c>
      <c r="G27" s="1874" t="s">
        <v>2274</v>
      </c>
      <c r="H27" s="441"/>
      <c r="I27" s="441"/>
      <c r="J27" s="441"/>
      <c r="K27" s="442"/>
      <c r="L27" s="3197"/>
      <c r="M27" s="3197"/>
      <c r="N27" s="3197"/>
      <c r="O27" s="3197"/>
      <c r="P27" s="3197"/>
      <c r="Q27" s="3197"/>
      <c r="R27" s="3197"/>
      <c r="S27" s="3197"/>
      <c r="T27" s="3197"/>
      <c r="U27" s="3197"/>
      <c r="V27" s="3197"/>
      <c r="W27" s="3197"/>
      <c r="X27" s="3197"/>
      <c r="Y27" s="3197"/>
      <c r="Z27" s="3197"/>
    </row>
    <row r="28" spans="1:26" s="2003" customFormat="1" ht="13.5" customHeight="1">
      <c r="A28" s="1565" t="s">
        <v>1854</v>
      </c>
      <c r="B28" s="470" t="s">
        <v>504</v>
      </c>
      <c r="C28" s="464">
        <f ca="1">ROUND((C18+C19+C21+C24)/(1-C20-D21-D24-C27),0)</f>
        <v>99353</v>
      </c>
      <c r="D28" s="471"/>
      <c r="E28" s="463"/>
      <c r="F28" s="465"/>
      <c r="G28" s="1280" t="s">
        <v>2413</v>
      </c>
      <c r="H28" s="441"/>
      <c r="I28" s="441"/>
      <c r="J28" s="441"/>
      <c r="K28" s="442"/>
      <c r="L28" s="3198"/>
      <c r="M28" s="3198"/>
      <c r="N28" s="3198"/>
      <c r="O28" s="3198"/>
      <c r="P28" s="3198"/>
      <c r="Q28" s="3198"/>
      <c r="R28" s="3198"/>
      <c r="S28" s="3198"/>
      <c r="T28" s="3198"/>
      <c r="U28" s="3198"/>
      <c r="V28" s="3198"/>
      <c r="W28" s="3198"/>
      <c r="X28" s="3198"/>
      <c r="Y28" s="3198"/>
      <c r="Z28" s="3198"/>
    </row>
    <row r="29" spans="1:26" s="2003" customFormat="1" ht="13.5" customHeight="1">
      <c r="A29" s="1565" t="s">
        <v>1855</v>
      </c>
      <c r="B29" s="470" t="s">
        <v>505</v>
      </c>
      <c r="C29" s="486">
        <f ca="1">IF(B1="",'数据-取费表'!N16,INDIRECT("'数据-取费表'!N"&amp;$K$1))</f>
        <v>0</v>
      </c>
      <c r="D29" s="487"/>
      <c r="E29" s="488"/>
      <c r="F29" s="489"/>
      <c r="G29" s="438"/>
      <c r="H29" s="441"/>
      <c r="I29" s="441"/>
      <c r="J29" s="441"/>
      <c r="K29" s="442"/>
      <c r="L29" s="3198"/>
      <c r="M29" s="3198"/>
      <c r="N29" s="3198"/>
      <c r="O29" s="3198"/>
      <c r="P29" s="3198"/>
      <c r="Q29" s="3198"/>
      <c r="R29" s="3198"/>
      <c r="S29" s="3198"/>
      <c r="T29" s="3198"/>
      <c r="U29" s="3198"/>
      <c r="V29" s="3198"/>
      <c r="W29" s="3198"/>
      <c r="X29" s="3198"/>
      <c r="Y29" s="3198"/>
      <c r="Z29" s="3198"/>
    </row>
    <row r="30" spans="1:26" s="2003" customFormat="1" ht="13.5" customHeight="1">
      <c r="A30" s="437">
        <v>2</v>
      </c>
      <c r="B30" s="470" t="s">
        <v>506</v>
      </c>
      <c r="C30" s="491">
        <f ca="1">ROUND(C28*C29,0)</f>
        <v>0</v>
      </c>
      <c r="D30" s="487"/>
      <c r="E30" s="492"/>
      <c r="F30" s="493"/>
      <c r="G30" s="1282" t="s">
        <v>507</v>
      </c>
      <c r="H30" s="490"/>
      <c r="I30" s="490"/>
      <c r="J30" s="441"/>
      <c r="K30" s="442"/>
      <c r="L30" s="3198"/>
      <c r="M30" s="3198"/>
      <c r="N30" s="3198"/>
      <c r="O30" s="3198"/>
      <c r="P30" s="3198"/>
      <c r="Q30" s="3198"/>
      <c r="R30" s="3198"/>
      <c r="S30" s="3198"/>
      <c r="T30" s="3198"/>
      <c r="U30" s="3198"/>
      <c r="V30" s="3198"/>
      <c r="W30" s="3198"/>
      <c r="X30" s="3198"/>
      <c r="Y30" s="3198"/>
      <c r="Z30" s="3198"/>
    </row>
    <row r="31" spans="1:26" s="2008" customFormat="1" ht="13.5" customHeight="1">
      <c r="A31" s="2335" t="s">
        <v>1851</v>
      </c>
      <c r="B31" s="1283"/>
      <c r="C31" s="494">
        <f>ROUND(C6*F31/(1+'数据-取费表'!C42),0)</f>
        <v>0</v>
      </c>
      <c r="D31" s="1284"/>
      <c r="E31" s="1284"/>
      <c r="F31" s="495">
        <f>'数据-取费表'!B41</f>
        <v>5.5000000000000007E-2</v>
      </c>
      <c r="G31" s="1285"/>
      <c r="H31" s="1285"/>
      <c r="I31" s="1285"/>
      <c r="J31" s="1286"/>
      <c r="K31" s="1287"/>
      <c r="L31" s="3203"/>
      <c r="M31" s="3203"/>
      <c r="N31" s="3203"/>
      <c r="O31" s="3203"/>
      <c r="P31" s="3203"/>
      <c r="Q31" s="3203"/>
      <c r="R31" s="3203"/>
      <c r="S31" s="3203"/>
      <c r="T31" s="3203"/>
      <c r="U31" s="3203"/>
      <c r="V31" s="3203"/>
      <c r="W31" s="3203"/>
      <c r="X31" s="3203"/>
      <c r="Y31" s="3203"/>
      <c r="Z31" s="3203"/>
    </row>
    <row r="32" spans="1:26" s="1967" customFormat="1" ht="13.5" customHeight="1" thickBot="1">
      <c r="A32" s="476" t="s">
        <v>1852</v>
      </c>
      <c r="B32" s="477"/>
      <c r="C32" s="478">
        <f ca="1">IF('数据-取费表'!B20&lt;=1,(C6-C30-C31)/(1+F21*'数据-取费表'!B20+F24)/(1+'数据-取费表'!B48+'数据-取费表'!B49),(C6-C30-C31)/(1+(POWER((1+F21),'数据-取费表'!B20)-1)+F24)/(1+'数据-取费表'!B48+'数据-取费表'!B49))</f>
        <v>0</v>
      </c>
      <c r="D32" s="477"/>
      <c r="E32" s="477"/>
      <c r="F32" s="477"/>
      <c r="G32" s="2336" t="s">
        <v>2927</v>
      </c>
      <c r="H32" s="477"/>
      <c r="I32" s="477"/>
      <c r="J32" s="477"/>
      <c r="K32" s="479"/>
      <c r="L32" s="3194"/>
      <c r="M32" s="3194"/>
      <c r="N32" s="3194"/>
      <c r="O32" s="3194"/>
      <c r="P32" s="3194"/>
      <c r="Q32" s="3194"/>
      <c r="R32" s="3194"/>
      <c r="S32" s="3194"/>
      <c r="T32" s="3194"/>
      <c r="U32" s="3194"/>
      <c r="V32" s="3194"/>
      <c r="W32" s="3194"/>
      <c r="X32" s="3194"/>
      <c r="Y32" s="3194"/>
      <c r="Z32" s="3194"/>
    </row>
    <row r="33" spans="1:5" s="1997" customFormat="1">
      <c r="A33" s="3201"/>
      <c r="C33" s="3202"/>
      <c r="E33" s="3201"/>
    </row>
    <row r="34" spans="1:5" s="1997" customFormat="1" ht="12.75" customHeight="1">
      <c r="A34" s="3201"/>
      <c r="C34" s="3202"/>
      <c r="E34" s="3201"/>
    </row>
    <row r="35" spans="1:5" s="1997" customFormat="1">
      <c r="A35" s="3201"/>
      <c r="C35" s="3202"/>
      <c r="E35" s="3201"/>
    </row>
    <row r="36" spans="1:5" s="1997" customFormat="1">
      <c r="A36" s="3201"/>
      <c r="C36" s="3202"/>
      <c r="E36" s="3201"/>
    </row>
    <row r="37" spans="1:5" s="1997" customFormat="1">
      <c r="A37" s="3201"/>
      <c r="C37" s="3202"/>
      <c r="E37" s="3201"/>
    </row>
    <row r="38" spans="1:5" s="1997" customFormat="1">
      <c r="A38" s="3201"/>
      <c r="C38" s="3202"/>
      <c r="E38" s="3201"/>
    </row>
    <row r="39" spans="1:5" s="1997" customFormat="1">
      <c r="A39" s="3201"/>
      <c r="C39" s="3202"/>
      <c r="E39" s="3201"/>
    </row>
    <row r="40" spans="1:5" s="1997" customFormat="1">
      <c r="A40" s="3201"/>
      <c r="C40" s="3202"/>
      <c r="E40" s="3201"/>
    </row>
    <row r="41" spans="1:5" s="1997" customFormat="1">
      <c r="A41" s="3201"/>
      <c r="C41" s="3202"/>
      <c r="E41" s="3201"/>
    </row>
    <row r="42" spans="1:5" s="1997" customFormat="1">
      <c r="A42" s="3201"/>
      <c r="C42" s="3202"/>
      <c r="E42" s="3201"/>
    </row>
    <row r="43" spans="1:5" s="1997" customFormat="1">
      <c r="A43" s="3201"/>
      <c r="C43" s="3202"/>
      <c r="E43" s="3201"/>
    </row>
    <row r="44" spans="1:5" s="1997" customFormat="1">
      <c r="A44" s="3201"/>
      <c r="C44" s="3202"/>
      <c r="E44" s="3201"/>
    </row>
    <row r="45" spans="1:5" s="1997" customFormat="1">
      <c r="A45" s="3201"/>
      <c r="C45" s="3202"/>
      <c r="E45" s="3201"/>
    </row>
    <row r="46" spans="1:5" s="1997" customFormat="1">
      <c r="A46" s="3201"/>
      <c r="C46" s="3202"/>
      <c r="E46" s="3201"/>
    </row>
    <row r="47" spans="1:5" s="1997" customFormat="1">
      <c r="A47" s="3201"/>
      <c r="C47" s="3202"/>
      <c r="E47" s="3201"/>
    </row>
    <row r="48" spans="1:5" s="1997" customFormat="1">
      <c r="A48" s="3201"/>
      <c r="C48" s="3202"/>
      <c r="E48" s="3201"/>
    </row>
    <row r="49" spans="1:5" s="1997" customFormat="1">
      <c r="A49" s="3201"/>
      <c r="C49" s="3202"/>
      <c r="E49" s="3201"/>
    </row>
    <row r="50" spans="1:5" s="1997" customFormat="1">
      <c r="A50" s="3201"/>
      <c r="C50" s="3202"/>
      <c r="E50" s="3201"/>
    </row>
    <row r="51" spans="1:5" s="1997" customFormat="1">
      <c r="A51" s="3201"/>
      <c r="C51" s="3202"/>
      <c r="E51" s="3201"/>
    </row>
    <row r="52" spans="1:5" s="1997" customFormat="1">
      <c r="A52" s="3201"/>
      <c r="C52" s="3202"/>
      <c r="E52" s="3201"/>
    </row>
    <row r="53" spans="1:5" s="1997" customFormat="1">
      <c r="A53" s="3201"/>
      <c r="C53" s="3202"/>
      <c r="E53" s="3201"/>
    </row>
    <row r="54" spans="1:5" s="1997" customFormat="1">
      <c r="A54" s="3201"/>
      <c r="C54" s="3202"/>
      <c r="E54" s="3201"/>
    </row>
    <row r="55" spans="1:5" s="1997" customFormat="1">
      <c r="A55" s="3201"/>
      <c r="C55" s="3202"/>
      <c r="E55" s="3201"/>
    </row>
    <row r="56" spans="1:5" s="1997" customFormat="1">
      <c r="A56" s="3201"/>
      <c r="C56" s="3202"/>
      <c r="E56" s="3201"/>
    </row>
    <row r="57" spans="1:5" s="1997" customFormat="1">
      <c r="A57" s="3201"/>
      <c r="C57" s="3202"/>
      <c r="E57" s="3201"/>
    </row>
    <row r="58" spans="1:5" s="1997" customFormat="1">
      <c r="A58" s="3201"/>
      <c r="C58" s="3202"/>
      <c r="E58" s="3201"/>
    </row>
    <row r="59" spans="1:5" s="1997" customFormat="1">
      <c r="A59" s="3201"/>
      <c r="C59" s="3202"/>
      <c r="E59" s="3201"/>
    </row>
    <row r="60" spans="1:5" s="1997" customFormat="1">
      <c r="A60" s="3201"/>
      <c r="C60" s="3202"/>
      <c r="E60" s="3201"/>
    </row>
    <row r="61" spans="1:5" s="1997" customFormat="1">
      <c r="A61" s="3201"/>
      <c r="C61" s="3202"/>
      <c r="E61" s="3201"/>
    </row>
    <row r="62" spans="1:5" s="1997" customFormat="1">
      <c r="A62" s="3201"/>
      <c r="C62" s="3202"/>
      <c r="E62" s="3201"/>
    </row>
    <row r="63" spans="1:5" s="1997" customFormat="1">
      <c r="A63" s="3201"/>
      <c r="C63" s="3202"/>
      <c r="E63" s="3201"/>
    </row>
    <row r="64" spans="1:5" s="1997" customFormat="1">
      <c r="A64" s="3201"/>
      <c r="C64" s="3202"/>
      <c r="E64" s="3201"/>
    </row>
    <row r="65" spans="1:5" s="1997" customFormat="1">
      <c r="A65" s="3201"/>
      <c r="C65" s="3202"/>
      <c r="E65" s="3201"/>
    </row>
    <row r="66" spans="1:5" s="1997" customFormat="1">
      <c r="A66" s="3201"/>
      <c r="C66" s="3202"/>
      <c r="E66" s="3201"/>
    </row>
    <row r="67" spans="1:5" s="1997" customFormat="1">
      <c r="A67" s="3201"/>
      <c r="C67" s="3202"/>
      <c r="E67" s="3201"/>
    </row>
    <row r="68" spans="1:5" s="1997" customFormat="1">
      <c r="A68" s="3201"/>
      <c r="C68" s="3202"/>
      <c r="E68" s="3201"/>
    </row>
    <row r="69" spans="1:5" s="1997" customFormat="1">
      <c r="A69" s="3201"/>
      <c r="C69" s="3202"/>
      <c r="E69" s="3201"/>
    </row>
    <row r="70" spans="1:5" s="1997" customFormat="1">
      <c r="A70" s="3201"/>
      <c r="C70" s="3202"/>
      <c r="E70" s="3201"/>
    </row>
    <row r="71" spans="1:5" s="1997" customFormat="1">
      <c r="A71" s="3201"/>
      <c r="C71" s="3202"/>
      <c r="E71" s="3201"/>
    </row>
    <row r="72" spans="1:5" s="1997" customFormat="1">
      <c r="A72" s="3201"/>
      <c r="C72" s="3202"/>
      <c r="E72" s="3201"/>
    </row>
    <row r="73" spans="1:5" s="1997" customFormat="1">
      <c r="A73" s="3201"/>
      <c r="C73" s="3202"/>
      <c r="E73" s="3201"/>
    </row>
    <row r="74" spans="1:5" s="1997" customFormat="1">
      <c r="A74" s="3201"/>
      <c r="C74" s="3202"/>
      <c r="E74" s="3201"/>
    </row>
    <row r="75" spans="1:5" s="1997" customFormat="1">
      <c r="A75" s="3201"/>
      <c r="C75" s="3202"/>
      <c r="E75" s="3201"/>
    </row>
    <row r="76" spans="1:5" s="1997" customFormat="1">
      <c r="A76" s="3201"/>
      <c r="C76" s="3202"/>
      <c r="E76" s="3201"/>
    </row>
    <row r="77" spans="1:5" s="1997" customFormat="1">
      <c r="A77" s="3201"/>
      <c r="C77" s="3202"/>
      <c r="E77" s="3201"/>
    </row>
    <row r="78" spans="1:5" s="1997" customFormat="1">
      <c r="A78" s="3201"/>
      <c r="C78" s="3202"/>
      <c r="E78" s="3201"/>
    </row>
    <row r="79" spans="1:5" s="1997" customFormat="1">
      <c r="A79" s="3201"/>
      <c r="C79" s="3202"/>
      <c r="E79" s="3201"/>
    </row>
    <row r="80" spans="1:5" s="1997" customFormat="1">
      <c r="A80" s="3201"/>
      <c r="C80" s="3202"/>
      <c r="E80" s="3201"/>
    </row>
    <row r="81" spans="1:5" s="1997" customFormat="1">
      <c r="A81" s="3201"/>
      <c r="C81" s="3202"/>
      <c r="E81" s="3201"/>
    </row>
    <row r="82" spans="1:5" s="1997" customFormat="1">
      <c r="A82" s="3201"/>
      <c r="C82" s="3202"/>
      <c r="E82" s="3201"/>
    </row>
    <row r="83" spans="1:5" s="1997" customFormat="1">
      <c r="A83" s="3201"/>
      <c r="C83" s="3202"/>
      <c r="E83" s="3201"/>
    </row>
    <row r="84" spans="1:5" s="1997" customFormat="1">
      <c r="A84" s="3201"/>
      <c r="C84" s="3202"/>
      <c r="E84" s="3201"/>
    </row>
    <row r="85" spans="1:5" s="1997" customFormat="1">
      <c r="A85" s="3201"/>
      <c r="C85" s="3202"/>
      <c r="E85" s="3201"/>
    </row>
    <row r="86" spans="1:5" s="1997" customFormat="1">
      <c r="A86" s="3201"/>
      <c r="C86" s="3202"/>
      <c r="E86" s="3201"/>
    </row>
    <row r="87" spans="1:5" s="1997" customFormat="1">
      <c r="A87" s="3201"/>
      <c r="C87" s="3202"/>
      <c r="E87" s="3201"/>
    </row>
    <row r="88" spans="1:5" s="1997" customFormat="1">
      <c r="A88" s="3201"/>
      <c r="C88" s="3202"/>
      <c r="E88" s="3201"/>
    </row>
    <row r="89" spans="1:5" s="1997" customFormat="1">
      <c r="A89" s="3201"/>
      <c r="C89" s="3202"/>
      <c r="E89" s="3201"/>
    </row>
    <row r="90" spans="1:5" s="1997" customFormat="1">
      <c r="A90" s="3201"/>
      <c r="C90" s="3202"/>
      <c r="E90" s="3201"/>
    </row>
    <row r="91" spans="1:5" s="1997" customFormat="1">
      <c r="A91" s="3201"/>
      <c r="C91" s="3202"/>
      <c r="E91" s="3201"/>
    </row>
    <row r="92" spans="1:5" s="1997" customFormat="1">
      <c r="A92" s="3201"/>
      <c r="C92" s="3202"/>
      <c r="E92" s="3201"/>
    </row>
    <row r="93" spans="1:5" s="1997" customFormat="1">
      <c r="A93" s="3201"/>
      <c r="C93" s="3202"/>
      <c r="E93" s="3201"/>
    </row>
    <row r="94" spans="1:5" s="1997" customFormat="1">
      <c r="A94" s="3201"/>
      <c r="C94" s="3202"/>
      <c r="E94" s="3201"/>
    </row>
    <row r="95" spans="1:5" s="1997" customFormat="1">
      <c r="A95" s="3201"/>
      <c r="C95" s="3202"/>
      <c r="E95" s="3201"/>
    </row>
    <row r="96" spans="1:5" s="1997" customFormat="1">
      <c r="A96" s="3201"/>
      <c r="C96" s="3202"/>
      <c r="E96" s="3201"/>
    </row>
    <row r="97" spans="1:5" s="1997" customFormat="1">
      <c r="A97" s="3201"/>
      <c r="C97" s="3202"/>
      <c r="E97" s="3201"/>
    </row>
    <row r="98" spans="1:5" s="1997" customFormat="1">
      <c r="A98" s="3201"/>
      <c r="C98" s="3202"/>
      <c r="E98" s="3201"/>
    </row>
    <row r="99" spans="1:5" s="1997" customFormat="1">
      <c r="A99" s="3201"/>
      <c r="C99" s="3202"/>
      <c r="E99" s="3201"/>
    </row>
    <row r="100" spans="1:5" s="1997" customFormat="1">
      <c r="A100" s="3201"/>
      <c r="C100" s="3202"/>
      <c r="E100" s="3201"/>
    </row>
    <row r="101" spans="1:5" s="1997" customFormat="1">
      <c r="A101" s="3201"/>
      <c r="C101" s="3202"/>
      <c r="E101" s="3201"/>
    </row>
    <row r="102" spans="1:5" s="1997" customFormat="1">
      <c r="A102" s="3201"/>
      <c r="C102" s="3202"/>
      <c r="E102" s="3201"/>
    </row>
    <row r="103" spans="1:5" s="1997" customFormat="1">
      <c r="A103" s="3201"/>
      <c r="C103" s="3202"/>
      <c r="E103" s="3201"/>
    </row>
    <row r="104" spans="1:5" s="1997" customFormat="1">
      <c r="A104" s="3201"/>
      <c r="C104" s="3202"/>
      <c r="E104" s="3201"/>
    </row>
    <row r="105" spans="1:5" s="1997" customFormat="1">
      <c r="A105" s="3201"/>
      <c r="C105" s="3202"/>
      <c r="E105" s="3201"/>
    </row>
    <row r="106" spans="1:5" s="1997" customFormat="1">
      <c r="A106" s="3201"/>
      <c r="C106" s="3202"/>
      <c r="E106" s="3201"/>
    </row>
    <row r="107" spans="1:5" s="1997" customFormat="1">
      <c r="A107" s="3201"/>
      <c r="C107" s="3202"/>
      <c r="E107" s="3201"/>
    </row>
    <row r="108" spans="1:5" s="1997" customFormat="1">
      <c r="A108" s="3201"/>
      <c r="C108" s="3202"/>
      <c r="E108" s="3201"/>
    </row>
    <row r="109" spans="1:5" s="1997" customFormat="1">
      <c r="A109" s="3201"/>
      <c r="C109" s="3202"/>
      <c r="E109" s="3201"/>
    </row>
    <row r="110" spans="1:5" s="1997" customFormat="1">
      <c r="A110" s="3201"/>
      <c r="C110" s="3202"/>
      <c r="E110" s="3201"/>
    </row>
    <row r="111" spans="1:5" s="1997" customFormat="1">
      <c r="A111" s="3201"/>
      <c r="C111" s="3202"/>
      <c r="E111" s="3201"/>
    </row>
    <row r="112" spans="1:5" s="1997" customFormat="1">
      <c r="A112" s="3201"/>
      <c r="C112" s="3202"/>
      <c r="E112" s="3201"/>
    </row>
    <row r="113" spans="1:5" s="1997" customFormat="1">
      <c r="A113" s="3201"/>
      <c r="C113" s="3202"/>
      <c r="E113" s="3201"/>
    </row>
    <row r="114" spans="1:5" s="1997" customFormat="1">
      <c r="A114" s="3201"/>
      <c r="C114" s="3202"/>
      <c r="E114" s="3201"/>
    </row>
    <row r="115" spans="1:5" s="1997" customFormat="1">
      <c r="A115" s="3201"/>
      <c r="C115" s="3202"/>
      <c r="E115" s="3201"/>
    </row>
    <row r="116" spans="1:5" s="1997" customFormat="1">
      <c r="A116" s="3201"/>
      <c r="C116" s="3202"/>
      <c r="E116" s="3201"/>
    </row>
    <row r="117" spans="1:5" s="1997" customFormat="1">
      <c r="A117" s="3201"/>
      <c r="C117" s="3202"/>
      <c r="E117" s="3201"/>
    </row>
    <row r="118" spans="1:5" s="1997" customFormat="1">
      <c r="A118" s="3201"/>
      <c r="C118" s="3202"/>
      <c r="E118" s="3201"/>
    </row>
    <row r="119" spans="1:5" s="1997" customFormat="1">
      <c r="A119" s="3201"/>
      <c r="C119" s="3202"/>
      <c r="E119" s="3201"/>
    </row>
    <row r="120" spans="1:5" s="1997" customFormat="1">
      <c r="A120" s="3201"/>
      <c r="C120" s="3202"/>
      <c r="E120" s="3201"/>
    </row>
    <row r="121" spans="1:5" s="1997" customFormat="1">
      <c r="A121" s="3201"/>
      <c r="C121" s="3202"/>
      <c r="E121" s="3201"/>
    </row>
    <row r="122" spans="1:5" s="1997" customFormat="1">
      <c r="A122" s="3201"/>
      <c r="C122" s="3202"/>
      <c r="E122" s="3201"/>
    </row>
    <row r="123" spans="1:5" s="1997" customFormat="1">
      <c r="A123" s="3201"/>
      <c r="C123" s="3202"/>
      <c r="E123" s="3201"/>
    </row>
    <row r="124" spans="1:5" s="1997" customFormat="1">
      <c r="A124" s="3201"/>
      <c r="C124" s="3202"/>
      <c r="E124" s="3201"/>
    </row>
    <row r="125" spans="1:5" s="1997" customFormat="1">
      <c r="A125" s="3201"/>
      <c r="C125" s="3202"/>
      <c r="E125" s="3201"/>
    </row>
    <row r="126" spans="1:5" s="1997" customFormat="1">
      <c r="A126" s="3201"/>
      <c r="C126" s="3202"/>
      <c r="E126" s="3201"/>
    </row>
    <row r="127" spans="1:5" s="1997" customFormat="1">
      <c r="A127" s="3201"/>
      <c r="C127" s="3202"/>
      <c r="E127" s="3201"/>
    </row>
    <row r="128" spans="1:5" s="1997" customFormat="1">
      <c r="A128" s="3201"/>
      <c r="C128" s="3202"/>
      <c r="E128" s="3201"/>
    </row>
    <row r="129" spans="1:5" s="1997" customFormat="1">
      <c r="A129" s="3201"/>
      <c r="C129" s="3202"/>
      <c r="E129" s="3201"/>
    </row>
    <row r="130" spans="1:5" s="1997" customFormat="1">
      <c r="A130" s="3201"/>
      <c r="C130" s="3202"/>
      <c r="E130" s="3201"/>
    </row>
    <row r="131" spans="1:5" s="1997" customFormat="1">
      <c r="A131" s="3201"/>
      <c r="C131" s="3202"/>
      <c r="E131" s="3201"/>
    </row>
    <row r="132" spans="1:5" s="1997" customFormat="1">
      <c r="A132" s="3201"/>
      <c r="C132" s="3202"/>
      <c r="E132" s="3201"/>
    </row>
    <row r="133" spans="1:5" s="1997" customFormat="1">
      <c r="A133" s="3201"/>
      <c r="C133" s="3202"/>
      <c r="E133" s="3201"/>
    </row>
    <row r="134" spans="1:5" s="1997" customFormat="1">
      <c r="A134" s="3201"/>
      <c r="C134" s="3202"/>
      <c r="E134" s="3201"/>
    </row>
    <row r="135" spans="1:5" s="1997" customFormat="1">
      <c r="A135" s="3201"/>
      <c r="C135" s="3202"/>
      <c r="E135" s="3201"/>
    </row>
    <row r="136" spans="1:5" s="1997" customFormat="1">
      <c r="A136" s="3201"/>
      <c r="C136" s="3202"/>
      <c r="E136" s="3201"/>
    </row>
    <row r="137" spans="1:5" s="1997" customFormat="1">
      <c r="A137" s="3201"/>
      <c r="C137" s="3202"/>
      <c r="E137" s="3201"/>
    </row>
    <row r="138" spans="1:5" s="1997" customFormat="1">
      <c r="A138" s="3201"/>
      <c r="C138" s="3202"/>
      <c r="E138" s="3201"/>
    </row>
    <row r="139" spans="1:5" s="1997" customFormat="1">
      <c r="A139" s="3201"/>
      <c r="C139" s="3202"/>
      <c r="E139" s="3201"/>
    </row>
    <row r="140" spans="1:5" s="1997" customFormat="1">
      <c r="A140" s="3201"/>
      <c r="C140" s="3202"/>
      <c r="E140" s="3201"/>
    </row>
    <row r="141" spans="1:5" s="1997" customFormat="1">
      <c r="A141" s="3201"/>
      <c r="C141" s="3202"/>
      <c r="E141" s="3201"/>
    </row>
    <row r="142" spans="1:5" s="1997" customFormat="1">
      <c r="A142" s="3201"/>
      <c r="C142" s="3202"/>
      <c r="E142" s="3201"/>
    </row>
    <row r="143" spans="1:5" s="1997" customFormat="1">
      <c r="A143" s="3201"/>
      <c r="C143" s="3202"/>
      <c r="E143" s="3201"/>
    </row>
    <row r="144" spans="1:5" s="1997" customFormat="1">
      <c r="A144" s="3201"/>
      <c r="C144" s="3202"/>
      <c r="E144" s="3201"/>
    </row>
    <row r="145" spans="1:5" s="1997" customFormat="1">
      <c r="A145" s="3201"/>
      <c r="C145" s="3202"/>
      <c r="E145" s="3201"/>
    </row>
    <row r="146" spans="1:5" s="1997" customFormat="1">
      <c r="A146" s="3201"/>
      <c r="C146" s="3202"/>
      <c r="E146" s="3201"/>
    </row>
    <row r="147" spans="1:5" s="1997" customFormat="1">
      <c r="A147" s="3201"/>
      <c r="C147" s="3202"/>
      <c r="E147" s="3201"/>
    </row>
    <row r="148" spans="1:5" s="1997" customFormat="1">
      <c r="A148" s="3201"/>
      <c r="C148" s="3202"/>
      <c r="E148" s="3201"/>
    </row>
    <row r="149" spans="1:5" s="1997" customFormat="1">
      <c r="A149" s="3201"/>
      <c r="C149" s="3202"/>
      <c r="E149" s="3201"/>
    </row>
    <row r="150" spans="1:5" s="1997" customFormat="1">
      <c r="A150" s="3201"/>
      <c r="C150" s="3202"/>
      <c r="E150" s="3201"/>
    </row>
    <row r="151" spans="1:5" s="1997" customFormat="1">
      <c r="A151" s="3201"/>
      <c r="C151" s="3202"/>
      <c r="E151" s="3201"/>
    </row>
    <row r="152" spans="1:5" s="1997" customFormat="1">
      <c r="A152" s="3201"/>
      <c r="C152" s="3202"/>
      <c r="E152" s="3201"/>
    </row>
    <row r="153" spans="1:5" s="1997" customFormat="1">
      <c r="A153" s="3201"/>
      <c r="C153" s="3202"/>
      <c r="E153" s="3201"/>
    </row>
    <row r="154" spans="1:5" s="1997" customFormat="1">
      <c r="A154" s="3201"/>
      <c r="C154" s="3202"/>
      <c r="E154" s="3201"/>
    </row>
    <row r="155" spans="1:5" s="1997" customFormat="1">
      <c r="A155" s="3201"/>
      <c r="C155" s="3202"/>
      <c r="E155" s="3201"/>
    </row>
    <row r="156" spans="1:5" s="1997" customFormat="1">
      <c r="A156" s="3201"/>
      <c r="C156" s="3202"/>
      <c r="E156" s="3201"/>
    </row>
    <row r="157" spans="1:5" s="1997" customFormat="1">
      <c r="A157" s="3201"/>
      <c r="C157" s="3202"/>
      <c r="E157" s="3201"/>
    </row>
    <row r="158" spans="1:5" s="1997" customFormat="1">
      <c r="A158" s="3201"/>
      <c r="C158" s="3202"/>
      <c r="E158" s="3201"/>
    </row>
    <row r="159" spans="1:5" s="1997" customFormat="1">
      <c r="A159" s="3201"/>
      <c r="C159" s="3202"/>
      <c r="E159" s="3201"/>
    </row>
    <row r="160" spans="1:5" s="1997" customFormat="1">
      <c r="A160" s="3201"/>
      <c r="C160" s="3202"/>
      <c r="E160" s="3201"/>
    </row>
    <row r="161" spans="1:5" s="1997" customFormat="1">
      <c r="A161" s="3201"/>
      <c r="C161" s="3202"/>
      <c r="E161" s="3201"/>
    </row>
    <row r="162" spans="1:5" s="1997" customFormat="1">
      <c r="A162" s="3201"/>
      <c r="C162" s="3202"/>
      <c r="E162" s="3201"/>
    </row>
    <row r="163" spans="1:5" s="1997" customFormat="1">
      <c r="A163" s="3201"/>
      <c r="C163" s="3202"/>
      <c r="E163" s="3201"/>
    </row>
    <row r="164" spans="1:5" s="1997" customFormat="1">
      <c r="A164" s="3201"/>
      <c r="C164" s="3202"/>
      <c r="E164" s="3201"/>
    </row>
    <row r="165" spans="1:5" s="1997" customFormat="1">
      <c r="A165" s="3201"/>
      <c r="C165" s="3202"/>
      <c r="E165" s="3201"/>
    </row>
    <row r="166" spans="1:5" s="1997" customFormat="1">
      <c r="A166" s="3201"/>
      <c r="C166" s="3202"/>
      <c r="E166" s="3201"/>
    </row>
    <row r="167" spans="1:5" s="1997" customFormat="1">
      <c r="A167" s="3201"/>
      <c r="C167" s="3202"/>
      <c r="E167" s="3201"/>
    </row>
    <row r="168" spans="1:5" s="1997" customFormat="1">
      <c r="A168" s="3201"/>
      <c r="C168" s="3202"/>
      <c r="E168" s="3201"/>
    </row>
    <row r="169" spans="1:5" s="1997" customFormat="1">
      <c r="A169" s="3201"/>
      <c r="C169" s="3202"/>
      <c r="E169" s="3201"/>
    </row>
    <row r="170" spans="1:5" s="1997" customFormat="1">
      <c r="A170" s="3201"/>
      <c r="C170" s="3202"/>
      <c r="E170" s="3201"/>
    </row>
    <row r="171" spans="1:5" s="1997" customFormat="1">
      <c r="A171" s="3201"/>
      <c r="C171" s="3202"/>
      <c r="E171" s="3201"/>
    </row>
    <row r="172" spans="1:5" s="1997" customFormat="1">
      <c r="A172" s="3201"/>
      <c r="C172" s="3202"/>
      <c r="E172" s="3201"/>
    </row>
    <row r="173" spans="1:5" s="1997" customFormat="1">
      <c r="A173" s="3201"/>
      <c r="C173" s="3202"/>
      <c r="E173" s="3201"/>
    </row>
    <row r="174" spans="1:5" s="1997" customFormat="1">
      <c r="A174" s="3201"/>
      <c r="C174" s="3202"/>
      <c r="E174" s="3201"/>
    </row>
    <row r="175" spans="1:5" s="1997" customFormat="1">
      <c r="A175" s="3201"/>
      <c r="C175" s="3202"/>
      <c r="E175" s="3201"/>
    </row>
    <row r="176" spans="1:5" s="1997" customFormat="1">
      <c r="A176" s="3201"/>
      <c r="C176" s="3202"/>
      <c r="E176" s="3201"/>
    </row>
    <row r="177" spans="1:5" s="1997" customFormat="1">
      <c r="A177" s="3201"/>
      <c r="C177" s="3202"/>
      <c r="E177" s="3201"/>
    </row>
    <row r="178" spans="1:5" s="1997" customFormat="1">
      <c r="A178" s="3201"/>
      <c r="C178" s="3202"/>
      <c r="E178" s="3201"/>
    </row>
    <row r="179" spans="1:5" s="1997" customFormat="1">
      <c r="A179" s="3201"/>
      <c r="C179" s="3202"/>
      <c r="E179" s="3201"/>
    </row>
    <row r="180" spans="1:5" s="1997" customFormat="1">
      <c r="A180" s="3201"/>
      <c r="C180" s="3202"/>
      <c r="E180" s="3201"/>
    </row>
    <row r="181" spans="1:5" s="1997" customFormat="1">
      <c r="A181" s="3201"/>
      <c r="C181" s="3202"/>
      <c r="E181" s="3201"/>
    </row>
    <row r="182" spans="1:5" s="1997" customFormat="1">
      <c r="A182" s="3201"/>
      <c r="C182" s="3202"/>
      <c r="E182" s="3201"/>
    </row>
    <row r="183" spans="1:5" s="1997" customFormat="1">
      <c r="A183" s="3201"/>
      <c r="C183" s="3202"/>
      <c r="E183" s="3201"/>
    </row>
    <row r="184" spans="1:5" s="1997" customFormat="1">
      <c r="A184" s="3201"/>
      <c r="C184" s="3202"/>
      <c r="E184" s="3201"/>
    </row>
    <row r="185" spans="1:5" s="1997" customFormat="1">
      <c r="A185" s="3201"/>
      <c r="C185" s="3202"/>
      <c r="E185" s="3201"/>
    </row>
    <row r="186" spans="1:5" s="1997" customFormat="1">
      <c r="A186" s="3201"/>
      <c r="C186" s="3202"/>
      <c r="E186" s="3201"/>
    </row>
    <row r="187" spans="1:5" s="1997" customFormat="1">
      <c r="A187" s="3201"/>
      <c r="C187" s="3202"/>
      <c r="E187" s="3201"/>
    </row>
    <row r="188" spans="1:5" s="1997" customFormat="1">
      <c r="A188" s="3201"/>
      <c r="C188" s="3202"/>
      <c r="E188" s="3201"/>
    </row>
    <row r="189" spans="1:5" s="1997" customFormat="1">
      <c r="A189" s="3201"/>
      <c r="C189" s="3202"/>
      <c r="E189" s="3201"/>
    </row>
    <row r="190" spans="1:5" s="1997" customFormat="1">
      <c r="A190" s="3201"/>
      <c r="C190" s="3202"/>
      <c r="E190" s="3201"/>
    </row>
    <row r="191" spans="1:5" s="1997" customFormat="1">
      <c r="A191" s="3201"/>
      <c r="C191" s="3202"/>
      <c r="E191" s="3201"/>
    </row>
    <row r="192" spans="1:5" s="1997" customFormat="1">
      <c r="A192" s="3201"/>
      <c r="C192" s="3202"/>
      <c r="E192" s="3201"/>
    </row>
    <row r="193" spans="1:5" s="1997" customFormat="1">
      <c r="A193" s="3201"/>
      <c r="C193" s="3202"/>
      <c r="E193" s="3201"/>
    </row>
    <row r="194" spans="1:5" s="1997" customFormat="1">
      <c r="A194" s="3201"/>
      <c r="C194" s="3202"/>
      <c r="E194" s="3201"/>
    </row>
    <row r="195" spans="1:5" s="1997" customFormat="1">
      <c r="A195" s="3201"/>
      <c r="C195" s="3202"/>
      <c r="E195" s="3201"/>
    </row>
    <row r="196" spans="1:5" s="1997" customFormat="1">
      <c r="A196" s="3201"/>
      <c r="C196" s="3202"/>
      <c r="E196" s="3201"/>
    </row>
    <row r="197" spans="1:5" s="1997" customFormat="1">
      <c r="A197" s="3201"/>
      <c r="C197" s="3202"/>
      <c r="E197" s="3201"/>
    </row>
    <row r="198" spans="1:5" s="1997" customFormat="1">
      <c r="A198" s="3201"/>
      <c r="C198" s="3202"/>
      <c r="E198" s="3201"/>
    </row>
    <row r="199" spans="1:5" s="1997" customFormat="1">
      <c r="A199" s="3201"/>
      <c r="C199" s="3202"/>
      <c r="E199" s="3201"/>
    </row>
    <row r="200" spans="1:5" s="1997" customFormat="1">
      <c r="A200" s="3201"/>
      <c r="C200" s="3202"/>
      <c r="E200" s="3201"/>
    </row>
    <row r="201" spans="1:5" s="1997" customFormat="1">
      <c r="A201" s="3201"/>
      <c r="C201" s="3202"/>
      <c r="E201" s="3201"/>
    </row>
    <row r="202" spans="1:5" s="1997" customFormat="1">
      <c r="A202" s="3201"/>
      <c r="C202" s="3202"/>
      <c r="E202" s="3201"/>
    </row>
    <row r="203" spans="1:5" s="1997" customFormat="1">
      <c r="A203" s="3201"/>
      <c r="C203" s="3202"/>
      <c r="E203" s="3201"/>
    </row>
    <row r="204" spans="1:5" s="1997" customFormat="1">
      <c r="A204" s="3201"/>
      <c r="C204" s="3202"/>
      <c r="E204" s="3201"/>
    </row>
    <row r="205" spans="1:5" s="1997" customFormat="1">
      <c r="A205" s="3201"/>
      <c r="C205" s="3202"/>
      <c r="E205" s="3201"/>
    </row>
    <row r="206" spans="1:5" s="1997" customFormat="1">
      <c r="A206" s="3201"/>
      <c r="C206" s="3202"/>
      <c r="E206" s="3201"/>
    </row>
    <row r="207" spans="1:5" s="1997" customFormat="1">
      <c r="A207" s="3201"/>
      <c r="C207" s="3202"/>
      <c r="E207" s="3201"/>
    </row>
    <row r="208" spans="1:5" s="1997" customFormat="1">
      <c r="A208" s="3201"/>
      <c r="C208" s="3202"/>
      <c r="E208" s="3201"/>
    </row>
    <row r="209" spans="1:5" s="1997" customFormat="1">
      <c r="A209" s="3201"/>
      <c r="C209" s="3202"/>
      <c r="E209" s="3201"/>
    </row>
    <row r="210" spans="1:5" s="1997" customFormat="1">
      <c r="A210" s="3201"/>
      <c r="C210" s="3202"/>
      <c r="E210" s="3201"/>
    </row>
    <row r="211" spans="1:5" s="1997" customFormat="1">
      <c r="A211" s="3201"/>
      <c r="C211" s="3202"/>
      <c r="E211" s="3201"/>
    </row>
    <row r="212" spans="1:5" s="1997" customFormat="1">
      <c r="A212" s="3201"/>
      <c r="C212" s="3202"/>
      <c r="E212" s="3201"/>
    </row>
    <row r="213" spans="1:5" s="1997" customFormat="1">
      <c r="A213" s="3201"/>
      <c r="C213" s="3202"/>
      <c r="E213" s="3201"/>
    </row>
    <row r="214" spans="1:5" s="1997" customFormat="1">
      <c r="A214" s="3201"/>
      <c r="C214" s="3202"/>
      <c r="E214" s="3201"/>
    </row>
    <row r="215" spans="1:5" s="1997" customFormat="1">
      <c r="A215" s="3201"/>
      <c r="C215" s="3202"/>
      <c r="E215" s="3201"/>
    </row>
    <row r="216" spans="1:5" s="1997" customFormat="1">
      <c r="A216" s="3201"/>
      <c r="C216" s="3202"/>
      <c r="E216" s="3201"/>
    </row>
    <row r="217" spans="1:5" s="1997" customFormat="1">
      <c r="A217" s="3201"/>
      <c r="C217" s="3202"/>
      <c r="E217" s="3201"/>
    </row>
    <row r="218" spans="1:5" s="1997" customFormat="1">
      <c r="A218" s="3201"/>
      <c r="C218" s="3202"/>
      <c r="E218" s="3201"/>
    </row>
    <row r="219" spans="1:5" s="1997" customFormat="1">
      <c r="A219" s="3201"/>
      <c r="C219" s="3202"/>
      <c r="E219" s="3201"/>
    </row>
    <row r="220" spans="1:5" s="1997" customFormat="1">
      <c r="A220" s="3201"/>
      <c r="C220" s="3202"/>
      <c r="E220" s="3201"/>
    </row>
    <row r="221" spans="1:5" s="1997" customFormat="1">
      <c r="A221" s="3201"/>
      <c r="C221" s="3202"/>
      <c r="E221" s="3201"/>
    </row>
    <row r="222" spans="1:5" s="1997" customFormat="1">
      <c r="A222" s="3201"/>
      <c r="C222" s="3202"/>
      <c r="E222" s="3201"/>
    </row>
    <row r="223" spans="1:5" s="1997" customFormat="1">
      <c r="A223" s="3201"/>
      <c r="C223" s="3202"/>
      <c r="E223" s="3201"/>
    </row>
    <row r="224" spans="1:5" s="1997" customFormat="1">
      <c r="A224" s="3201"/>
      <c r="C224" s="3202"/>
      <c r="E224" s="3201"/>
    </row>
    <row r="225" spans="1:5" s="1997" customFormat="1">
      <c r="A225" s="3201"/>
      <c r="C225" s="3202"/>
      <c r="E225" s="3201"/>
    </row>
  </sheetData>
  <sheetProtection password="CEE9"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zoomScale="60" zoomScaleNormal="95" workbookViewId="0">
      <selection activeCell="F9" sqref="F9:F47"/>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6" t="s">
        <v>508</v>
      </c>
      <c r="B1" s="497"/>
      <c r="C1" s="498" t="s">
        <v>509</v>
      </c>
      <c r="D1" s="499" t="s">
        <v>510</v>
      </c>
      <c r="E1" s="500"/>
      <c r="F1" s="422"/>
      <c r="G1" s="500"/>
      <c r="H1" s="500"/>
      <c r="I1" s="500"/>
      <c r="J1" s="500"/>
      <c r="K1" s="501"/>
      <c r="L1" s="3206"/>
      <c r="M1" s="3207"/>
      <c r="N1" s="3207"/>
      <c r="O1" s="3207"/>
      <c r="P1" s="2014"/>
      <c r="Q1" s="2014"/>
      <c r="R1" s="2014"/>
      <c r="S1" s="2014"/>
      <c r="T1" s="2014"/>
      <c r="U1" s="2014"/>
      <c r="V1" s="2014"/>
      <c r="W1" s="2014"/>
      <c r="X1" s="2014"/>
      <c r="Y1" s="2014"/>
      <c r="Z1" s="2014"/>
      <c r="AA1" s="2014"/>
      <c r="AB1" s="2014"/>
      <c r="AC1" s="3208"/>
      <c r="AD1" s="1288"/>
    </row>
    <row r="2" spans="1:30" s="1289" customFormat="1" ht="28.5" customHeight="1">
      <c r="A2" s="417" t="s">
        <v>459</v>
      </c>
      <c r="B2" s="502" t="e">
        <f>F68</f>
        <v>#DIV/0!</v>
      </c>
      <c r="C2" s="3216"/>
      <c r="D2" s="3216"/>
      <c r="E2" s="3218"/>
      <c r="F2" s="3219"/>
      <c r="G2" s="3218"/>
      <c r="H2" s="3218"/>
      <c r="I2" s="3218"/>
      <c r="J2" s="3218"/>
      <c r="K2" s="3220"/>
      <c r="L2" s="2013"/>
      <c r="M2" s="2014"/>
      <c r="N2" s="2014"/>
      <c r="O2" s="2014"/>
      <c r="P2" s="2014"/>
      <c r="Q2" s="2014"/>
      <c r="R2" s="2014"/>
      <c r="S2" s="2014"/>
      <c r="T2" s="2014"/>
      <c r="U2" s="2014"/>
      <c r="V2" s="2014"/>
      <c r="W2" s="2014"/>
      <c r="X2" s="2014"/>
      <c r="Y2" s="2014"/>
      <c r="Z2" s="2014"/>
      <c r="AA2" s="2014"/>
      <c r="AB2" s="2014"/>
      <c r="AC2" s="3208"/>
      <c r="AD2" s="1288"/>
    </row>
    <row r="3" spans="1:30" s="1289" customFormat="1" ht="28.5" customHeight="1">
      <c r="A3" s="1330" t="s">
        <v>1670</v>
      </c>
      <c r="B3" s="504" t="e">
        <f>ROUND(B2*10000/'数据-汇总表'!E3,0)</f>
        <v>#DIV/0!</v>
      </c>
      <c r="C3" s="3217"/>
      <c r="D3" s="3221"/>
      <c r="E3" s="3217"/>
      <c r="F3" s="3217"/>
      <c r="G3" s="3218"/>
      <c r="H3" s="3218"/>
      <c r="I3" s="3218"/>
      <c r="J3" s="3218"/>
      <c r="K3" s="3220"/>
      <c r="L3" s="2013"/>
      <c r="M3" s="2014"/>
      <c r="N3" s="2014"/>
      <c r="O3" s="2014"/>
      <c r="P3" s="2014"/>
      <c r="Q3" s="2014"/>
      <c r="R3" s="2014"/>
      <c r="S3" s="2014"/>
      <c r="T3" s="2014"/>
      <c r="U3" s="2014"/>
      <c r="V3" s="2014"/>
      <c r="W3" s="2014"/>
      <c r="X3" s="2014"/>
      <c r="Y3" s="2014"/>
      <c r="Z3" s="2014"/>
      <c r="AA3" s="2014"/>
      <c r="AB3" s="3209"/>
      <c r="AC3" s="1944"/>
    </row>
    <row r="4" spans="1:30" s="1289" customFormat="1" ht="28.5" customHeight="1">
      <c r="A4" s="505" t="s">
        <v>512</v>
      </c>
      <c r="B4" s="421" t="e">
        <f>IF(B48="单位面积地价",C50,ROUND(B2*10000/'数据-汇总表'!D3,0))</f>
        <v>#DIV/0!</v>
      </c>
      <c r="C4" s="3217"/>
      <c r="D4" s="3221"/>
      <c r="E4" s="3217"/>
      <c r="F4" s="3217"/>
      <c r="G4" s="3218"/>
      <c r="H4" s="3218"/>
      <c r="I4" s="3218"/>
      <c r="J4" s="3218"/>
      <c r="K4" s="3220"/>
      <c r="L4" s="2013"/>
      <c r="M4" s="2014"/>
      <c r="N4" s="2014"/>
      <c r="O4" s="2014"/>
      <c r="P4" s="2014"/>
      <c r="Q4" s="2014"/>
      <c r="R4" s="2014"/>
      <c r="S4" s="2014"/>
      <c r="T4" s="2014"/>
      <c r="U4" s="2014"/>
      <c r="V4" s="2014"/>
      <c r="W4" s="2014"/>
      <c r="X4" s="2014"/>
      <c r="Y4" s="2014"/>
      <c r="Z4" s="2014"/>
      <c r="AA4" s="2014"/>
      <c r="AB4" s="2014"/>
      <c r="AC4" s="1944"/>
    </row>
    <row r="5" spans="1:30" s="1289" customFormat="1" ht="28.5" customHeight="1" thickBot="1">
      <c r="A5" s="423"/>
      <c r="B5" s="424" t="e">
        <f>ROUND(B2/('数据-汇总表'!D3/666.67),0)</f>
        <v>#DIV/0!</v>
      </c>
      <c r="C5" s="425" t="s">
        <v>461</v>
      </c>
      <c r="D5" s="3217"/>
      <c r="E5" s="3217"/>
      <c r="F5" s="3217"/>
      <c r="G5" s="3218"/>
      <c r="H5" s="3218"/>
      <c r="I5" s="3218"/>
      <c r="J5" s="3218"/>
      <c r="K5" s="3220"/>
      <c r="L5" s="2013"/>
      <c r="M5" s="2014"/>
      <c r="N5" s="2014"/>
      <c r="O5" s="2014"/>
      <c r="P5" s="2014"/>
      <c r="Q5" s="2014"/>
      <c r="R5" s="2014"/>
      <c r="S5" s="2014"/>
      <c r="T5" s="2014"/>
      <c r="U5" s="2014"/>
      <c r="V5" s="2014"/>
      <c r="W5" s="2014"/>
      <c r="X5" s="2014"/>
      <c r="Y5" s="2014"/>
      <c r="Z5" s="2014"/>
      <c r="AA5" s="2014"/>
      <c r="AB5" s="2014"/>
      <c r="AC5" s="1944"/>
    </row>
    <row r="6" spans="1:30" ht="20.25">
      <c r="A6" s="506" t="s">
        <v>513</v>
      </c>
      <c r="B6" s="507"/>
      <c r="C6" s="3580" t="s">
        <v>514</v>
      </c>
      <c r="D6" s="3581"/>
      <c r="E6" s="3580" t="s">
        <v>515</v>
      </c>
      <c r="F6" s="3581"/>
      <c r="G6" s="3580" t="s">
        <v>516</v>
      </c>
      <c r="H6" s="3581"/>
      <c r="I6" s="3580" t="s">
        <v>517</v>
      </c>
      <c r="J6" s="3581"/>
      <c r="K6" s="508" t="s">
        <v>518</v>
      </c>
      <c r="L6" s="2015"/>
      <c r="M6" s="2014"/>
      <c r="N6" s="2014"/>
      <c r="O6" s="2016"/>
      <c r="P6" s="3582" t="s">
        <v>519</v>
      </c>
      <c r="Q6" s="3583"/>
      <c r="R6" s="3568" t="s">
        <v>515</v>
      </c>
      <c r="S6" s="3569"/>
      <c r="T6" s="3568" t="s">
        <v>516</v>
      </c>
      <c r="U6" s="3569"/>
      <c r="V6" s="3588" t="s">
        <v>517</v>
      </c>
      <c r="W6" s="3588"/>
      <c r="X6" s="1501"/>
      <c r="Y6" s="3568" t="s">
        <v>519</v>
      </c>
      <c r="Z6" s="3569"/>
      <c r="AA6" s="3563" t="s">
        <v>515</v>
      </c>
      <c r="AB6" s="3564" t="s">
        <v>516</v>
      </c>
      <c r="AC6" s="3563" t="s">
        <v>517</v>
      </c>
    </row>
    <row r="7" spans="1:30" ht="20.25">
      <c r="A7" s="509"/>
      <c r="B7" s="510"/>
      <c r="C7" s="3591" t="s">
        <v>2887</v>
      </c>
      <c r="D7" s="3592"/>
      <c r="E7" s="3591" t="s">
        <v>2888</v>
      </c>
      <c r="F7" s="3592"/>
      <c r="G7" s="3591" t="s">
        <v>2889</v>
      </c>
      <c r="H7" s="3592"/>
      <c r="I7" s="3591" t="s">
        <v>2890</v>
      </c>
      <c r="J7" s="3592"/>
      <c r="K7" s="508"/>
      <c r="L7" s="2015"/>
      <c r="M7" s="2014"/>
      <c r="N7" s="2014"/>
      <c r="O7" s="2016"/>
      <c r="P7" s="3584"/>
      <c r="Q7" s="3585"/>
      <c r="R7" s="3570"/>
      <c r="S7" s="3571"/>
      <c r="T7" s="3570"/>
      <c r="U7" s="3571"/>
      <c r="V7" s="3588"/>
      <c r="W7" s="3588"/>
      <c r="X7" s="1501"/>
      <c r="Y7" s="3570"/>
      <c r="Z7" s="3571"/>
      <c r="AA7" s="3564"/>
      <c r="AB7" s="3564"/>
      <c r="AC7" s="3564"/>
    </row>
    <row r="8" spans="1:30" ht="21" thickBot="1">
      <c r="A8" s="509"/>
      <c r="B8" s="510"/>
      <c r="C8" s="3593" t="s">
        <v>2891</v>
      </c>
      <c r="D8" s="3594"/>
      <c r="E8" s="3593" t="s">
        <v>2891</v>
      </c>
      <c r="F8" s="3594"/>
      <c r="G8" s="3589" t="s">
        <v>2891</v>
      </c>
      <c r="H8" s="3590"/>
      <c r="I8" s="3589" t="s">
        <v>2891</v>
      </c>
      <c r="J8" s="3590"/>
      <c r="K8" s="508" t="s">
        <v>520</v>
      </c>
      <c r="L8" s="2015"/>
      <c r="M8" s="2014"/>
      <c r="N8" s="2014"/>
      <c r="O8" s="2016"/>
      <c r="P8" s="3586"/>
      <c r="Q8" s="3587"/>
      <c r="R8" s="3570"/>
      <c r="S8" s="3571"/>
      <c r="T8" s="3572"/>
      <c r="U8" s="3573"/>
      <c r="V8" s="3588"/>
      <c r="W8" s="3588"/>
      <c r="X8" s="1501"/>
      <c r="Y8" s="3572"/>
      <c r="Z8" s="3573"/>
      <c r="AA8" s="3565"/>
      <c r="AB8" s="3565"/>
      <c r="AC8" s="3565"/>
    </row>
    <row r="9" spans="1:30" s="1202" customFormat="1" ht="21" thickBot="1">
      <c r="A9" s="2629"/>
      <c r="B9" s="2636" t="s">
        <v>521</v>
      </c>
      <c r="C9" s="2628">
        <f>'数据-取费表'!B2</f>
        <v>44463</v>
      </c>
      <c r="D9" s="514">
        <v>100</v>
      </c>
      <c r="E9" s="515"/>
      <c r="F9" s="516">
        <f>SUMIF(72:72,YEAR(E9)&amp;"-"&amp;INT((MONTH(E9)+2)/3),73:73)</f>
        <v>0</v>
      </c>
      <c r="G9" s="517"/>
      <c r="H9" s="514">
        <f>SUMIF(72:72,YEAR(G9)&amp;"-"&amp;INT((MONTH(G9)+2)/3),73:73)</f>
        <v>0</v>
      </c>
      <c r="I9" s="517"/>
      <c r="J9" s="514">
        <f>SUMIF(72:72,YEAR(I9)&amp;"-"&amp;INT((MONTH(I9)+2)/3),73:73)</f>
        <v>0</v>
      </c>
      <c r="K9" s="518"/>
      <c r="L9" s="2017"/>
      <c r="M9" s="2014"/>
      <c r="N9" s="2014"/>
      <c r="O9" s="2018"/>
      <c r="P9" s="3566" t="s">
        <v>522</v>
      </c>
      <c r="Q9" s="3575"/>
      <c r="R9" s="1502" t="s">
        <v>8</v>
      </c>
      <c r="S9" s="1503">
        <f t="shared" ref="S9:S17" si="0">F9</f>
        <v>0</v>
      </c>
      <c r="T9" s="1502" t="s">
        <v>8</v>
      </c>
      <c r="U9" s="1503">
        <f t="shared" ref="U9:U17" si="1">H9</f>
        <v>0</v>
      </c>
      <c r="V9" s="1502" t="s">
        <v>8</v>
      </c>
      <c r="W9" s="1503">
        <f t="shared" ref="W9:W17" si="2">J9</f>
        <v>0</v>
      </c>
      <c r="X9" s="1504"/>
      <c r="Y9" s="3566" t="s">
        <v>522</v>
      </c>
      <c r="Z9" s="3567"/>
      <c r="AA9" s="1505" t="e">
        <f>D9/F9</f>
        <v>#DIV/0!</v>
      </c>
      <c r="AB9" s="1505" t="e">
        <f>D9/H9</f>
        <v>#DIV/0!</v>
      </c>
      <c r="AC9" s="1505" t="e">
        <f>D9/J9</f>
        <v>#DIV/0!</v>
      </c>
    </row>
    <row r="10" spans="1:30" s="1202" customFormat="1" ht="21" thickBot="1">
      <c r="A10" s="2630"/>
      <c r="B10" s="2637" t="s">
        <v>523</v>
      </c>
      <c r="C10" s="845" t="s">
        <v>524</v>
      </c>
      <c r="D10" s="514">
        <v>100</v>
      </c>
      <c r="E10" s="519"/>
      <c r="F10" s="516">
        <f>SUMIF(75:75,E10,76:76)-SUMIF(75:75,C10,76:76)+100</f>
        <v>0</v>
      </c>
      <c r="G10" s="519"/>
      <c r="H10" s="514">
        <f>SUMIF(75:75,G10,76:76)-SUMIF(75:75,C10,76:76)+100</f>
        <v>0</v>
      </c>
      <c r="I10" s="519"/>
      <c r="J10" s="514">
        <f>SUMIF(75:75,I10,76:76)-SUMIF(75:75,C10,76:76)+100</f>
        <v>0</v>
      </c>
      <c r="K10" s="518"/>
      <c r="L10" s="2017"/>
      <c r="M10" s="2014"/>
      <c r="N10" s="2014"/>
      <c r="O10" s="2018"/>
      <c r="P10" s="3566" t="s">
        <v>525</v>
      </c>
      <c r="Q10" s="3567"/>
      <c r="R10" s="1502" t="s">
        <v>8</v>
      </c>
      <c r="S10" s="1503">
        <f t="shared" si="0"/>
        <v>0</v>
      </c>
      <c r="T10" s="1502" t="s">
        <v>8</v>
      </c>
      <c r="U10" s="1503">
        <f t="shared" si="1"/>
        <v>0</v>
      </c>
      <c r="V10" s="1502" t="s">
        <v>8</v>
      </c>
      <c r="W10" s="1503">
        <f t="shared" si="2"/>
        <v>0</v>
      </c>
      <c r="X10" s="1504"/>
      <c r="Y10" s="3566" t="s">
        <v>525</v>
      </c>
      <c r="Z10" s="3567"/>
      <c r="AA10" s="1505" t="e">
        <f t="shared" ref="AA10:AA47" si="3">D10/F10</f>
        <v>#DIV/0!</v>
      </c>
      <c r="AB10" s="1505" t="e">
        <f t="shared" ref="AB10:AB47" si="4">D10/H10</f>
        <v>#DIV/0!</v>
      </c>
      <c r="AC10" s="1505" t="e">
        <f t="shared" ref="AC10:AC47" si="5">D10/J10</f>
        <v>#DIV/0!</v>
      </c>
    </row>
    <row r="11" spans="1:30" s="1202" customFormat="1" ht="20.25">
      <c r="A11" s="2631"/>
      <c r="B11" s="2638" t="s">
        <v>2731</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574" t="s">
        <v>527</v>
      </c>
      <c r="Q11" s="1133" t="str">
        <f t="shared" ref="Q11:Q17" si="6">B11</f>
        <v>用途</v>
      </c>
      <c r="R11" s="1502" t="s">
        <v>8</v>
      </c>
      <c r="S11" s="1503">
        <f t="shared" si="0"/>
        <v>100</v>
      </c>
      <c r="T11" s="1502" t="s">
        <v>8</v>
      </c>
      <c r="U11" s="1503">
        <f t="shared" si="1"/>
        <v>100</v>
      </c>
      <c r="V11" s="1502" t="s">
        <v>8</v>
      </c>
      <c r="W11" s="1503">
        <f t="shared" si="2"/>
        <v>100</v>
      </c>
      <c r="X11" s="1504"/>
      <c r="Y11" s="3525" t="s">
        <v>528</v>
      </c>
      <c r="Z11" s="1132" t="str">
        <f t="shared" ref="Z11:Z17" si="7">Q11</f>
        <v>用途</v>
      </c>
      <c r="AA11" s="1505">
        <f t="shared" si="3"/>
        <v>1</v>
      </c>
      <c r="AB11" s="1505">
        <f t="shared" si="4"/>
        <v>1</v>
      </c>
      <c r="AC11" s="1505">
        <f t="shared" si="5"/>
        <v>1</v>
      </c>
    </row>
    <row r="12" spans="1:30" s="1291" customFormat="1" ht="27">
      <c r="A12" s="2632"/>
      <c r="B12" s="2637" t="s">
        <v>2732</v>
      </c>
      <c r="C12" s="899"/>
      <c r="D12" s="253">
        <v>100</v>
      </c>
      <c r="E12" s="523"/>
      <c r="F12" s="253">
        <f>ROUND(100/'数据-取费表'!G16,0)</f>
        <v>100</v>
      </c>
      <c r="G12" s="524"/>
      <c r="H12" s="253">
        <f>ROUND(100/'数据-取费表'!G16,0)</f>
        <v>100</v>
      </c>
      <c r="I12" s="524"/>
      <c r="J12" s="253">
        <f>ROUND(100/'数据-取费表'!G16,0)</f>
        <v>100</v>
      </c>
      <c r="K12" s="525"/>
      <c r="L12" s="2020"/>
      <c r="M12" s="2014"/>
      <c r="N12" s="2014"/>
      <c r="O12" s="2021"/>
      <c r="P12" s="3574"/>
      <c r="Q12" s="1133" t="str">
        <f t="shared" si="6"/>
        <v>土地使用年限（年）</v>
      </c>
      <c r="R12" s="1502" t="s">
        <v>8</v>
      </c>
      <c r="S12" s="1503">
        <f t="shared" si="0"/>
        <v>100</v>
      </c>
      <c r="T12" s="1502" t="s">
        <v>8</v>
      </c>
      <c r="U12" s="1503">
        <f t="shared" si="1"/>
        <v>100</v>
      </c>
      <c r="V12" s="1502" t="s">
        <v>8</v>
      </c>
      <c r="W12" s="1503">
        <f t="shared" si="2"/>
        <v>100</v>
      </c>
      <c r="X12" s="1504"/>
      <c r="Y12" s="3525"/>
      <c r="Z12" s="1132" t="str">
        <f t="shared" si="7"/>
        <v>土地使用年限（年）</v>
      </c>
      <c r="AA12" s="1505">
        <f t="shared" si="3"/>
        <v>1</v>
      </c>
      <c r="AB12" s="1505">
        <f t="shared" si="4"/>
        <v>1</v>
      </c>
      <c r="AC12" s="1505">
        <f t="shared" si="5"/>
        <v>1</v>
      </c>
    </row>
    <row r="13" spans="1:30" ht="20.25">
      <c r="A13" s="2633"/>
      <c r="B13" s="2637" t="s">
        <v>2733</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2"/>
      <c r="M13" s="2014"/>
      <c r="N13" s="2014"/>
      <c r="O13" s="2023"/>
      <c r="P13" s="3574"/>
      <c r="Q13" s="1133" t="str">
        <f t="shared" si="6"/>
        <v>容积率</v>
      </c>
      <c r="R13" s="1502" t="s">
        <v>8</v>
      </c>
      <c r="S13" s="1503" t="e">
        <f t="shared" si="0"/>
        <v>#N/A</v>
      </c>
      <c r="T13" s="1502" t="s">
        <v>8</v>
      </c>
      <c r="U13" s="1503" t="e">
        <f t="shared" si="1"/>
        <v>#N/A</v>
      </c>
      <c r="V13" s="1502" t="s">
        <v>8</v>
      </c>
      <c r="W13" s="1503" t="e">
        <f t="shared" si="2"/>
        <v>#N/A</v>
      </c>
      <c r="X13" s="1504"/>
      <c r="Y13" s="3525"/>
      <c r="Z13" s="1132" t="str">
        <f t="shared" si="7"/>
        <v>容积率</v>
      </c>
      <c r="AA13" s="1505" t="e">
        <f t="shared" si="3"/>
        <v>#N/A</v>
      </c>
      <c r="AB13" s="1505" t="e">
        <f t="shared" si="4"/>
        <v>#N/A</v>
      </c>
      <c r="AC13" s="1505" t="e">
        <f t="shared" si="5"/>
        <v>#N/A</v>
      </c>
    </row>
    <row r="14" spans="1:30" s="1202" customFormat="1" ht="20.25">
      <c r="A14" s="2630"/>
      <c r="B14" s="2639" t="s">
        <v>2734</v>
      </c>
      <c r="C14" s="2626"/>
      <c r="D14" s="532">
        <v>100</v>
      </c>
      <c r="E14" s="1325"/>
      <c r="F14" s="253">
        <f>SUMIF(84:84,E14,85:85)-SUMIF(84:84,C14,85:85)+100</f>
        <v>100</v>
      </c>
      <c r="G14" s="524"/>
      <c r="H14" s="253">
        <f>SUMIF(84:84,G14,85:85)-SUMIF(84:84,C14,85:85)+100</f>
        <v>100</v>
      </c>
      <c r="I14" s="523"/>
      <c r="J14" s="253">
        <f>SUMIF(84:84,I14,85:85)-SUMIF(84:84,C14,85:85)+100</f>
        <v>100</v>
      </c>
      <c r="K14" s="525"/>
      <c r="L14" s="2017"/>
      <c r="M14" s="2014"/>
      <c r="N14" s="2014"/>
      <c r="O14" s="2019"/>
      <c r="P14" s="3574"/>
      <c r="Q14" s="1133" t="str">
        <f t="shared" si="6"/>
        <v>配建</v>
      </c>
      <c r="R14" s="1502" t="s">
        <v>8</v>
      </c>
      <c r="S14" s="1503">
        <f t="shared" si="0"/>
        <v>100</v>
      </c>
      <c r="T14" s="1502" t="s">
        <v>8</v>
      </c>
      <c r="U14" s="1503">
        <f t="shared" si="1"/>
        <v>100</v>
      </c>
      <c r="V14" s="1502" t="s">
        <v>8</v>
      </c>
      <c r="W14" s="1503">
        <f t="shared" si="2"/>
        <v>100</v>
      </c>
      <c r="X14" s="1504"/>
      <c r="Y14" s="3525"/>
      <c r="Z14" s="1132" t="str">
        <f t="shared" si="7"/>
        <v>配建</v>
      </c>
      <c r="AA14" s="1505">
        <f>D14/F14</f>
        <v>1</v>
      </c>
      <c r="AB14" s="1505">
        <f>D14/H14</f>
        <v>1</v>
      </c>
      <c r="AC14" s="1505">
        <f>D14/J14</f>
        <v>1</v>
      </c>
    </row>
    <row r="15" spans="1:30" ht="20.25">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574"/>
      <c r="Q15" s="1133">
        <f t="shared" si="6"/>
        <v>111</v>
      </c>
      <c r="R15" s="1502" t="s">
        <v>8</v>
      </c>
      <c r="S15" s="1503">
        <f t="shared" si="0"/>
        <v>100</v>
      </c>
      <c r="T15" s="1502" t="s">
        <v>8</v>
      </c>
      <c r="U15" s="1503">
        <f t="shared" si="1"/>
        <v>100</v>
      </c>
      <c r="V15" s="1502" t="s">
        <v>8</v>
      </c>
      <c r="W15" s="1503">
        <f t="shared" si="2"/>
        <v>100</v>
      </c>
      <c r="X15" s="1504"/>
      <c r="Y15" s="3525"/>
      <c r="Z15" s="1132">
        <f t="shared" si="7"/>
        <v>111</v>
      </c>
      <c r="AA15" s="1505">
        <f>D15/F15</f>
        <v>1</v>
      </c>
      <c r="AB15" s="1505">
        <f>D15/H15</f>
        <v>1</v>
      </c>
      <c r="AC15" s="1505">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574"/>
      <c r="Q16" s="1133">
        <f t="shared" si="6"/>
        <v>111</v>
      </c>
      <c r="R16" s="1502" t="s">
        <v>8</v>
      </c>
      <c r="S16" s="1503">
        <f t="shared" si="0"/>
        <v>100</v>
      </c>
      <c r="T16" s="1502" t="s">
        <v>8</v>
      </c>
      <c r="U16" s="1503">
        <f t="shared" si="1"/>
        <v>100</v>
      </c>
      <c r="V16" s="1502" t="s">
        <v>8</v>
      </c>
      <c r="W16" s="1503">
        <f t="shared" si="2"/>
        <v>100</v>
      </c>
      <c r="X16" s="1504"/>
      <c r="Y16" s="3525"/>
      <c r="Z16" s="1132">
        <f t="shared" si="7"/>
        <v>111</v>
      </c>
      <c r="AA16" s="1505">
        <f>D16/F16</f>
        <v>1</v>
      </c>
      <c r="AB16" s="1505">
        <f>D16/H16</f>
        <v>1</v>
      </c>
      <c r="AC16" s="1505">
        <f>D16/J16</f>
        <v>1</v>
      </c>
    </row>
    <row r="17" spans="1:29" ht="142.5">
      <c r="A17" s="2627" t="s">
        <v>2729</v>
      </c>
      <c r="B17" s="572" t="s">
        <v>293</v>
      </c>
      <c r="C17" s="542" t="str">
        <f>估价对象房地状况!C15</f>
        <v>估价对象位于北京市通州区经济开发区西区南扩区，周边有芳草园小区、环湖小镇、月亮湾小镇、太玉园等住宅小区，入住率较好，居住社区成熟度一般。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576" t="s">
        <v>532</v>
      </c>
      <c r="Q17" s="1506" t="str">
        <f t="shared" si="6"/>
        <v>居住社区成熟度</v>
      </c>
      <c r="R17" s="1507" t="s">
        <v>8</v>
      </c>
      <c r="S17" s="1508">
        <f t="shared" si="0"/>
        <v>100</v>
      </c>
      <c r="T17" s="1507" t="s">
        <v>8</v>
      </c>
      <c r="U17" s="1508">
        <f t="shared" si="1"/>
        <v>100</v>
      </c>
      <c r="V17" s="1507" t="s">
        <v>8</v>
      </c>
      <c r="W17" s="1508">
        <f t="shared" si="2"/>
        <v>100</v>
      </c>
      <c r="X17" s="1501"/>
      <c r="Y17" s="3576" t="s">
        <v>532</v>
      </c>
      <c r="Z17" s="1509" t="str">
        <f t="shared" si="7"/>
        <v>居住社区成熟度</v>
      </c>
      <c r="AA17" s="1510">
        <f t="shared" si="3"/>
        <v>1</v>
      </c>
      <c r="AB17" s="1510">
        <f t="shared" si="4"/>
        <v>1</v>
      </c>
      <c r="AC17" s="1510">
        <f t="shared" si="5"/>
        <v>1</v>
      </c>
    </row>
    <row r="18" spans="1:29" ht="20.25">
      <c r="A18" s="526"/>
      <c r="B18" s="547"/>
      <c r="C18" s="548"/>
      <c r="D18" s="551"/>
      <c r="E18" s="552"/>
      <c r="F18" s="549"/>
      <c r="G18" s="550"/>
      <c r="H18" s="553"/>
      <c r="I18" s="552"/>
      <c r="J18" s="549"/>
      <c r="K18" s="525"/>
      <c r="L18" s="2024"/>
      <c r="M18" s="2014"/>
      <c r="N18" s="2014"/>
      <c r="O18" s="2023"/>
      <c r="P18" s="3577"/>
      <c r="Q18" s="1506"/>
      <c r="R18" s="1507"/>
      <c r="S18" s="1508"/>
      <c r="T18" s="1507"/>
      <c r="U18" s="1508"/>
      <c r="V18" s="1507"/>
      <c r="W18" s="1508"/>
      <c r="X18" s="1501"/>
      <c r="Y18" s="3577"/>
      <c r="Z18" s="1509"/>
      <c r="AA18" s="1510">
        <v>1</v>
      </c>
      <c r="AB18" s="1510">
        <v>1</v>
      </c>
      <c r="AC18" s="1510">
        <v>1</v>
      </c>
    </row>
    <row r="19" spans="1:29" ht="185.25">
      <c r="A19" s="526"/>
      <c r="B19" s="554" t="s">
        <v>533</v>
      </c>
      <c r="C19" s="555" t="str">
        <f>估价对象房地状况!C16</f>
        <v>估价对象位于通州区经济开发区西区南扩区，估价对象周边有世纪华联超市、福联美超市、美乐购超市、新世纪大卖场等商业服务设施，距离均在2公里范围外，且分布较为分散，综合考虑商业繁华度一般。</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577"/>
      <c r="Q19" s="1506" t="str">
        <f>B19</f>
        <v>商业繁华度</v>
      </c>
      <c r="R19" s="1507" t="s">
        <v>8</v>
      </c>
      <c r="S19" s="1508">
        <f>F19</f>
        <v>100</v>
      </c>
      <c r="T19" s="1507" t="s">
        <v>8</v>
      </c>
      <c r="U19" s="1508">
        <f>H19</f>
        <v>100</v>
      </c>
      <c r="V19" s="1507" t="s">
        <v>8</v>
      </c>
      <c r="W19" s="1508">
        <f>J19</f>
        <v>100</v>
      </c>
      <c r="X19" s="1501"/>
      <c r="Y19" s="3577"/>
      <c r="Z19" s="1509" t="str">
        <f>Q19</f>
        <v>商业繁华度</v>
      </c>
      <c r="AA19" s="1510">
        <f t="shared" si="3"/>
        <v>1</v>
      </c>
      <c r="AB19" s="1510">
        <f t="shared" si="4"/>
        <v>1</v>
      </c>
      <c r="AC19" s="1510">
        <f t="shared" si="5"/>
        <v>1</v>
      </c>
    </row>
    <row r="20" spans="1:29" ht="20.25">
      <c r="A20" s="526"/>
      <c r="B20" s="560"/>
      <c r="C20" s="561"/>
      <c r="D20" s="557"/>
      <c r="E20" s="563"/>
      <c r="F20" s="553"/>
      <c r="G20" s="562"/>
      <c r="H20" s="549"/>
      <c r="I20" s="563"/>
      <c r="J20" s="549"/>
      <c r="K20" s="525"/>
      <c r="L20" s="2024"/>
      <c r="M20" s="2014"/>
      <c r="N20" s="2014"/>
      <c r="O20" s="2023"/>
      <c r="P20" s="3577"/>
      <c r="Q20" s="1506"/>
      <c r="R20" s="1507"/>
      <c r="S20" s="1508"/>
      <c r="T20" s="1507"/>
      <c r="U20" s="1508"/>
      <c r="V20" s="1507"/>
      <c r="W20" s="1508"/>
      <c r="X20" s="1501"/>
      <c r="Y20" s="3577"/>
      <c r="Z20" s="1509"/>
      <c r="AA20" s="1510">
        <v>1</v>
      </c>
      <c r="AB20" s="1510">
        <v>1</v>
      </c>
      <c r="AC20" s="1510">
        <v>1</v>
      </c>
    </row>
    <row r="21" spans="1:29" ht="99.75">
      <c r="A21" s="526"/>
      <c r="B21" s="554" t="s">
        <v>534</v>
      </c>
      <c r="C21" s="555" t="str">
        <f>估价对象房地状况!C17</f>
        <v>估价对象周边有科技大厦、森工大厦、方和正元工业园等办公楼项目，但分布较为分散，办公集聚程度一般。</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77"/>
      <c r="Q21" s="1506" t="str">
        <f>B21</f>
        <v>办公集聚程度</v>
      </c>
      <c r="R21" s="1507" t="s">
        <v>8</v>
      </c>
      <c r="S21" s="1508">
        <f>F21</f>
        <v>100</v>
      </c>
      <c r="T21" s="1507" t="s">
        <v>8</v>
      </c>
      <c r="U21" s="1508">
        <f>H21</f>
        <v>100</v>
      </c>
      <c r="V21" s="1507" t="s">
        <v>8</v>
      </c>
      <c r="W21" s="1508">
        <f>J21</f>
        <v>100</v>
      </c>
      <c r="X21" s="1501"/>
      <c r="Y21" s="3577"/>
      <c r="Z21" s="1509" t="str">
        <f>Q21</f>
        <v>办公集聚程度</v>
      </c>
      <c r="AA21" s="1510">
        <f t="shared" si="3"/>
        <v>1</v>
      </c>
      <c r="AB21" s="1510">
        <f t="shared" si="4"/>
        <v>1</v>
      </c>
      <c r="AC21" s="1510">
        <f t="shared" si="5"/>
        <v>1</v>
      </c>
    </row>
    <row r="22" spans="1:29" ht="20.25">
      <c r="A22" s="526"/>
      <c r="B22" s="560"/>
      <c r="C22" s="548"/>
      <c r="D22" s="551"/>
      <c r="E22" s="552"/>
      <c r="F22" s="549"/>
      <c r="G22" s="550"/>
      <c r="H22" s="549"/>
      <c r="I22" s="552"/>
      <c r="J22" s="549"/>
      <c r="K22" s="525"/>
      <c r="L22" s="2024"/>
      <c r="M22" s="2014"/>
      <c r="N22" s="2014"/>
      <c r="O22" s="2023"/>
      <c r="P22" s="3577"/>
      <c r="Q22" s="1506"/>
      <c r="R22" s="1507"/>
      <c r="S22" s="1508"/>
      <c r="T22" s="1507"/>
      <c r="U22" s="1508"/>
      <c r="V22" s="1507"/>
      <c r="W22" s="1508"/>
      <c r="X22" s="1501"/>
      <c r="Y22" s="3577"/>
      <c r="Z22" s="1509"/>
      <c r="AA22" s="1510">
        <v>1</v>
      </c>
      <c r="AB22" s="1510">
        <v>1</v>
      </c>
      <c r="AC22" s="1510">
        <v>1</v>
      </c>
    </row>
    <row r="23" spans="1:29" ht="99.75">
      <c r="A23" s="526"/>
      <c r="B23" s="554" t="s">
        <v>535</v>
      </c>
      <c r="C23" s="567" t="str">
        <f>估价对象房地状况!C18</f>
        <v>估价对象周边有通14路、通50路、通64路等公交线路；距地铁7号线（花庄站）约2公里，交通便捷度一般</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577"/>
      <c r="Q23" s="1506" t="str">
        <f>B23</f>
        <v>交通便捷度</v>
      </c>
      <c r="R23" s="1507" t="s">
        <v>8</v>
      </c>
      <c r="S23" s="1508">
        <f>F23</f>
        <v>100</v>
      </c>
      <c r="T23" s="1507" t="s">
        <v>8</v>
      </c>
      <c r="U23" s="1508">
        <f>H23</f>
        <v>100</v>
      </c>
      <c r="V23" s="1507" t="s">
        <v>8</v>
      </c>
      <c r="W23" s="1508">
        <f>J23</f>
        <v>100</v>
      </c>
      <c r="X23" s="1501"/>
      <c r="Y23" s="3577"/>
      <c r="Z23" s="1509" t="str">
        <f>Q23</f>
        <v>交通便捷度</v>
      </c>
      <c r="AA23" s="1510">
        <f t="shared" si="3"/>
        <v>1</v>
      </c>
      <c r="AB23" s="1510">
        <f t="shared" si="4"/>
        <v>1</v>
      </c>
      <c r="AC23" s="1510">
        <f t="shared" si="5"/>
        <v>1</v>
      </c>
    </row>
    <row r="24" spans="1:29" ht="20.25">
      <c r="A24" s="526"/>
      <c r="B24" s="572"/>
      <c r="C24" s="548"/>
      <c r="D24" s="551"/>
      <c r="E24" s="552"/>
      <c r="F24" s="549"/>
      <c r="G24" s="550"/>
      <c r="H24" s="549"/>
      <c r="I24" s="552"/>
      <c r="J24" s="549"/>
      <c r="K24" s="525"/>
      <c r="L24" s="2024"/>
      <c r="M24" s="2014"/>
      <c r="N24" s="2014"/>
      <c r="O24" s="2023"/>
      <c r="P24" s="3577"/>
      <c r="Q24" s="1506"/>
      <c r="R24" s="1507"/>
      <c r="S24" s="1508"/>
      <c r="T24" s="1507"/>
      <c r="U24" s="1508"/>
      <c r="V24" s="1507"/>
      <c r="W24" s="1508"/>
      <c r="X24" s="1501"/>
      <c r="Y24" s="3577"/>
      <c r="Z24" s="1509"/>
      <c r="AA24" s="1510">
        <v>1</v>
      </c>
      <c r="AB24" s="1510">
        <v>1</v>
      </c>
      <c r="AC24" s="1510">
        <v>1</v>
      </c>
    </row>
    <row r="25" spans="1:29" ht="27">
      <c r="A25" s="509"/>
      <c r="B25" s="257" t="s">
        <v>536</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577"/>
      <c r="Q25" s="1506" t="str">
        <f t="shared" ref="Q25:Q39" si="8">B25</f>
        <v>区域土地利用方向</v>
      </c>
      <c r="R25" s="1507" t="s">
        <v>8</v>
      </c>
      <c r="S25" s="1508">
        <f>F25</f>
        <v>100</v>
      </c>
      <c r="T25" s="1507" t="s">
        <v>8</v>
      </c>
      <c r="U25" s="1508">
        <f>H25</f>
        <v>100</v>
      </c>
      <c r="V25" s="1507" t="s">
        <v>8</v>
      </c>
      <c r="W25" s="1508">
        <f>J25</f>
        <v>100</v>
      </c>
      <c r="X25" s="1501"/>
      <c r="Y25" s="3577"/>
      <c r="Z25" s="1509" t="str">
        <f>Q25</f>
        <v>区域土地利用方向</v>
      </c>
      <c r="AA25" s="1510">
        <f t="shared" si="3"/>
        <v>1</v>
      </c>
      <c r="AB25" s="1510">
        <f t="shared" si="4"/>
        <v>1</v>
      </c>
      <c r="AC25" s="1510">
        <f t="shared" si="5"/>
        <v>1</v>
      </c>
    </row>
    <row r="26" spans="1:29" ht="20.25">
      <c r="A26" s="509"/>
      <c r="B26" s="994"/>
      <c r="C26" s="548"/>
      <c r="D26" s="551"/>
      <c r="E26" s="552"/>
      <c r="F26" s="549"/>
      <c r="G26" s="550"/>
      <c r="H26" s="549"/>
      <c r="I26" s="552"/>
      <c r="J26" s="549"/>
      <c r="K26" s="525"/>
      <c r="L26" s="2024"/>
      <c r="M26" s="2014"/>
      <c r="N26" s="2014"/>
      <c r="O26" s="2023"/>
      <c r="P26" s="3577"/>
      <c r="Q26" s="1506"/>
      <c r="R26" s="1507"/>
      <c r="S26" s="1508"/>
      <c r="T26" s="1507"/>
      <c r="U26" s="1508"/>
      <c r="V26" s="1507"/>
      <c r="W26" s="1508"/>
      <c r="X26" s="1501"/>
      <c r="Y26" s="3577"/>
      <c r="Z26" s="1509"/>
      <c r="AA26" s="1510"/>
      <c r="AB26" s="1510"/>
      <c r="AC26" s="1510"/>
    </row>
    <row r="27" spans="1:29" ht="99.75">
      <c r="A27" s="509"/>
      <c r="B27" s="572" t="s">
        <v>537</v>
      </c>
      <c r="C27" s="555" t="str">
        <f>估价对象房地状况!C20</f>
        <v>区域自然环境：通州大运河森林公园、凉水河；人文环境：北京环球度假区；综合评价环境状况较好</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577"/>
      <c r="Q27" s="1506" t="str">
        <f t="shared" si="8"/>
        <v>自然及人文环境状况</v>
      </c>
      <c r="R27" s="1507" t="s">
        <v>8</v>
      </c>
      <c r="S27" s="1508">
        <f>F27</f>
        <v>100</v>
      </c>
      <c r="T27" s="1507" t="s">
        <v>8</v>
      </c>
      <c r="U27" s="1508">
        <f>H27</f>
        <v>100</v>
      </c>
      <c r="V27" s="1507" t="s">
        <v>8</v>
      </c>
      <c r="W27" s="1508">
        <f>J27</f>
        <v>100</v>
      </c>
      <c r="X27" s="1501"/>
      <c r="Y27" s="3577"/>
      <c r="Z27" s="1509" t="str">
        <f>Q27</f>
        <v>自然及人文环境状况</v>
      </c>
      <c r="AA27" s="1510">
        <f t="shared" si="3"/>
        <v>1</v>
      </c>
      <c r="AB27" s="1510">
        <f t="shared" si="4"/>
        <v>1</v>
      </c>
      <c r="AC27" s="1510">
        <f t="shared" si="5"/>
        <v>1</v>
      </c>
    </row>
    <row r="28" spans="1:29" ht="20.25">
      <c r="A28" s="509"/>
      <c r="B28" s="560"/>
      <c r="C28" s="548"/>
      <c r="D28" s="551"/>
      <c r="E28" s="570"/>
      <c r="F28" s="549"/>
      <c r="G28" s="548"/>
      <c r="H28" s="549"/>
      <c r="I28" s="570"/>
      <c r="J28" s="549"/>
      <c r="K28" s="525"/>
      <c r="L28" s="2024"/>
      <c r="M28" s="2014"/>
      <c r="N28" s="2014"/>
      <c r="O28" s="2023"/>
      <c r="P28" s="3577"/>
      <c r="Q28" s="1506"/>
      <c r="R28" s="1507"/>
      <c r="S28" s="1508"/>
      <c r="T28" s="1507"/>
      <c r="U28" s="1508"/>
      <c r="V28" s="1507"/>
      <c r="W28" s="1508"/>
      <c r="X28" s="1501"/>
      <c r="Y28" s="3577"/>
      <c r="Z28" s="1509"/>
      <c r="AA28" s="1510">
        <v>1</v>
      </c>
      <c r="AB28" s="1510">
        <v>1</v>
      </c>
      <c r="AC28" s="1510">
        <v>1</v>
      </c>
    </row>
    <row r="29" spans="1:29" s="1202" customFormat="1" ht="213.75">
      <c r="A29" s="571"/>
      <c r="B29" s="2435" t="s">
        <v>2524</v>
      </c>
      <c r="C29" s="567" t="str">
        <f>估价对象房地状况!C21</f>
        <v>估价对象所在区域有张家湾中心幼儿园、张家湾中心小学、张家湾中学等教育资源，有中国建设银行、北京市农村商业银行等金融机构，有世纪华联超市等商业服务设施，有北京运通中医医院等医疗设施，公共服务设施齐备度一般</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577"/>
      <c r="Q29" s="1133" t="str">
        <f t="shared" si="8"/>
        <v>公共配套设施</v>
      </c>
      <c r="R29" s="1502" t="s">
        <v>8</v>
      </c>
      <c r="S29" s="1503">
        <f>F29</f>
        <v>100</v>
      </c>
      <c r="T29" s="1502" t="s">
        <v>8</v>
      </c>
      <c r="U29" s="1503">
        <f>H29</f>
        <v>100</v>
      </c>
      <c r="V29" s="1502" t="s">
        <v>8</v>
      </c>
      <c r="W29" s="1503">
        <f>J29</f>
        <v>100</v>
      </c>
      <c r="X29" s="1504"/>
      <c r="Y29" s="3577"/>
      <c r="Z29" s="1132" t="str">
        <f>Q29</f>
        <v>公共配套设施</v>
      </c>
      <c r="AA29" s="1510">
        <f>D29/F29</f>
        <v>1</v>
      </c>
      <c r="AB29" s="1510">
        <f>D29/H29</f>
        <v>1</v>
      </c>
      <c r="AC29" s="1510">
        <f>D29/J29</f>
        <v>1</v>
      </c>
    </row>
    <row r="30" spans="1:29" s="1202" customFormat="1" ht="20.25">
      <c r="A30" s="571"/>
      <c r="B30" s="560"/>
      <c r="C30" s="573"/>
      <c r="D30" s="551"/>
      <c r="E30" s="570"/>
      <c r="F30" s="549"/>
      <c r="G30" s="548"/>
      <c r="H30" s="549"/>
      <c r="I30" s="570"/>
      <c r="J30" s="549"/>
      <c r="K30" s="525"/>
      <c r="L30" s="2017"/>
      <c r="M30" s="2014"/>
      <c r="N30" s="2014"/>
      <c r="O30" s="2019"/>
      <c r="P30" s="3577"/>
      <c r="Q30" s="1133"/>
      <c r="R30" s="1502"/>
      <c r="S30" s="1503"/>
      <c r="T30" s="1502"/>
      <c r="U30" s="1503"/>
      <c r="V30" s="1502"/>
      <c r="W30" s="1503"/>
      <c r="X30" s="1504"/>
      <c r="Y30" s="3577"/>
      <c r="Z30" s="1132"/>
      <c r="AA30" s="1510">
        <v>1</v>
      </c>
      <c r="AB30" s="1510">
        <v>1</v>
      </c>
      <c r="AC30" s="1510">
        <v>1</v>
      </c>
    </row>
    <row r="31" spans="1:29" s="1202" customFormat="1" ht="20.25">
      <c r="A31" s="571"/>
      <c r="B31" s="2435" t="s">
        <v>2525</v>
      </c>
      <c r="C31" s="567" t="str">
        <f>估价对象房地状况!C22</f>
        <v>七通</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577"/>
      <c r="Q31" s="2428" t="str">
        <f t="shared" ref="Q31" si="9">B31</f>
        <v>基础设施水平</v>
      </c>
      <c r="R31" s="1502" t="s">
        <v>8</v>
      </c>
      <c r="S31" s="1503">
        <f>F31</f>
        <v>100</v>
      </c>
      <c r="T31" s="1502" t="s">
        <v>8</v>
      </c>
      <c r="U31" s="1503">
        <f>H31</f>
        <v>100</v>
      </c>
      <c r="V31" s="1502" t="s">
        <v>8</v>
      </c>
      <c r="W31" s="1503">
        <f>J31</f>
        <v>100</v>
      </c>
      <c r="X31" s="1504"/>
      <c r="Y31" s="3577"/>
      <c r="Z31" s="2427" t="str">
        <f>Q31</f>
        <v>基础设施水平</v>
      </c>
      <c r="AA31" s="1510">
        <f>D31/F31</f>
        <v>1</v>
      </c>
      <c r="AB31" s="1510">
        <f>D31/H31</f>
        <v>1</v>
      </c>
      <c r="AC31" s="1510">
        <f>D31/J31</f>
        <v>1</v>
      </c>
    </row>
    <row r="32" spans="1:29" s="1202" customFormat="1" ht="20.25">
      <c r="A32" s="571"/>
      <c r="B32" s="560"/>
      <c r="C32" s="573"/>
      <c r="D32" s="551"/>
      <c r="E32" s="2436"/>
      <c r="F32" s="549"/>
      <c r="G32" s="573"/>
      <c r="H32" s="549"/>
      <c r="I32" s="573"/>
      <c r="J32" s="549"/>
      <c r="K32" s="525"/>
      <c r="L32" s="2017"/>
      <c r="M32" s="2014"/>
      <c r="N32" s="2014"/>
      <c r="O32" s="2019"/>
      <c r="P32" s="3577"/>
      <c r="Q32" s="2428"/>
      <c r="R32" s="1502"/>
      <c r="S32" s="1503"/>
      <c r="T32" s="1502"/>
      <c r="U32" s="1503"/>
      <c r="V32" s="1502"/>
      <c r="W32" s="1503"/>
      <c r="X32" s="1504"/>
      <c r="Y32" s="3577"/>
      <c r="Z32" s="2427"/>
      <c r="AA32" s="1510">
        <v>1</v>
      </c>
      <c r="AB32" s="1510">
        <v>1</v>
      </c>
      <c r="AC32" s="1510">
        <v>1</v>
      </c>
    </row>
    <row r="33" spans="1:29" ht="20.25">
      <c r="A33" s="526"/>
      <c r="B33" s="560" t="s">
        <v>539</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577"/>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577"/>
      <c r="Z33" s="1509" t="str">
        <f t="shared" ref="Z33:Z47" si="13">Q33</f>
        <v>临街状况</v>
      </c>
      <c r="AA33" s="1510">
        <f t="shared" si="3"/>
        <v>1</v>
      </c>
      <c r="AB33" s="1510">
        <f t="shared" si="4"/>
        <v>1</v>
      </c>
      <c r="AC33" s="1510">
        <f t="shared" si="5"/>
        <v>1</v>
      </c>
    </row>
    <row r="34" spans="1:29" ht="27">
      <c r="A34" s="526"/>
      <c r="B34" s="572" t="s">
        <v>540</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577"/>
      <c r="Q34" s="1506" t="str">
        <f t="shared" si="8"/>
        <v>毗邻道路的类型与等级</v>
      </c>
      <c r="R34" s="1507" t="s">
        <v>8</v>
      </c>
      <c r="S34" s="1508">
        <f t="shared" si="10"/>
        <v>100</v>
      </c>
      <c r="T34" s="1507" t="s">
        <v>8</v>
      </c>
      <c r="U34" s="1508">
        <f t="shared" si="11"/>
        <v>100</v>
      </c>
      <c r="V34" s="1507" t="s">
        <v>8</v>
      </c>
      <c r="W34" s="1508">
        <f t="shared" si="12"/>
        <v>100</v>
      </c>
      <c r="X34" s="1501"/>
      <c r="Y34" s="3577"/>
      <c r="Z34" s="1509" t="str">
        <f t="shared" si="13"/>
        <v>毗邻道路的类型与等级</v>
      </c>
      <c r="AA34" s="1510">
        <f t="shared" si="3"/>
        <v>1</v>
      </c>
      <c r="AB34" s="1510">
        <f t="shared" si="4"/>
        <v>1</v>
      </c>
      <c r="AC34" s="1510">
        <f t="shared" si="5"/>
        <v>1</v>
      </c>
    </row>
    <row r="35" spans="1:29" ht="20.25">
      <c r="A35" s="526"/>
      <c r="B35" s="560"/>
      <c r="C35" s="548"/>
      <c r="D35" s="551"/>
      <c r="E35" s="570"/>
      <c r="F35" s="549"/>
      <c r="G35" s="548"/>
      <c r="H35" s="549"/>
      <c r="I35" s="570"/>
      <c r="J35" s="549"/>
      <c r="K35" s="575"/>
      <c r="L35" s="2024"/>
      <c r="M35" s="2014"/>
      <c r="N35" s="2014"/>
      <c r="O35" s="2023"/>
      <c r="P35" s="3577"/>
      <c r="Q35" s="1506"/>
      <c r="R35" s="1507"/>
      <c r="S35" s="1508"/>
      <c r="T35" s="1507"/>
      <c r="U35" s="1508"/>
      <c r="V35" s="1507"/>
      <c r="W35" s="1508"/>
      <c r="X35" s="1501"/>
      <c r="Y35" s="3577"/>
      <c r="Z35" s="1509"/>
      <c r="AA35" s="1510">
        <v>1</v>
      </c>
      <c r="AB35" s="1510">
        <v>1</v>
      </c>
      <c r="AC35" s="1510">
        <v>1</v>
      </c>
    </row>
    <row r="36" spans="1:29" ht="20.25">
      <c r="A36" s="526"/>
      <c r="B36" s="576" t="s">
        <v>541</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77"/>
      <c r="Q36" s="1506" t="str">
        <f t="shared" si="8"/>
        <v>土地级别</v>
      </c>
      <c r="R36" s="1507" t="s">
        <v>8</v>
      </c>
      <c r="S36" s="1508">
        <f t="shared" si="10"/>
        <v>100</v>
      </c>
      <c r="T36" s="1507" t="s">
        <v>8</v>
      </c>
      <c r="U36" s="1508">
        <f t="shared" si="11"/>
        <v>100</v>
      </c>
      <c r="V36" s="1507" t="s">
        <v>8</v>
      </c>
      <c r="W36" s="1508">
        <f t="shared" si="12"/>
        <v>100</v>
      </c>
      <c r="X36" s="1501"/>
      <c r="Y36" s="3577"/>
      <c r="Z36" s="1509" t="str">
        <f t="shared" si="13"/>
        <v>土地级别</v>
      </c>
      <c r="AA36" s="1510">
        <f t="shared" si="3"/>
        <v>1</v>
      </c>
      <c r="AB36" s="1510">
        <f t="shared" si="4"/>
        <v>1</v>
      </c>
      <c r="AC36" s="1510">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77"/>
      <c r="Q37" s="1506">
        <f t="shared" si="8"/>
        <v>111</v>
      </c>
      <c r="R37" s="1507" t="s">
        <v>8</v>
      </c>
      <c r="S37" s="1508">
        <f t="shared" si="10"/>
        <v>100</v>
      </c>
      <c r="T37" s="1507" t="s">
        <v>8</v>
      </c>
      <c r="U37" s="1508">
        <f t="shared" si="11"/>
        <v>100</v>
      </c>
      <c r="V37" s="1507" t="s">
        <v>8</v>
      </c>
      <c r="W37" s="1508">
        <f t="shared" si="12"/>
        <v>100</v>
      </c>
      <c r="X37" s="1501"/>
      <c r="Y37" s="3577"/>
      <c r="Z37" s="1509">
        <f t="shared" si="13"/>
        <v>111</v>
      </c>
      <c r="AA37" s="1510">
        <f t="shared" si="3"/>
        <v>1</v>
      </c>
      <c r="AB37" s="1510">
        <f t="shared" si="4"/>
        <v>1</v>
      </c>
      <c r="AC37" s="1510">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78" t="s">
        <v>542</v>
      </c>
      <c r="Q38" s="1506">
        <f t="shared" si="8"/>
        <v>111</v>
      </c>
      <c r="R38" s="1507" t="s">
        <v>8</v>
      </c>
      <c r="S38" s="1508">
        <f t="shared" si="10"/>
        <v>100</v>
      </c>
      <c r="T38" s="1507" t="s">
        <v>8</v>
      </c>
      <c r="U38" s="1508">
        <f t="shared" si="11"/>
        <v>100</v>
      </c>
      <c r="V38" s="1507" t="s">
        <v>8</v>
      </c>
      <c r="W38" s="1508">
        <f t="shared" si="12"/>
        <v>100</v>
      </c>
      <c r="X38" s="1501"/>
      <c r="Y38" s="3579" t="s">
        <v>542</v>
      </c>
      <c r="Z38" s="1509">
        <f t="shared" si="13"/>
        <v>111</v>
      </c>
      <c r="AA38" s="1510">
        <f t="shared" si="3"/>
        <v>1</v>
      </c>
      <c r="AB38" s="1510">
        <f t="shared" si="4"/>
        <v>1</v>
      </c>
      <c r="AC38" s="1510">
        <f t="shared" si="5"/>
        <v>1</v>
      </c>
    </row>
    <row r="39" spans="1:29" s="1292"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79"/>
      <c r="Q39" s="1506">
        <f t="shared" si="8"/>
        <v>111</v>
      </c>
      <c r="R39" s="1511" t="s">
        <v>8</v>
      </c>
      <c r="S39" s="1512">
        <f t="shared" si="10"/>
        <v>100</v>
      </c>
      <c r="T39" s="1511" t="s">
        <v>8</v>
      </c>
      <c r="U39" s="1512">
        <f t="shared" si="11"/>
        <v>100</v>
      </c>
      <c r="V39" s="1511" t="s">
        <v>8</v>
      </c>
      <c r="W39" s="1512">
        <f t="shared" si="12"/>
        <v>100</v>
      </c>
      <c r="X39" s="1513"/>
      <c r="Y39" s="3579"/>
      <c r="Z39" s="1514">
        <f t="shared" si="13"/>
        <v>111</v>
      </c>
      <c r="AA39" s="1510">
        <f t="shared" si="3"/>
        <v>1</v>
      </c>
      <c r="AB39" s="1510">
        <f t="shared" si="4"/>
        <v>1</v>
      </c>
      <c r="AC39" s="1510">
        <f t="shared" si="5"/>
        <v>1</v>
      </c>
    </row>
    <row r="40" spans="1:29" ht="20.25">
      <c r="A40" s="2624" t="s">
        <v>2730</v>
      </c>
      <c r="B40" s="589" t="s">
        <v>544</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4"/>
      <c r="M40" s="2014"/>
      <c r="N40" s="2014"/>
      <c r="O40" s="2023"/>
      <c r="P40" s="3579"/>
      <c r="Q40" s="1506" t="str">
        <f>B40</f>
        <v>宗地面积</v>
      </c>
      <c r="R40" s="1507" t="s">
        <v>8</v>
      </c>
      <c r="S40" s="1508" t="e">
        <f t="shared" si="10"/>
        <v>#N/A</v>
      </c>
      <c r="T40" s="1507" t="s">
        <v>8</v>
      </c>
      <c r="U40" s="1508" t="e">
        <f t="shared" si="11"/>
        <v>#N/A</v>
      </c>
      <c r="V40" s="1507" t="s">
        <v>8</v>
      </c>
      <c r="W40" s="1508" t="e">
        <f t="shared" si="12"/>
        <v>#N/A</v>
      </c>
      <c r="X40" s="1501"/>
      <c r="Y40" s="3579"/>
      <c r="Z40" s="1509" t="str">
        <f t="shared" si="13"/>
        <v>宗地面积</v>
      </c>
      <c r="AA40" s="1510" t="e">
        <f t="shared" si="3"/>
        <v>#N/A</v>
      </c>
      <c r="AB40" s="1510" t="e">
        <f t="shared" si="4"/>
        <v>#N/A</v>
      </c>
      <c r="AC40" s="1510" t="e">
        <f t="shared" si="5"/>
        <v>#N/A</v>
      </c>
    </row>
    <row r="41" spans="1:29" ht="20.25">
      <c r="A41" s="588"/>
      <c r="B41" s="521" t="s">
        <v>545</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579"/>
      <c r="Q41" s="1506" t="str">
        <f t="shared" ref="Q41:Q47" si="14">B41</f>
        <v>宗地形状</v>
      </c>
      <c r="R41" s="1507" t="s">
        <v>8</v>
      </c>
      <c r="S41" s="1508">
        <f t="shared" si="10"/>
        <v>100</v>
      </c>
      <c r="T41" s="1507" t="s">
        <v>8</v>
      </c>
      <c r="U41" s="1508">
        <f t="shared" si="11"/>
        <v>100</v>
      </c>
      <c r="V41" s="1507" t="s">
        <v>8</v>
      </c>
      <c r="W41" s="1508">
        <f t="shared" si="12"/>
        <v>100</v>
      </c>
      <c r="X41" s="1501"/>
      <c r="Y41" s="3579"/>
      <c r="Z41" s="1509" t="str">
        <f t="shared" si="13"/>
        <v>宗地形状</v>
      </c>
      <c r="AA41" s="1510">
        <f t="shared" si="3"/>
        <v>1</v>
      </c>
      <c r="AB41" s="1510">
        <f t="shared" si="4"/>
        <v>1</v>
      </c>
      <c r="AC41" s="1510">
        <f t="shared" si="5"/>
        <v>1</v>
      </c>
    </row>
    <row r="42" spans="1:29" ht="20.25">
      <c r="A42" s="588"/>
      <c r="B42" s="521" t="s">
        <v>546</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579"/>
      <c r="Q42" s="1506" t="str">
        <f t="shared" si="14"/>
        <v>临街宽度及深度</v>
      </c>
      <c r="R42" s="1507" t="s">
        <v>8</v>
      </c>
      <c r="S42" s="1508">
        <f t="shared" si="10"/>
        <v>100</v>
      </c>
      <c r="T42" s="1507" t="s">
        <v>8</v>
      </c>
      <c r="U42" s="1508">
        <f t="shared" si="11"/>
        <v>100</v>
      </c>
      <c r="V42" s="1507" t="s">
        <v>8</v>
      </c>
      <c r="W42" s="1508">
        <f t="shared" si="12"/>
        <v>100</v>
      </c>
      <c r="X42" s="1501"/>
      <c r="Y42" s="3579"/>
      <c r="Z42" s="1509" t="str">
        <f t="shared" si="13"/>
        <v>临街宽度及深度</v>
      </c>
      <c r="AA42" s="1510">
        <f t="shared" si="3"/>
        <v>1</v>
      </c>
      <c r="AB42" s="1510">
        <f t="shared" si="4"/>
        <v>1</v>
      </c>
      <c r="AC42" s="1510">
        <f t="shared" si="5"/>
        <v>1</v>
      </c>
    </row>
    <row r="43" spans="1:29" s="1202" customFormat="1" ht="20.25">
      <c r="A43" s="594"/>
      <c r="B43" s="1809" t="s">
        <v>2404</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579"/>
      <c r="Q43" s="1506" t="str">
        <f t="shared" si="14"/>
        <v>宗地开发程度</v>
      </c>
      <c r="R43" s="1502" t="s">
        <v>8</v>
      </c>
      <c r="S43" s="1503">
        <f t="shared" si="10"/>
        <v>100</v>
      </c>
      <c r="T43" s="1502" t="s">
        <v>8</v>
      </c>
      <c r="U43" s="1503">
        <f t="shared" si="11"/>
        <v>100</v>
      </c>
      <c r="V43" s="1502" t="s">
        <v>8</v>
      </c>
      <c r="W43" s="1503">
        <f t="shared" si="12"/>
        <v>100</v>
      </c>
      <c r="X43" s="1504"/>
      <c r="Y43" s="3579"/>
      <c r="Z43" s="1132" t="str">
        <f t="shared" si="13"/>
        <v>宗地开发程度</v>
      </c>
      <c r="AA43" s="1505">
        <f t="shared" si="3"/>
        <v>1</v>
      </c>
      <c r="AB43" s="1505">
        <f t="shared" si="4"/>
        <v>1</v>
      </c>
      <c r="AC43" s="1505">
        <f t="shared" si="5"/>
        <v>1</v>
      </c>
    </row>
    <row r="44" spans="1:29" ht="20.25">
      <c r="A44" s="588"/>
      <c r="B44" s="521" t="s">
        <v>547</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579" t="s">
        <v>542</v>
      </c>
      <c r="Q44" s="1506" t="str">
        <f t="shared" si="14"/>
        <v>工程地质条件</v>
      </c>
      <c r="R44" s="1507" t="s">
        <v>8</v>
      </c>
      <c r="S44" s="1508">
        <f t="shared" si="10"/>
        <v>100</v>
      </c>
      <c r="T44" s="1507" t="s">
        <v>8</v>
      </c>
      <c r="U44" s="1508">
        <f t="shared" si="11"/>
        <v>100</v>
      </c>
      <c r="V44" s="1507" t="s">
        <v>8</v>
      </c>
      <c r="W44" s="1508">
        <f t="shared" si="12"/>
        <v>100</v>
      </c>
      <c r="X44" s="1501"/>
      <c r="Y44" s="3579" t="s">
        <v>542</v>
      </c>
      <c r="Z44" s="1509" t="str">
        <f t="shared" si="13"/>
        <v>工程地质条件</v>
      </c>
      <c r="AA44" s="1510">
        <f t="shared" si="3"/>
        <v>1</v>
      </c>
      <c r="AB44" s="1510">
        <f t="shared" si="4"/>
        <v>1</v>
      </c>
      <c r="AC44" s="1510">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79"/>
      <c r="Q45" s="1506">
        <f t="shared" si="14"/>
        <v>111</v>
      </c>
      <c r="R45" s="1507" t="s">
        <v>8</v>
      </c>
      <c r="S45" s="1508">
        <f t="shared" si="10"/>
        <v>100</v>
      </c>
      <c r="T45" s="1507" t="s">
        <v>8</v>
      </c>
      <c r="U45" s="1508">
        <f t="shared" si="11"/>
        <v>100</v>
      </c>
      <c r="V45" s="1507" t="s">
        <v>8</v>
      </c>
      <c r="W45" s="1508">
        <f t="shared" si="12"/>
        <v>100</v>
      </c>
      <c r="X45" s="1501"/>
      <c r="Y45" s="3579"/>
      <c r="Z45" s="1509">
        <f t="shared" si="13"/>
        <v>111</v>
      </c>
      <c r="AA45" s="1510">
        <f t="shared" si="3"/>
        <v>1</v>
      </c>
      <c r="AB45" s="1510">
        <f t="shared" si="4"/>
        <v>1</v>
      </c>
      <c r="AC45" s="1510">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79"/>
      <c r="Q46" s="1506">
        <f t="shared" si="14"/>
        <v>111</v>
      </c>
      <c r="R46" s="1507" t="s">
        <v>8</v>
      </c>
      <c r="S46" s="1508">
        <f t="shared" si="10"/>
        <v>100</v>
      </c>
      <c r="T46" s="1507" t="s">
        <v>8</v>
      </c>
      <c r="U46" s="1508">
        <f t="shared" si="11"/>
        <v>100</v>
      </c>
      <c r="V46" s="1507" t="s">
        <v>8</v>
      </c>
      <c r="W46" s="1508">
        <f t="shared" si="12"/>
        <v>100</v>
      </c>
      <c r="X46" s="1501"/>
      <c r="Y46" s="3579"/>
      <c r="Z46" s="1509">
        <f t="shared" si="13"/>
        <v>111</v>
      </c>
      <c r="AA46" s="1510">
        <f t="shared" si="3"/>
        <v>1</v>
      </c>
      <c r="AB46" s="1510">
        <f t="shared" si="4"/>
        <v>1</v>
      </c>
      <c r="AC46" s="1510">
        <f t="shared" si="5"/>
        <v>1</v>
      </c>
    </row>
    <row r="47" spans="1:29" s="1292"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79"/>
      <c r="Q47" s="1506">
        <f t="shared" si="14"/>
        <v>111</v>
      </c>
      <c r="R47" s="1511" t="s">
        <v>8</v>
      </c>
      <c r="S47" s="1512">
        <f t="shared" si="10"/>
        <v>100</v>
      </c>
      <c r="T47" s="1511" t="s">
        <v>8</v>
      </c>
      <c r="U47" s="1512">
        <f t="shared" si="11"/>
        <v>100</v>
      </c>
      <c r="V47" s="1511" t="s">
        <v>8</v>
      </c>
      <c r="W47" s="1512">
        <f t="shared" si="12"/>
        <v>100</v>
      </c>
      <c r="X47" s="1513"/>
      <c r="Y47" s="3579"/>
      <c r="Z47" s="1514">
        <f t="shared" si="13"/>
        <v>111</v>
      </c>
      <c r="AA47" s="1510">
        <f t="shared" si="3"/>
        <v>1</v>
      </c>
      <c r="AB47" s="1510">
        <f t="shared" si="4"/>
        <v>1</v>
      </c>
      <c r="AC47" s="1510">
        <f t="shared" si="5"/>
        <v>1</v>
      </c>
    </row>
    <row r="48" spans="1:29" ht="20.25">
      <c r="A48" s="601" t="s">
        <v>548</v>
      </c>
      <c r="B48" s="602" t="s">
        <v>2892</v>
      </c>
      <c r="C48" s="603" t="s">
        <v>1</v>
      </c>
      <c r="D48" s="604"/>
      <c r="E48" s="605"/>
      <c r="F48" s="606"/>
      <c r="G48" s="607"/>
      <c r="H48" s="608"/>
      <c r="I48" s="605"/>
      <c r="J48" s="608"/>
      <c r="K48" s="1293"/>
      <c r="L48" s="2026"/>
      <c r="M48" s="2014"/>
      <c r="N48" s="2014"/>
      <c r="O48" s="2027"/>
      <c r="P48" s="3574" t="str">
        <f>A48</f>
        <v>成交单价</v>
      </c>
      <c r="Q48" s="3574"/>
      <c r="R48" s="3588">
        <f>E48</f>
        <v>0</v>
      </c>
      <c r="S48" s="3588"/>
      <c r="T48" s="3588">
        <f>G48</f>
        <v>0</v>
      </c>
      <c r="U48" s="3588"/>
      <c r="V48" s="3588">
        <f>I48</f>
        <v>0</v>
      </c>
      <c r="W48" s="3588"/>
      <c r="X48" s="1496"/>
      <c r="Y48" s="1515"/>
      <c r="Z48" s="1496"/>
      <c r="AA48" s="1496"/>
      <c r="AB48" s="1496"/>
      <c r="AC48" s="1496"/>
    </row>
    <row r="49" spans="1:29" ht="21" thickBot="1">
      <c r="A49" s="609" t="s">
        <v>2668</v>
      </c>
      <c r="B49" s="610"/>
      <c r="C49" s="611" t="e">
        <f>R50</f>
        <v>#DIV/0!</v>
      </c>
      <c r="D49" s="3013" t="s">
        <v>2960</v>
      </c>
      <c r="E49" s="611" t="e">
        <f>R49</f>
        <v>#DIV/0!</v>
      </c>
      <c r="F49" s="3014"/>
      <c r="G49" s="612" t="e">
        <f>T49</f>
        <v>#DIV/0!</v>
      </c>
      <c r="H49" s="3014"/>
      <c r="I49" s="611" t="e">
        <f>V49</f>
        <v>#DIV/0!</v>
      </c>
      <c r="J49" s="3014"/>
      <c r="K49" s="3015">
        <f>F49+H49+J49</f>
        <v>0</v>
      </c>
      <c r="L49" s="2026"/>
      <c r="M49" s="2014"/>
      <c r="N49" s="2014"/>
      <c r="O49" s="2027"/>
      <c r="P49" s="3574" t="str">
        <f>A49</f>
        <v>比较价格（元/平方米）</v>
      </c>
      <c r="Q49" s="3574"/>
      <c r="R49" s="3598" t="e">
        <f>ROUND(PRODUCT(R48,AA9:AA47),0)</f>
        <v>#DIV/0!</v>
      </c>
      <c r="S49" s="3598"/>
      <c r="T49" s="3598" t="e">
        <f>ROUND(PRODUCT(T48,AB9:AB47),0)</f>
        <v>#DIV/0!</v>
      </c>
      <c r="U49" s="3598"/>
      <c r="V49" s="3598" t="e">
        <f>ROUND(PRODUCT(V48,AC9:AC47),0)</f>
        <v>#DIV/0!</v>
      </c>
      <c r="W49" s="3598"/>
      <c r="X49" s="1496"/>
      <c r="Y49" s="1496"/>
      <c r="Z49" s="1496"/>
      <c r="AA49" s="1496"/>
      <c r="AB49" s="1496"/>
      <c r="AC49" s="1496"/>
    </row>
    <row r="50" spans="1:29" ht="21" thickBot="1">
      <c r="A50" s="613" t="s">
        <v>2893</v>
      </c>
      <c r="B50" s="614"/>
      <c r="C50" s="615" t="e">
        <f>R50</f>
        <v>#DIV/0!</v>
      </c>
      <c r="D50" s="615"/>
      <c r="E50" s="615"/>
      <c r="F50" s="615"/>
      <c r="G50" s="615"/>
      <c r="H50" s="615"/>
      <c r="I50" s="615"/>
      <c r="J50" s="615"/>
      <c r="K50" s="1294"/>
      <c r="L50" s="2026"/>
      <c r="M50" s="2014"/>
      <c r="N50" s="2014"/>
      <c r="O50" s="2027"/>
      <c r="P50" s="3595" t="str">
        <f>A50</f>
        <v>估价对象XX用房的比较价格（楼面单价，元/平方米）</v>
      </c>
      <c r="Q50" s="3596"/>
      <c r="R50" s="3597" t="e">
        <f>ROUND(IF(D49="简单平均",AVERAGE(R49:W49),R49*F49+T49*H49+V49*J49),0)</f>
        <v>#DIV/0!</v>
      </c>
      <c r="S50" s="3597"/>
      <c r="T50" s="3597"/>
      <c r="U50" s="3597"/>
      <c r="V50" s="3597"/>
      <c r="W50" s="3597"/>
      <c r="X50" s="1496"/>
      <c r="Y50" s="1496"/>
      <c r="Z50" s="1496"/>
      <c r="AA50" s="1496"/>
      <c r="AB50" s="1496"/>
      <c r="AC50" s="1496"/>
    </row>
    <row r="51" spans="1:29" ht="20.25">
      <c r="A51" s="3210"/>
      <c r="B51" s="3210"/>
      <c r="C51" s="3210"/>
      <c r="D51" s="3210"/>
      <c r="E51" s="3210"/>
      <c r="F51" s="3210"/>
      <c r="G51" s="3212"/>
      <c r="H51" s="3210"/>
      <c r="I51" s="3210"/>
      <c r="J51" s="3210"/>
      <c r="K51" s="3213"/>
      <c r="L51" s="2031"/>
      <c r="M51" s="2014"/>
      <c r="N51" s="2014"/>
      <c r="O51" s="2027"/>
      <c r="P51" s="2027"/>
      <c r="Q51" s="2027"/>
      <c r="R51" s="2027"/>
      <c r="S51" s="2027"/>
      <c r="T51" s="2027"/>
      <c r="U51" s="2027"/>
      <c r="V51" s="2027"/>
      <c r="W51" s="2027"/>
      <c r="X51" s="2027"/>
      <c r="Y51" s="2027"/>
      <c r="Z51" s="2027"/>
      <c r="AA51" s="2027"/>
      <c r="AB51" s="2027"/>
      <c r="AC51" s="2027"/>
    </row>
    <row r="52" spans="1:29" ht="20.25">
      <c r="A52" s="3210"/>
      <c r="B52" s="3210"/>
      <c r="C52" s="3210"/>
      <c r="D52" s="3210"/>
      <c r="E52" s="3210"/>
      <c r="F52" s="3210"/>
      <c r="G52" s="3210"/>
      <c r="H52" s="3210"/>
      <c r="I52" s="3210"/>
      <c r="J52" s="3210"/>
      <c r="K52" s="3213"/>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0"/>
      <c r="B53" s="3210"/>
      <c r="C53" s="616" t="s">
        <v>549</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3"/>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0"/>
      <c r="B54" s="3210"/>
      <c r="C54" s="616" t="s">
        <v>550</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3"/>
      <c r="L54" s="2031"/>
      <c r="M54" s="2014"/>
      <c r="N54" s="2014"/>
      <c r="O54" s="2027"/>
      <c r="P54" s="2027"/>
      <c r="Q54" s="2027"/>
      <c r="R54" s="2027"/>
      <c r="S54" s="2027"/>
      <c r="T54" s="2027"/>
      <c r="U54" s="2027"/>
      <c r="V54" s="2027"/>
      <c r="W54" s="2027"/>
      <c r="X54" s="2027"/>
      <c r="Y54" s="2027"/>
      <c r="Z54" s="2027"/>
      <c r="AA54" s="2027"/>
      <c r="AB54" s="2027"/>
      <c r="AC54" s="2027"/>
    </row>
    <row r="55" spans="1:29" s="1297" customFormat="1" ht="13.5" customHeight="1">
      <c r="A55" s="3211"/>
      <c r="B55" s="3211"/>
      <c r="C55" s="616" t="s">
        <v>551</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4"/>
      <c r="L55" s="2034"/>
      <c r="M55" s="2014"/>
      <c r="N55" s="2014"/>
      <c r="O55" s="2028"/>
      <c r="P55" s="2028"/>
      <c r="Q55" s="2028"/>
      <c r="R55" s="2028"/>
      <c r="S55" s="2028"/>
      <c r="T55" s="2028"/>
      <c r="U55" s="2028"/>
      <c r="V55" s="2028"/>
      <c r="W55" s="2028"/>
      <c r="X55" s="2028"/>
      <c r="Y55" s="2028"/>
      <c r="Z55" s="2028"/>
      <c r="AA55" s="2028"/>
      <c r="AB55" s="2028"/>
      <c r="AC55" s="2028"/>
    </row>
    <row r="56" spans="1:29" s="1297" customFormat="1" ht="21" thickBot="1">
      <c r="A56" s="2028"/>
      <c r="B56" s="2029"/>
      <c r="C56" s="2032"/>
      <c r="D56" s="2028"/>
      <c r="E56" s="2028"/>
      <c r="F56" s="2028"/>
      <c r="G56" s="2028"/>
      <c r="H56" s="2028"/>
      <c r="I56" s="2028"/>
      <c r="J56" s="2028"/>
      <c r="K56" s="3214"/>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552</v>
      </c>
      <c r="B57" s="622" t="s">
        <v>553</v>
      </c>
      <c r="C57" s="1497" t="s">
        <v>1710</v>
      </c>
      <c r="D57" s="2107" t="s">
        <v>2276</v>
      </c>
      <c r="E57" s="623" t="s">
        <v>554</v>
      </c>
      <c r="F57" s="624" t="s">
        <v>555</v>
      </c>
      <c r="G57" s="3558" t="s">
        <v>2264</v>
      </c>
      <c r="H57" s="3559"/>
      <c r="I57" s="1493" t="s">
        <v>1708</v>
      </c>
      <c r="J57" s="1493">
        <f>项目基本情况!F41</f>
        <v>0</v>
      </c>
      <c r="K57" s="2035" t="s">
        <v>1709</v>
      </c>
      <c r="L57" s="2031"/>
      <c r="M57" s="2027"/>
      <c r="N57" s="2027"/>
      <c r="O57" s="2027"/>
      <c r="P57" s="2027"/>
      <c r="Q57" s="2027"/>
      <c r="R57" s="2027"/>
      <c r="S57" s="2027"/>
      <c r="T57" s="2027"/>
      <c r="U57" s="2027"/>
      <c r="V57" s="2027"/>
      <c r="W57" s="2027"/>
      <c r="X57" s="2027"/>
      <c r="Y57" s="2027"/>
      <c r="Z57" s="2027"/>
      <c r="AA57" s="2027"/>
      <c r="AB57" s="2027"/>
      <c r="AC57" s="2027"/>
    </row>
    <row r="58" spans="1:29" s="1298" customFormat="1" ht="12.75">
      <c r="A58" s="625" t="s">
        <v>556</v>
      </c>
      <c r="B58" s="626" t="e">
        <f>C50</f>
        <v>#DIV/0!</v>
      </c>
      <c r="C58" s="627">
        <v>1</v>
      </c>
      <c r="D58" s="2108">
        <v>1</v>
      </c>
      <c r="E58" s="627">
        <f>'数据-汇总表'!E8+'数据-汇总表'!E9</f>
        <v>142378.302</v>
      </c>
      <c r="F58" s="628" t="e">
        <f t="shared" ref="F58:F67" si="15">ROUND(B58*E58/10000,0)</f>
        <v>#DIV/0!</v>
      </c>
      <c r="G58" s="3560"/>
      <c r="H58" s="3561"/>
      <c r="I58" s="1494">
        <v>1</v>
      </c>
      <c r="J58" s="1494">
        <v>1</v>
      </c>
      <c r="K58" s="3215"/>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557</v>
      </c>
      <c r="B59" s="630" t="e">
        <f>ROUND($C$50*C59*D59,0)</f>
        <v>#DIV/0!</v>
      </c>
      <c r="C59" s="372">
        <f t="shared" ref="C59:C67" si="16">IF($C$57="北京市系数",I59,J59)</f>
        <v>0.6</v>
      </c>
      <c r="D59" s="2109">
        <v>0.25</v>
      </c>
      <c r="E59" s="631">
        <v>0</v>
      </c>
      <c r="F59" s="628" t="e">
        <f t="shared" si="15"/>
        <v>#DIV/0!</v>
      </c>
      <c r="G59" s="3562" t="s">
        <v>2265</v>
      </c>
      <c r="H59" s="1862" t="str">
        <f>项目基本情况!B43</f>
        <v>八级</v>
      </c>
      <c r="I59" s="1494">
        <f>SUMIF(修正!$A$45:$A$56,H59,修正!B45:B56)</f>
        <v>0.6</v>
      </c>
      <c r="J59" s="1495"/>
      <c r="K59" s="3215"/>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558</v>
      </c>
      <c r="B60" s="630" t="e">
        <f t="shared" ref="B60:B67" si="17">ROUND($C$50*C60*D60,0)</f>
        <v>#DIV/0!</v>
      </c>
      <c r="C60" s="372">
        <f t="shared" si="16"/>
        <v>0.3</v>
      </c>
      <c r="D60" s="2109">
        <v>0.25</v>
      </c>
      <c r="E60" s="631">
        <v>0</v>
      </c>
      <c r="F60" s="628" t="e">
        <f t="shared" si="15"/>
        <v>#DIV/0!</v>
      </c>
      <c r="G60" s="3562"/>
      <c r="H60" s="1862" t="str">
        <f>项目基本情况!B43</f>
        <v>八级</v>
      </c>
      <c r="I60" s="1494">
        <f>SUMIF(修正!$A$45:$A$56,H60,修正!C45:C56)</f>
        <v>0.3</v>
      </c>
      <c r="J60" s="1495"/>
      <c r="K60" s="3215"/>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559</v>
      </c>
      <c r="B61" s="630" t="e">
        <f t="shared" si="17"/>
        <v>#DIV/0!</v>
      </c>
      <c r="C61" s="372">
        <f t="shared" si="16"/>
        <v>0.2</v>
      </c>
      <c r="D61" s="2109">
        <v>0.25</v>
      </c>
      <c r="E61" s="631">
        <v>0</v>
      </c>
      <c r="F61" s="628" t="e">
        <f t="shared" si="15"/>
        <v>#DIV/0!</v>
      </c>
      <c r="G61" s="3562"/>
      <c r="H61" s="1862" t="str">
        <f>项目基本情况!B43</f>
        <v>八级</v>
      </c>
      <c r="I61" s="1494">
        <f>SUMIF(修正!$A$45:$A$56,H61,修正!D45:D56)</f>
        <v>0.2</v>
      </c>
      <c r="J61" s="1495"/>
      <c r="K61" s="3215"/>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2.75">
      <c r="A62" s="629" t="s">
        <v>560</v>
      </c>
      <c r="B62" s="630" t="e">
        <f t="shared" si="17"/>
        <v>#DIV/0!</v>
      </c>
      <c r="C62" s="372">
        <f t="shared" si="16"/>
        <v>0.2</v>
      </c>
      <c r="D62" s="2109">
        <v>0.25</v>
      </c>
      <c r="E62" s="631">
        <v>0</v>
      </c>
      <c r="F62" s="628" t="e">
        <f t="shared" si="15"/>
        <v>#DIV/0!</v>
      </c>
      <c r="G62" s="3562"/>
      <c r="H62" s="1862" t="str">
        <f>项目基本情况!B43</f>
        <v>八级</v>
      </c>
      <c r="I62" s="1494">
        <f>SUMIF(修正!$A$45:$A$56,H62,修正!E45:E56)</f>
        <v>0.2</v>
      </c>
      <c r="J62" s="1495"/>
      <c r="K62" s="3215"/>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2.75">
      <c r="A63" s="2211" t="s">
        <v>2311</v>
      </c>
      <c r="B63" s="630" t="e">
        <f t="shared" si="17"/>
        <v>#DIV/0!</v>
      </c>
      <c r="C63" s="372">
        <f t="shared" si="16"/>
        <v>0.2</v>
      </c>
      <c r="D63" s="2109">
        <v>0.25</v>
      </c>
      <c r="E63" s="633">
        <f>'数据-汇总表'!E11</f>
        <v>0</v>
      </c>
      <c r="F63" s="628" t="e">
        <f t="shared" si="15"/>
        <v>#DIV/0!</v>
      </c>
      <c r="G63" s="1859" t="s">
        <v>2266</v>
      </c>
      <c r="H63" s="1862" t="str">
        <f>项目基本情况!C43</f>
        <v>八级</v>
      </c>
      <c r="I63" s="1494">
        <f>SUMIF(修正!$A$45:$A$56,H63,修正!F45:F56)</f>
        <v>0.2</v>
      </c>
      <c r="J63" s="1495"/>
      <c r="K63" s="3215"/>
      <c r="L63" s="2036"/>
      <c r="M63" s="2036"/>
      <c r="N63" s="2036"/>
      <c r="O63" s="2036"/>
      <c r="P63" s="2036"/>
      <c r="Q63" s="2036"/>
      <c r="R63" s="2036"/>
      <c r="S63" s="2036"/>
      <c r="T63" s="2036"/>
      <c r="U63" s="2036"/>
      <c r="V63" s="2036"/>
      <c r="W63" s="2036"/>
      <c r="X63" s="2036"/>
      <c r="Y63" s="2036"/>
      <c r="Z63" s="2036"/>
      <c r="AA63" s="2036"/>
      <c r="AB63" s="2036"/>
      <c r="AC63" s="2036"/>
    </row>
    <row r="64" spans="1:29" s="1298" customFormat="1" ht="12.75">
      <c r="A64" s="629" t="s">
        <v>561</v>
      </c>
      <c r="B64" s="630" t="e">
        <f t="shared" si="17"/>
        <v>#DIV/0!</v>
      </c>
      <c r="C64" s="372">
        <f t="shared" si="16"/>
        <v>0.2</v>
      </c>
      <c r="D64" s="2109">
        <v>0.25</v>
      </c>
      <c r="E64" s="633">
        <f>'数据-汇总表'!E12</f>
        <v>0</v>
      </c>
      <c r="F64" s="628" t="e">
        <f t="shared" si="15"/>
        <v>#DIV/0!</v>
      </c>
      <c r="G64" s="1860" t="s">
        <v>1665</v>
      </c>
      <c r="H64" s="1858" t="str">
        <f>IF(G64="商业",项目基本情况!B43,IF(G64="办公",项目基本情况!C43,IF(G64="住宅",项目基本情况!D43,项目基本情况!E43)))</f>
        <v>八级</v>
      </c>
      <c r="I64" s="1494">
        <f>SUMIF(修正!$A$45:$A$56,H64,修正!G45:G56)</f>
        <v>0.2</v>
      </c>
      <c r="J64" s="1495"/>
      <c r="K64" s="3215"/>
      <c r="L64" s="2036"/>
      <c r="M64" s="2036"/>
      <c r="N64" s="2036"/>
      <c r="O64" s="2036"/>
      <c r="P64" s="2036"/>
      <c r="Q64" s="2036"/>
      <c r="R64" s="2036"/>
      <c r="S64" s="2036"/>
      <c r="T64" s="2036"/>
      <c r="U64" s="2036"/>
      <c r="V64" s="2036"/>
      <c r="W64" s="2036"/>
      <c r="X64" s="2036"/>
      <c r="Y64" s="2036"/>
      <c r="Z64" s="2036"/>
      <c r="AA64" s="2036"/>
      <c r="AB64" s="2036"/>
      <c r="AC64" s="2036"/>
    </row>
    <row r="65" spans="1:29" s="1298" customFormat="1" ht="12.75">
      <c r="A65" s="629" t="s">
        <v>562</v>
      </c>
      <c r="B65" s="630" t="e">
        <f t="shared" si="17"/>
        <v>#DIV/0!</v>
      </c>
      <c r="C65" s="372">
        <f t="shared" si="16"/>
        <v>0</v>
      </c>
      <c r="D65" s="2109">
        <v>0.25</v>
      </c>
      <c r="E65" s="633">
        <f>'数据-汇总表'!E13</f>
        <v>0</v>
      </c>
      <c r="F65" s="628" t="e">
        <f t="shared" si="15"/>
        <v>#DIV/0!</v>
      </c>
      <c r="G65" s="1860" t="s">
        <v>912</v>
      </c>
      <c r="H65" s="1858">
        <f>IF(G65="商业",项目基本情况!B43,IF(G65="办公",项目基本情况!C43,IF(G65="住宅",项目基本情况!D43,项目基本情况!E43)))</f>
        <v>0</v>
      </c>
      <c r="I65" s="1494">
        <f>SUMIF(修正!$A$45:$A$56,H65,修正!H45:H56)</f>
        <v>0</v>
      </c>
      <c r="J65" s="1495"/>
      <c r="K65" s="3215"/>
      <c r="L65" s="2036"/>
      <c r="M65" s="2036"/>
      <c r="N65" s="2036"/>
      <c r="O65" s="2036"/>
      <c r="P65" s="2036"/>
      <c r="Q65" s="2036"/>
      <c r="R65" s="2036"/>
      <c r="S65" s="2036"/>
      <c r="T65" s="2036"/>
      <c r="U65" s="2036"/>
      <c r="V65" s="2036"/>
      <c r="W65" s="2036"/>
      <c r="X65" s="2036"/>
      <c r="Y65" s="2036"/>
      <c r="Z65" s="2036"/>
      <c r="AA65" s="2036"/>
      <c r="AB65" s="2036"/>
      <c r="AC65" s="2036"/>
    </row>
    <row r="66" spans="1:29" s="1298" customFormat="1" ht="12.75">
      <c r="A66" s="629" t="s">
        <v>563</v>
      </c>
      <c r="B66" s="630" t="e">
        <f t="shared" si="17"/>
        <v>#DIV/0!</v>
      </c>
      <c r="C66" s="372">
        <f t="shared" si="16"/>
        <v>0.15</v>
      </c>
      <c r="D66" s="2109">
        <v>0.25</v>
      </c>
      <c r="E66" s="633">
        <f>'数据-汇总表'!E14</f>
        <v>0</v>
      </c>
      <c r="F66" s="628" t="e">
        <f t="shared" si="15"/>
        <v>#DIV/0!</v>
      </c>
      <c r="G66" s="1859" t="s">
        <v>2265</v>
      </c>
      <c r="H66" s="1862" t="str">
        <f>项目基本情况!B43</f>
        <v>八级</v>
      </c>
      <c r="I66" s="1494">
        <f>SUMIF(修正!$A$45:$A$56,H66,修正!H45:H56)</f>
        <v>0.15</v>
      </c>
      <c r="J66" s="1495"/>
      <c r="K66" s="3215"/>
      <c r="L66" s="2036"/>
      <c r="M66" s="2036"/>
      <c r="N66" s="2036"/>
      <c r="O66" s="2036"/>
      <c r="P66" s="2036"/>
      <c r="Q66" s="2036"/>
      <c r="R66" s="2036"/>
      <c r="S66" s="2036"/>
      <c r="T66" s="2036"/>
      <c r="U66" s="2036"/>
      <c r="V66" s="2036"/>
      <c r="W66" s="2036"/>
      <c r="X66" s="2036"/>
      <c r="Y66" s="2036"/>
      <c r="Z66" s="2036"/>
      <c r="AA66" s="2036"/>
      <c r="AB66" s="2036"/>
      <c r="AC66" s="2036"/>
    </row>
    <row r="67" spans="1:29" s="1298" customFormat="1" ht="13.5" thickBot="1">
      <c r="A67" s="629" t="s">
        <v>564</v>
      </c>
      <c r="B67" s="630" t="e">
        <f t="shared" si="17"/>
        <v>#DIV/0!</v>
      </c>
      <c r="C67" s="372">
        <f t="shared" si="16"/>
        <v>0.15</v>
      </c>
      <c r="D67" s="2109">
        <v>0.25</v>
      </c>
      <c r="E67" s="633">
        <f>'数据-汇总表'!E15</f>
        <v>0</v>
      </c>
      <c r="F67" s="628" t="e">
        <f t="shared" si="15"/>
        <v>#DIV/0!</v>
      </c>
      <c r="G67" s="1861" t="s">
        <v>2266</v>
      </c>
      <c r="H67" s="1863" t="str">
        <f>项目基本情况!C43</f>
        <v>八级</v>
      </c>
      <c r="I67" s="1494">
        <f>SUMIF(修正!$A$45:$A$56,H67,修正!H45:H56)</f>
        <v>0.15</v>
      </c>
      <c r="J67" s="1495"/>
      <c r="K67" s="3215"/>
      <c r="L67" s="2036"/>
      <c r="M67" s="2036"/>
      <c r="N67" s="2036"/>
      <c r="O67" s="2036"/>
      <c r="P67" s="2036"/>
      <c r="Q67" s="2036"/>
      <c r="R67" s="2036"/>
      <c r="S67" s="2036"/>
      <c r="T67" s="2036"/>
      <c r="U67" s="2036"/>
      <c r="V67" s="2036"/>
      <c r="W67" s="2036"/>
      <c r="X67" s="2036"/>
      <c r="Y67" s="2036"/>
      <c r="Z67" s="2036"/>
      <c r="AA67" s="2036"/>
      <c r="AB67" s="2036"/>
      <c r="AC67" s="2036"/>
    </row>
    <row r="68" spans="1:29" s="1298" customFormat="1" ht="13.5" thickBot="1">
      <c r="A68" s="634" t="s">
        <v>565</v>
      </c>
      <c r="B68" s="635" t="s">
        <v>17</v>
      </c>
      <c r="C68" s="635" t="s">
        <v>18</v>
      </c>
      <c r="D68" s="635" t="s">
        <v>2277</v>
      </c>
      <c r="E68" s="635">
        <f>IF(B48="楼面地价",SUM(E58:E67),'数据-汇总表'!D3)</f>
        <v>32358.705000000002</v>
      </c>
      <c r="F68" s="636" t="e">
        <f>IF(B48="楼面地价",SUM(F58:F67),ROUND(C50*E68/10000,0))</f>
        <v>#DIV/0!</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2021-9-1</v>
      </c>
      <c r="D70" s="2516">
        <f>EDATE(C70,-3)</f>
        <v>44348</v>
      </c>
      <c r="E70" s="2516">
        <f t="shared" ref="E70:N70" si="18">EDATE(D70,-3)</f>
        <v>44256</v>
      </c>
      <c r="F70" s="2516">
        <f t="shared" si="18"/>
        <v>44166</v>
      </c>
      <c r="G70" s="2516">
        <f t="shared" si="18"/>
        <v>44075</v>
      </c>
      <c r="H70" s="2516">
        <f t="shared" si="18"/>
        <v>43983</v>
      </c>
      <c r="I70" s="2516">
        <f t="shared" si="18"/>
        <v>43891</v>
      </c>
      <c r="J70" s="2516">
        <f t="shared" si="18"/>
        <v>43800</v>
      </c>
      <c r="K70" s="2516">
        <f t="shared" si="18"/>
        <v>43709</v>
      </c>
      <c r="L70" s="2516">
        <f t="shared" si="18"/>
        <v>43617</v>
      </c>
      <c r="M70" s="2516">
        <f t="shared" si="18"/>
        <v>43525</v>
      </c>
      <c r="N70" s="2516">
        <f t="shared" si="18"/>
        <v>43435</v>
      </c>
      <c r="O70" s="2027"/>
      <c r="P70" s="2027"/>
      <c r="Q70" s="2027"/>
      <c r="R70" s="2027"/>
      <c r="S70" s="2027"/>
      <c r="T70" s="2027"/>
      <c r="U70" s="2027"/>
      <c r="V70" s="2027"/>
      <c r="W70" s="2027"/>
      <c r="X70" s="2027"/>
      <c r="Y70" s="2027"/>
      <c r="Z70" s="2027"/>
      <c r="AA70" s="2027"/>
      <c r="AB70" s="2027"/>
      <c r="AC70" s="2027"/>
    </row>
    <row r="71" spans="1:29" ht="21.75" thickBot="1">
      <c r="A71" s="1518" t="s">
        <v>566</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299" customFormat="1" ht="15">
      <c r="A72" s="2421" t="s">
        <v>2508</v>
      </c>
      <c r="B72" s="2422"/>
      <c r="C72" s="2513" t="str">
        <f>YEAR(C70)&amp;"-"&amp;ROUNDUP(MONTH(C70)/3,0)</f>
        <v>2021-3</v>
      </c>
      <c r="D72" s="2518" t="str">
        <f>YEAR(D70)&amp;"-"&amp;ROUNDUP(MONTH(D70)/3,0)</f>
        <v>2021-2</v>
      </c>
      <c r="E72" s="2518" t="str">
        <f t="shared" ref="E72:N72" si="19">YEAR(E70)&amp;"-"&amp;ROUNDUP(MONTH(E70)/3,0)</f>
        <v>2021-1</v>
      </c>
      <c r="F72" s="2518" t="str">
        <f t="shared" si="19"/>
        <v>2020-4</v>
      </c>
      <c r="G72" s="2518" t="str">
        <f t="shared" si="19"/>
        <v>2020-3</v>
      </c>
      <c r="H72" s="2518" t="str">
        <f t="shared" si="19"/>
        <v>2020-2</v>
      </c>
      <c r="I72" s="2518" t="str">
        <f t="shared" si="19"/>
        <v>2020-1</v>
      </c>
      <c r="J72" s="2518" t="str">
        <f t="shared" si="19"/>
        <v>2019-4</v>
      </c>
      <c r="K72" s="2518" t="str">
        <f t="shared" si="19"/>
        <v>2019-3</v>
      </c>
      <c r="L72" s="2518" t="str">
        <f t="shared" si="19"/>
        <v>2019-2</v>
      </c>
      <c r="M72" s="2518" t="str">
        <f t="shared" si="19"/>
        <v>2019-1</v>
      </c>
      <c r="N72" s="2518" t="str">
        <f t="shared" si="19"/>
        <v>2018-4</v>
      </c>
      <c r="O72" s="2040"/>
      <c r="P72" s="2041"/>
      <c r="Q72" s="2042"/>
      <c r="R72" s="2042"/>
      <c r="S72" s="2042"/>
      <c r="T72" s="2042"/>
      <c r="U72" s="2042"/>
      <c r="V72" s="2042"/>
      <c r="W72" s="2042"/>
      <c r="X72" s="2042"/>
      <c r="Y72" s="2042"/>
      <c r="Z72" s="2042"/>
      <c r="AA72" s="2042"/>
      <c r="AB72" s="2042"/>
      <c r="AC72" s="2042"/>
    </row>
    <row r="73" spans="1:29" s="1202" customFormat="1" ht="27" customHeight="1">
      <c r="A73" s="2523" t="s">
        <v>2622</v>
      </c>
      <c r="B73" s="473" t="str">
        <f>"北京市平均增长率"&amp;TEXT(SUMIF('基准地价-商'!N21:N25,A73,'基准地价-商'!P21:P25),"0.00%")</f>
        <v>北京市平均增长率1.70%</v>
      </c>
      <c r="C73" s="883">
        <v>100</v>
      </c>
      <c r="D73" s="722"/>
      <c r="E73" s="722"/>
      <c r="F73" s="722"/>
      <c r="G73" s="722"/>
      <c r="H73" s="722"/>
      <c r="I73" s="722"/>
      <c r="J73" s="722"/>
      <c r="K73" s="722"/>
      <c r="L73" s="722"/>
      <c r="M73" s="2511"/>
      <c r="N73" s="2512"/>
      <c r="O73" s="2043"/>
      <c r="P73" s="2039"/>
      <c r="Q73" s="1905"/>
      <c r="R73" s="1905"/>
      <c r="S73" s="1905"/>
      <c r="T73" s="1905"/>
      <c r="U73" s="1905"/>
      <c r="V73" s="1905"/>
      <c r="W73" s="1905"/>
      <c r="X73" s="1905"/>
      <c r="Y73" s="1905"/>
      <c r="Z73" s="1905"/>
      <c r="AA73" s="1905"/>
      <c r="AB73" s="1905"/>
      <c r="AC73" s="1905"/>
    </row>
    <row r="74" spans="1:29" s="1202" customFormat="1" ht="15" customHeight="1" thickBot="1">
      <c r="A74" s="2514" t="s">
        <v>2621</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2" customFormat="1" ht="15">
      <c r="A75" s="651" t="s">
        <v>523</v>
      </c>
      <c r="B75" s="640"/>
      <c r="C75" s="652" t="s">
        <v>568</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2"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569</v>
      </c>
      <c r="B77" s="657" t="s">
        <v>526</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529</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530</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c r="D82" s="535"/>
      <c r="E82" s="535"/>
      <c r="F82" s="535"/>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7"/>
      <c r="O83" s="2047"/>
      <c r="P83" s="2046"/>
      <c r="Q83" s="2039"/>
      <c r="R83" s="2027"/>
      <c r="S83" s="2027"/>
      <c r="T83" s="2027"/>
      <c r="U83" s="2027"/>
      <c r="V83" s="2027"/>
      <c r="W83" s="2027"/>
      <c r="X83" s="2027"/>
      <c r="Y83" s="2027"/>
      <c r="Z83" s="2027"/>
      <c r="AA83" s="2027"/>
      <c r="AB83" s="2027"/>
      <c r="AC83" s="2027"/>
    </row>
    <row r="84" spans="1:29" s="1292" customFormat="1" ht="15.75" thickTop="1">
      <c r="A84" s="679"/>
      <c r="B84" s="665" t="str">
        <f>B14</f>
        <v>配建</v>
      </c>
      <c r="C84" s="680"/>
      <c r="D84" s="1326"/>
      <c r="E84" s="1327"/>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2"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2"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2"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2"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531</v>
      </c>
      <c r="B90" s="657" t="s">
        <v>570</v>
      </c>
      <c r="C90" s="695" t="s">
        <v>571</v>
      </c>
      <c r="D90" s="695" t="s">
        <v>572</v>
      </c>
      <c r="E90" s="695" t="s">
        <v>573</v>
      </c>
      <c r="F90" s="695" t="s">
        <v>574</v>
      </c>
      <c r="G90" s="695" t="s">
        <v>575</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576</v>
      </c>
      <c r="C92" s="700" t="s">
        <v>571</v>
      </c>
      <c r="D92" s="700" t="s">
        <v>572</v>
      </c>
      <c r="E92" s="700" t="s">
        <v>573</v>
      </c>
      <c r="F92" s="700" t="s">
        <v>574</v>
      </c>
      <c r="G92" s="700" t="s">
        <v>575</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577</v>
      </c>
      <c r="C94" s="700" t="s">
        <v>571</v>
      </c>
      <c r="D94" s="700" t="s">
        <v>572</v>
      </c>
      <c r="E94" s="700" t="s">
        <v>573</v>
      </c>
      <c r="F94" s="700" t="s">
        <v>574</v>
      </c>
      <c r="G94" s="700" t="s">
        <v>575</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578</v>
      </c>
      <c r="C96" s="700" t="s">
        <v>571</v>
      </c>
      <c r="D96" s="700" t="s">
        <v>572</v>
      </c>
      <c r="E96" s="700" t="s">
        <v>573</v>
      </c>
      <c r="F96" s="700" t="s">
        <v>574</v>
      </c>
      <c r="G96" s="700" t="s">
        <v>575</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2" customFormat="1" ht="27.75" thickTop="1">
      <c r="A98" s="701"/>
      <c r="B98" s="665" t="s">
        <v>579</v>
      </c>
      <c r="C98" s="700" t="s">
        <v>571</v>
      </c>
      <c r="D98" s="700" t="s">
        <v>572</v>
      </c>
      <c r="E98" s="700" t="s">
        <v>573</v>
      </c>
      <c r="F98" s="700" t="s">
        <v>574</v>
      </c>
      <c r="G98" s="700" t="s">
        <v>575</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2"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2" customFormat="1" ht="27.75" thickTop="1">
      <c r="A100" s="701"/>
      <c r="B100" s="665" t="s">
        <v>580</v>
      </c>
      <c r="C100" s="695" t="s">
        <v>571</v>
      </c>
      <c r="D100" s="695" t="s">
        <v>572</v>
      </c>
      <c r="E100" s="695" t="s">
        <v>573</v>
      </c>
      <c r="F100" s="695" t="s">
        <v>574</v>
      </c>
      <c r="G100" s="695" t="s">
        <v>575</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2"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2" customFormat="1" ht="15.75" thickTop="1">
      <c r="A102" s="679"/>
      <c r="B102" s="1810" t="s">
        <v>2524</v>
      </c>
      <c r="C102" s="695" t="s">
        <v>571</v>
      </c>
      <c r="D102" s="695" t="s">
        <v>572</v>
      </c>
      <c r="E102" s="695" t="s">
        <v>573</v>
      </c>
      <c r="F102" s="695" t="s">
        <v>574</v>
      </c>
      <c r="G102" s="695" t="s">
        <v>575</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2"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Top="1">
      <c r="A104" s="679"/>
      <c r="B104" s="2441" t="s">
        <v>2526</v>
      </c>
      <c r="C104" s="2442" t="s">
        <v>2527</v>
      </c>
      <c r="D104" s="2442" t="s">
        <v>2528</v>
      </c>
      <c r="E104" s="2442" t="s">
        <v>2529</v>
      </c>
      <c r="F104" s="2442" t="s">
        <v>2530</v>
      </c>
      <c r="G104" s="2442" t="s">
        <v>2531</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2"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581</v>
      </c>
      <c r="D106" s="666" t="s">
        <v>582</v>
      </c>
      <c r="E106" s="666" t="s">
        <v>583</v>
      </c>
      <c r="F106" s="666" t="s">
        <v>584</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540</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541</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2"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2"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c r="A118" s="656" t="s">
        <v>543</v>
      </c>
      <c r="B118" s="657" t="s">
        <v>585</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79" t="str">
        <f t="shared" si="25"/>
        <v>(含)-</v>
      </c>
      <c r="K118" s="2779" t="str">
        <f t="shared" si="25"/>
        <v>(含)-</v>
      </c>
      <c r="L118" s="2780" t="str">
        <f t="shared" si="25"/>
        <v>(含)-</v>
      </c>
      <c r="M118" s="2781"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c r="D119" s="722"/>
      <c r="E119" s="722"/>
      <c r="F119" s="722"/>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c r="D120" s="718"/>
      <c r="E120" s="718"/>
      <c r="F120" s="718"/>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586</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587</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2" customFormat="1" ht="15" thickTop="1">
      <c r="A125" s="720"/>
      <c r="B125" s="1810" t="s">
        <v>2405</v>
      </c>
      <c r="C125" s="1326"/>
      <c r="D125" s="1326"/>
      <c r="E125" s="1326"/>
      <c r="F125" s="1326"/>
      <c r="G125" s="1326"/>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2"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588</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2"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2"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80" priority="18" stopIfTrue="1" operator="containsText" text="超过">
      <formula>NOT(ISERROR(SEARCH("超过",F53)))</formula>
    </cfRule>
  </conditionalFormatting>
  <conditionalFormatting sqref="J55">
    <cfRule type="containsText" dxfId="179" priority="17" stopIfTrue="1" operator="containsText" text="超过">
      <formula>NOT(ISERROR(SEARCH("超过",J55)))</formula>
    </cfRule>
  </conditionalFormatting>
  <conditionalFormatting sqref="H55">
    <cfRule type="containsText" dxfId="178" priority="16" stopIfTrue="1" operator="containsText" text="超过">
      <formula>NOT(ISERROR(SEARCH("超过",H55)))</formula>
    </cfRule>
  </conditionalFormatting>
  <conditionalFormatting sqref="F55">
    <cfRule type="containsText" dxfId="177" priority="15" stopIfTrue="1" operator="containsText" text="超过">
      <formula>NOT(ISERROR(SEARCH("超过",F55)))</formula>
    </cfRule>
  </conditionalFormatting>
  <conditionalFormatting sqref="F54 H54 J54">
    <cfRule type="containsText" dxfId="176" priority="14" stopIfTrue="1" operator="containsText" text="超过">
      <formula>NOT(ISERROR(SEARCH("超过",F54)))</formula>
    </cfRule>
  </conditionalFormatting>
  <conditionalFormatting sqref="E53">
    <cfRule type="expression" dxfId="175" priority="13" stopIfTrue="1">
      <formula>$F$53="超过30%"</formula>
    </cfRule>
  </conditionalFormatting>
  <conditionalFormatting sqref="G55">
    <cfRule type="expression" dxfId="174" priority="12" stopIfTrue="1">
      <formula>$H$55="超过30%"</formula>
    </cfRule>
  </conditionalFormatting>
  <conditionalFormatting sqref="E54">
    <cfRule type="expression" dxfId="173" priority="11" stopIfTrue="1">
      <formula>$F$54="超过20%"</formula>
    </cfRule>
  </conditionalFormatting>
  <conditionalFormatting sqref="E55">
    <cfRule type="expression" dxfId="172" priority="10" stopIfTrue="1">
      <formula>$F$55="超过30%"</formula>
    </cfRule>
  </conditionalFormatting>
  <conditionalFormatting sqref="G53">
    <cfRule type="expression" dxfId="171" priority="9" stopIfTrue="1">
      <formula>$H$55+$H$53="超过30%"</formula>
    </cfRule>
  </conditionalFormatting>
  <conditionalFormatting sqref="G54">
    <cfRule type="expression" dxfId="170" priority="8" stopIfTrue="1">
      <formula>$H$54="超过20%"</formula>
    </cfRule>
  </conditionalFormatting>
  <conditionalFormatting sqref="I53">
    <cfRule type="expression" dxfId="169" priority="7" stopIfTrue="1">
      <formula>$J$53="超过30%"</formula>
    </cfRule>
  </conditionalFormatting>
  <conditionalFormatting sqref="I54">
    <cfRule type="expression" dxfId="168" priority="6" stopIfTrue="1">
      <formula>$J$54="超过20%"</formula>
    </cfRule>
  </conditionalFormatting>
  <conditionalFormatting sqref="I55">
    <cfRule type="expression" dxfId="167" priority="5" stopIfTrue="1">
      <formula>$J$55="超过30%"</formula>
    </cfRule>
  </conditionalFormatting>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F9:F47 H9:H47 J9:J47">
    <cfRule type="cellIs" dxfId="163"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 type="list" allowBlank="1" showInputMessage="1" showErrorMessage="1" sqref="D49" xr:uid="{00000000-0002-0000-13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508</v>
      </c>
      <c r="B1" s="497"/>
      <c r="C1" s="498" t="s">
        <v>589</v>
      </c>
      <c r="D1" s="499" t="s">
        <v>510</v>
      </c>
      <c r="E1" s="729"/>
      <c r="F1" s="730"/>
      <c r="G1" s="729"/>
      <c r="H1" s="729"/>
      <c r="I1" s="729"/>
      <c r="J1" s="729"/>
      <c r="K1" s="731"/>
      <c r="L1" s="3206"/>
      <c r="M1" s="3207"/>
      <c r="N1" s="3207"/>
      <c r="O1" s="3207"/>
      <c r="P1" s="2014"/>
      <c r="Q1" s="2014"/>
      <c r="R1" s="2014"/>
      <c r="S1" s="2014"/>
      <c r="T1" s="2014"/>
      <c r="U1" s="2014"/>
      <c r="V1" s="2014"/>
      <c r="W1" s="2014"/>
      <c r="X1" s="2014"/>
      <c r="Y1" s="2014"/>
      <c r="Z1" s="2014"/>
      <c r="AA1" s="2014"/>
      <c r="AB1" s="2014"/>
      <c r="AC1" s="3208"/>
    </row>
    <row r="2" spans="1:29" s="1289" customFormat="1" ht="28.5" customHeight="1">
      <c r="A2" s="417" t="s">
        <v>459</v>
      </c>
      <c r="B2" s="502" t="e">
        <f>F63</f>
        <v>#DIV/0!</v>
      </c>
      <c r="C2" s="3218"/>
      <c r="D2" s="3218"/>
      <c r="E2" s="3218"/>
      <c r="F2" s="3219"/>
      <c r="G2" s="3218"/>
      <c r="H2" s="3218"/>
      <c r="I2" s="3218"/>
      <c r="J2" s="3218"/>
      <c r="K2" s="3220"/>
      <c r="L2" s="2013"/>
      <c r="M2" s="2014"/>
      <c r="N2" s="2014"/>
      <c r="O2" s="2014"/>
      <c r="P2" s="2014"/>
      <c r="Q2" s="2014"/>
      <c r="R2" s="2014"/>
      <c r="S2" s="2014"/>
      <c r="T2" s="2014"/>
      <c r="U2" s="2014"/>
      <c r="V2" s="2014"/>
      <c r="W2" s="2014"/>
      <c r="X2" s="2014"/>
      <c r="Y2" s="2014"/>
      <c r="Z2" s="2014"/>
      <c r="AA2" s="2014"/>
      <c r="AB2" s="2014"/>
      <c r="AC2" s="3208"/>
    </row>
    <row r="3" spans="1:29" s="1289" customFormat="1" ht="28.5" customHeight="1">
      <c r="A3" s="1331" t="s">
        <v>1671</v>
      </c>
      <c r="B3" s="504" t="e">
        <f>ROUND(B2*10000/'数据-汇总表'!E3,0)</f>
        <v>#DIV/0!</v>
      </c>
      <c r="C3" s="3217"/>
      <c r="D3" s="3217"/>
      <c r="E3" s="3217"/>
      <c r="F3" s="3217"/>
      <c r="G3" s="3218"/>
      <c r="H3" s="3218"/>
      <c r="I3" s="3218"/>
      <c r="J3" s="3218"/>
      <c r="K3" s="3220"/>
      <c r="L3" s="2013"/>
      <c r="M3" s="2014"/>
      <c r="N3" s="2014"/>
      <c r="O3" s="2014"/>
      <c r="P3" s="2014"/>
      <c r="Q3" s="2014"/>
      <c r="R3" s="2014"/>
      <c r="S3" s="2014"/>
      <c r="T3" s="2014"/>
      <c r="U3" s="2014"/>
      <c r="V3" s="2014"/>
      <c r="W3" s="2014"/>
      <c r="X3" s="2014"/>
      <c r="Y3" s="2014"/>
      <c r="Z3" s="2014"/>
      <c r="AA3" s="2014"/>
      <c r="AB3" s="1944"/>
      <c r="AC3" s="1944"/>
    </row>
    <row r="4" spans="1:29" s="1289" customFormat="1" ht="28.5" customHeight="1">
      <c r="A4" s="505" t="s">
        <v>512</v>
      </c>
      <c r="B4" s="421" t="e">
        <f>IF(B43="单位面积地价",C45,ROUND(B2*10000/'数据-汇总表'!D3,0))</f>
        <v>#DIV/0!</v>
      </c>
      <c r="C4" s="3217"/>
      <c r="D4" s="3217"/>
      <c r="E4" s="3217"/>
      <c r="F4" s="3217"/>
      <c r="G4" s="3218"/>
      <c r="H4" s="3218"/>
      <c r="I4" s="3218"/>
      <c r="J4" s="3218"/>
      <c r="K4" s="3220"/>
      <c r="L4" s="2013"/>
      <c r="M4" s="2014"/>
      <c r="N4" s="2014"/>
      <c r="O4" s="2014"/>
      <c r="P4" s="2014"/>
      <c r="Q4" s="2014"/>
      <c r="R4" s="2014"/>
      <c r="S4" s="2014"/>
      <c r="T4" s="2014"/>
      <c r="U4" s="2014"/>
      <c r="V4" s="2014"/>
      <c r="W4" s="2014"/>
      <c r="X4" s="2014"/>
      <c r="Y4" s="2014"/>
      <c r="Z4" s="2014"/>
      <c r="AA4" s="2014"/>
      <c r="AB4" s="2014"/>
      <c r="AC4" s="1944"/>
    </row>
    <row r="5" spans="1:29" s="1289" customFormat="1" ht="28.5" customHeight="1" thickBot="1">
      <c r="A5" s="423"/>
      <c r="B5" s="424" t="e">
        <f>ROUND(B2/('数据-汇总表'!D3/666.67),0)</f>
        <v>#DIV/0!</v>
      </c>
      <c r="C5" s="425" t="s">
        <v>461</v>
      </c>
      <c r="D5" s="3217"/>
      <c r="E5" s="3217"/>
      <c r="F5" s="3217"/>
      <c r="G5" s="3218"/>
      <c r="H5" s="3218"/>
      <c r="I5" s="3218"/>
      <c r="J5" s="3218"/>
      <c r="K5" s="3220"/>
      <c r="L5" s="2013"/>
      <c r="M5" s="2014"/>
      <c r="N5" s="2014"/>
      <c r="O5" s="2014"/>
      <c r="P5" s="2014"/>
      <c r="Q5" s="2014"/>
      <c r="R5" s="2014"/>
      <c r="S5" s="2014"/>
      <c r="T5" s="2014"/>
      <c r="U5" s="2014"/>
      <c r="V5" s="2014"/>
      <c r="W5" s="2014"/>
      <c r="X5" s="2014"/>
      <c r="Y5" s="2014"/>
      <c r="Z5" s="2014"/>
      <c r="AA5" s="2014"/>
      <c r="AB5" s="3209"/>
      <c r="AC5" s="1944"/>
    </row>
    <row r="6" spans="1:29" ht="15">
      <c r="A6" s="506" t="s">
        <v>513</v>
      </c>
      <c r="B6" s="507"/>
      <c r="C6" s="3580" t="s">
        <v>514</v>
      </c>
      <c r="D6" s="3581"/>
      <c r="E6" s="3605" t="s">
        <v>515</v>
      </c>
      <c r="F6" s="3606"/>
      <c r="G6" s="3580" t="s">
        <v>516</v>
      </c>
      <c r="H6" s="3581"/>
      <c r="I6" s="3580" t="s">
        <v>517</v>
      </c>
      <c r="J6" s="3581"/>
      <c r="K6" s="508" t="s">
        <v>518</v>
      </c>
      <c r="L6" s="2015"/>
      <c r="M6" s="2016"/>
      <c r="N6" s="2016"/>
      <c r="O6" s="2016"/>
      <c r="P6" s="3582" t="s">
        <v>519</v>
      </c>
      <c r="Q6" s="3583"/>
      <c r="R6" s="3568" t="s">
        <v>515</v>
      </c>
      <c r="S6" s="3569"/>
      <c r="T6" s="3568" t="s">
        <v>516</v>
      </c>
      <c r="U6" s="3569"/>
      <c r="V6" s="3588" t="s">
        <v>517</v>
      </c>
      <c r="W6" s="3588"/>
      <c r="X6" s="1501"/>
      <c r="Y6" s="3568" t="s">
        <v>519</v>
      </c>
      <c r="Z6" s="3569"/>
      <c r="AA6" s="3563" t="s">
        <v>515</v>
      </c>
      <c r="AB6" s="3564" t="s">
        <v>516</v>
      </c>
      <c r="AC6" s="3563" t="s">
        <v>517</v>
      </c>
    </row>
    <row r="7" spans="1:29" ht="15">
      <c r="A7" s="509"/>
      <c r="B7" s="510"/>
      <c r="C7" s="3591" t="s">
        <v>2887</v>
      </c>
      <c r="D7" s="3592"/>
      <c r="E7" s="3607" t="s">
        <v>2888</v>
      </c>
      <c r="F7" s="3608"/>
      <c r="G7" s="3591" t="s">
        <v>2889</v>
      </c>
      <c r="H7" s="3592"/>
      <c r="I7" s="3591" t="s">
        <v>2890</v>
      </c>
      <c r="J7" s="3592"/>
      <c r="K7" s="508"/>
      <c r="L7" s="2015"/>
      <c r="M7" s="2016"/>
      <c r="N7" s="2016"/>
      <c r="O7" s="2016"/>
      <c r="P7" s="3584"/>
      <c r="Q7" s="3585"/>
      <c r="R7" s="3570"/>
      <c r="S7" s="3571"/>
      <c r="T7" s="3570"/>
      <c r="U7" s="3571"/>
      <c r="V7" s="3588"/>
      <c r="W7" s="3588"/>
      <c r="X7" s="1501"/>
      <c r="Y7" s="3570"/>
      <c r="Z7" s="3571"/>
      <c r="AA7" s="3564"/>
      <c r="AB7" s="3564"/>
      <c r="AC7" s="3564"/>
    </row>
    <row r="8" spans="1:29" ht="15.75" thickBot="1">
      <c r="A8" s="511"/>
      <c r="B8" s="512"/>
      <c r="C8" s="3589" t="s">
        <v>2891</v>
      </c>
      <c r="D8" s="3590"/>
      <c r="E8" s="3609" t="s">
        <v>2891</v>
      </c>
      <c r="F8" s="3610"/>
      <c r="G8" s="3589" t="s">
        <v>2891</v>
      </c>
      <c r="H8" s="3590"/>
      <c r="I8" s="3589" t="s">
        <v>2891</v>
      </c>
      <c r="J8" s="3590"/>
      <c r="K8" s="508" t="s">
        <v>520</v>
      </c>
      <c r="L8" s="2015"/>
      <c r="M8" s="2016"/>
      <c r="N8" s="2016"/>
      <c r="O8" s="2016"/>
      <c r="P8" s="3586"/>
      <c r="Q8" s="3587"/>
      <c r="R8" s="3570"/>
      <c r="S8" s="3571"/>
      <c r="T8" s="3572"/>
      <c r="U8" s="3573"/>
      <c r="V8" s="3588"/>
      <c r="W8" s="3588"/>
      <c r="X8" s="1501"/>
      <c r="Y8" s="3572"/>
      <c r="Z8" s="3573"/>
      <c r="AA8" s="3565"/>
      <c r="AB8" s="3565"/>
      <c r="AC8" s="3565"/>
    </row>
    <row r="9" spans="1:29" s="1202" customFormat="1" ht="15.75" thickBot="1">
      <c r="A9" s="2629"/>
      <c r="B9" s="2636" t="s">
        <v>521</v>
      </c>
      <c r="C9" s="513">
        <f>'数据-取费表'!B2</f>
        <v>44463</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566" t="s">
        <v>522</v>
      </c>
      <c r="Q9" s="3575"/>
      <c r="R9" s="1502" t="s">
        <v>8</v>
      </c>
      <c r="S9" s="1503">
        <f t="shared" ref="S9:S17" si="0">F9</f>
        <v>0</v>
      </c>
      <c r="T9" s="1502" t="s">
        <v>8</v>
      </c>
      <c r="U9" s="1503">
        <f t="shared" ref="U9:U17" si="1">H9</f>
        <v>0</v>
      </c>
      <c r="V9" s="1502" t="s">
        <v>8</v>
      </c>
      <c r="W9" s="1503">
        <f t="shared" ref="W9:W17" si="2">J9</f>
        <v>0</v>
      </c>
      <c r="X9" s="1504"/>
      <c r="Y9" s="3566" t="s">
        <v>522</v>
      </c>
      <c r="Z9" s="3567"/>
      <c r="AA9" s="1505" t="e">
        <f>D9/F9</f>
        <v>#DIV/0!</v>
      </c>
      <c r="AB9" s="1505" t="e">
        <f>D9/H9</f>
        <v>#DIV/0!</v>
      </c>
      <c r="AC9" s="1505" t="e">
        <f>D9/J9</f>
        <v>#DIV/0!</v>
      </c>
    </row>
    <row r="10" spans="1:29" s="1202" customFormat="1" ht="15.75" thickBot="1">
      <c r="A10" s="2630"/>
      <c r="B10" s="2637" t="s">
        <v>523</v>
      </c>
      <c r="C10" s="519" t="s">
        <v>524</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566" t="s">
        <v>525</v>
      </c>
      <c r="Q10" s="3567"/>
      <c r="R10" s="1502" t="s">
        <v>8</v>
      </c>
      <c r="S10" s="1503">
        <f t="shared" si="0"/>
        <v>0</v>
      </c>
      <c r="T10" s="1502" t="s">
        <v>8</v>
      </c>
      <c r="U10" s="1503">
        <f t="shared" si="1"/>
        <v>0</v>
      </c>
      <c r="V10" s="1502" t="s">
        <v>8</v>
      </c>
      <c r="W10" s="1503">
        <f t="shared" si="2"/>
        <v>0</v>
      </c>
      <c r="X10" s="1504"/>
      <c r="Y10" s="3566" t="s">
        <v>525</v>
      </c>
      <c r="Z10" s="3567"/>
      <c r="AA10" s="1505" t="e">
        <f t="shared" ref="AA10:AA42" si="3">D10/F10</f>
        <v>#DIV/0!</v>
      </c>
      <c r="AB10" s="1505" t="e">
        <f t="shared" ref="AB10:AB42" si="4">D10/H10</f>
        <v>#DIV/0!</v>
      </c>
      <c r="AC10" s="1505" t="e">
        <f t="shared" ref="AC10:AC42" si="5">D10/J10</f>
        <v>#DIV/0!</v>
      </c>
    </row>
    <row r="11" spans="1:29" s="1202" customFormat="1" ht="15">
      <c r="A11" s="2631"/>
      <c r="B11" s="2638" t="s">
        <v>2731</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574" t="s">
        <v>527</v>
      </c>
      <c r="Q11" s="1133" t="str">
        <f t="shared" ref="Q11:Q17" si="6">B11</f>
        <v>用途</v>
      </c>
      <c r="R11" s="1502" t="s">
        <v>8</v>
      </c>
      <c r="S11" s="1503">
        <f t="shared" si="0"/>
        <v>100</v>
      </c>
      <c r="T11" s="1502" t="s">
        <v>8</v>
      </c>
      <c r="U11" s="1503">
        <f t="shared" si="1"/>
        <v>100</v>
      </c>
      <c r="V11" s="1502" t="s">
        <v>8</v>
      </c>
      <c r="W11" s="1503">
        <f t="shared" si="2"/>
        <v>100</v>
      </c>
      <c r="X11" s="1504"/>
      <c r="Y11" s="3525" t="s">
        <v>528</v>
      </c>
      <c r="Z11" s="1132" t="str">
        <f t="shared" ref="Z11:Z17" si="7">Q11</f>
        <v>用途</v>
      </c>
      <c r="AA11" s="1505">
        <f t="shared" si="3"/>
        <v>1</v>
      </c>
      <c r="AB11" s="1505">
        <f t="shared" si="4"/>
        <v>1</v>
      </c>
      <c r="AC11" s="1505">
        <f t="shared" si="5"/>
        <v>1</v>
      </c>
    </row>
    <row r="12" spans="1:29" s="1291" customFormat="1" ht="27">
      <c r="A12" s="2632"/>
      <c r="B12" s="2637" t="s">
        <v>2732</v>
      </c>
      <c r="C12" s="522"/>
      <c r="D12" s="253">
        <v>100</v>
      </c>
      <c r="E12" s="522"/>
      <c r="F12" s="253">
        <f>ROUND(100/'数据-取费表'!G16,0)</f>
        <v>100</v>
      </c>
      <c r="G12" s="522"/>
      <c r="H12" s="253">
        <f>ROUND(100/'数据-取费表'!G16,0)</f>
        <v>100</v>
      </c>
      <c r="I12" s="522"/>
      <c r="J12" s="253">
        <f>ROUND(100/'数据-取费表'!G16,0)</f>
        <v>100</v>
      </c>
      <c r="K12" s="525"/>
      <c r="L12" s="2020"/>
      <c r="M12" s="2059"/>
      <c r="N12" s="2059"/>
      <c r="O12" s="2021"/>
      <c r="P12" s="3574"/>
      <c r="Q12" s="1133" t="str">
        <f t="shared" si="6"/>
        <v>土地使用年限（年）</v>
      </c>
      <c r="R12" s="1502" t="s">
        <v>8</v>
      </c>
      <c r="S12" s="1503">
        <f t="shared" si="0"/>
        <v>100</v>
      </c>
      <c r="T12" s="1502" t="s">
        <v>8</v>
      </c>
      <c r="U12" s="1503">
        <f t="shared" si="1"/>
        <v>100</v>
      </c>
      <c r="V12" s="1502" t="s">
        <v>8</v>
      </c>
      <c r="W12" s="1503">
        <f t="shared" si="2"/>
        <v>100</v>
      </c>
      <c r="X12" s="1504"/>
      <c r="Y12" s="3525"/>
      <c r="Z12" s="1132" t="str">
        <f t="shared" si="7"/>
        <v>土地使用年限（年）</v>
      </c>
      <c r="AA12" s="1505">
        <f t="shared" si="3"/>
        <v>1</v>
      </c>
      <c r="AB12" s="1505">
        <f t="shared" si="4"/>
        <v>1</v>
      </c>
      <c r="AC12" s="1505">
        <f t="shared" si="5"/>
        <v>1</v>
      </c>
    </row>
    <row r="13" spans="1:29" ht="15">
      <c r="A13" s="2633"/>
      <c r="B13" s="2637" t="s">
        <v>2733</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574"/>
      <c r="Q13" s="1133" t="str">
        <f t="shared" si="6"/>
        <v>容积率</v>
      </c>
      <c r="R13" s="1502" t="s">
        <v>8</v>
      </c>
      <c r="S13" s="1503" t="e">
        <f t="shared" si="0"/>
        <v>#N/A</v>
      </c>
      <c r="T13" s="1502" t="s">
        <v>8</v>
      </c>
      <c r="U13" s="1503" t="e">
        <f t="shared" si="1"/>
        <v>#N/A</v>
      </c>
      <c r="V13" s="1502" t="s">
        <v>8</v>
      </c>
      <c r="W13" s="1503" t="e">
        <f t="shared" si="2"/>
        <v>#N/A</v>
      </c>
      <c r="X13" s="1504"/>
      <c r="Y13" s="3525"/>
      <c r="Z13" s="1132" t="str">
        <f t="shared" si="7"/>
        <v>容积率</v>
      </c>
      <c r="AA13" s="1505" t="e">
        <f t="shared" si="3"/>
        <v>#N/A</v>
      </c>
      <c r="AB13" s="1505" t="e">
        <f t="shared" si="4"/>
        <v>#N/A</v>
      </c>
      <c r="AC13" s="1505" t="e">
        <f t="shared" si="5"/>
        <v>#N/A</v>
      </c>
    </row>
    <row r="14" spans="1:29" s="1202"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574"/>
      <c r="Q14" s="1133">
        <f t="shared" si="6"/>
        <v>111</v>
      </c>
      <c r="R14" s="1502" t="s">
        <v>8</v>
      </c>
      <c r="S14" s="1503">
        <f t="shared" si="0"/>
        <v>100</v>
      </c>
      <c r="T14" s="1502" t="s">
        <v>8</v>
      </c>
      <c r="U14" s="1503">
        <f t="shared" si="1"/>
        <v>100</v>
      </c>
      <c r="V14" s="1502" t="s">
        <v>8</v>
      </c>
      <c r="W14" s="1503">
        <f t="shared" si="2"/>
        <v>100</v>
      </c>
      <c r="X14" s="1504"/>
      <c r="Y14" s="3525"/>
      <c r="Z14" s="1132">
        <f t="shared" si="7"/>
        <v>111</v>
      </c>
      <c r="AA14" s="1505">
        <f>D14/F14</f>
        <v>1</v>
      </c>
      <c r="AB14" s="1505">
        <f>D14/H14</f>
        <v>1</v>
      </c>
      <c r="AC14" s="1505">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574"/>
      <c r="Q15" s="1133">
        <f t="shared" si="6"/>
        <v>111</v>
      </c>
      <c r="R15" s="1502" t="s">
        <v>8</v>
      </c>
      <c r="S15" s="1503">
        <f t="shared" si="0"/>
        <v>100</v>
      </c>
      <c r="T15" s="1502" t="s">
        <v>8</v>
      </c>
      <c r="U15" s="1503">
        <f t="shared" si="1"/>
        <v>100</v>
      </c>
      <c r="V15" s="1502" t="s">
        <v>8</v>
      </c>
      <c r="W15" s="1503">
        <f t="shared" si="2"/>
        <v>100</v>
      </c>
      <c r="X15" s="1504"/>
      <c r="Y15" s="3525"/>
      <c r="Z15" s="1132">
        <f t="shared" si="7"/>
        <v>111</v>
      </c>
      <c r="AA15" s="1505">
        <f t="shared" si="3"/>
        <v>1</v>
      </c>
      <c r="AB15" s="1505">
        <f t="shared" si="4"/>
        <v>1</v>
      </c>
      <c r="AC15" s="1505">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574"/>
      <c r="Q16" s="1133">
        <f t="shared" si="6"/>
        <v>111</v>
      </c>
      <c r="R16" s="1502" t="s">
        <v>8</v>
      </c>
      <c r="S16" s="1503">
        <f t="shared" si="0"/>
        <v>100</v>
      </c>
      <c r="T16" s="1502" t="s">
        <v>8</v>
      </c>
      <c r="U16" s="1503">
        <f t="shared" si="1"/>
        <v>100</v>
      </c>
      <c r="V16" s="1502" t="s">
        <v>8</v>
      </c>
      <c r="W16" s="1503">
        <f t="shared" si="2"/>
        <v>100</v>
      </c>
      <c r="X16" s="1504"/>
      <c r="Y16" s="3525"/>
      <c r="Z16" s="1132">
        <f t="shared" si="7"/>
        <v>111</v>
      </c>
      <c r="AA16" s="1505">
        <f t="shared" si="3"/>
        <v>1</v>
      </c>
      <c r="AB16" s="1505">
        <f t="shared" si="4"/>
        <v>1</v>
      </c>
      <c r="AC16" s="1505">
        <f t="shared" si="5"/>
        <v>1</v>
      </c>
    </row>
    <row r="17" spans="1:29" ht="57">
      <c r="A17" s="2627" t="s">
        <v>2729</v>
      </c>
      <c r="B17" s="164" t="s">
        <v>590</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576" t="s">
        <v>532</v>
      </c>
      <c r="Q17" s="1506" t="str">
        <f t="shared" si="6"/>
        <v>产业集聚程度</v>
      </c>
      <c r="R17" s="1507" t="s">
        <v>8</v>
      </c>
      <c r="S17" s="1508">
        <f t="shared" si="0"/>
        <v>100</v>
      </c>
      <c r="T17" s="1507" t="s">
        <v>8</v>
      </c>
      <c r="U17" s="1508">
        <f t="shared" si="1"/>
        <v>100</v>
      </c>
      <c r="V17" s="1507" t="s">
        <v>8</v>
      </c>
      <c r="W17" s="1508">
        <f t="shared" si="2"/>
        <v>100</v>
      </c>
      <c r="X17" s="1501"/>
      <c r="Y17" s="3576" t="s">
        <v>532</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4"/>
      <c r="M18" s="2016"/>
      <c r="N18" s="2016"/>
      <c r="O18" s="2023"/>
      <c r="P18" s="3577"/>
      <c r="Q18" s="1506"/>
      <c r="R18" s="1507"/>
      <c r="S18" s="1508"/>
      <c r="T18" s="1507"/>
      <c r="U18" s="1508"/>
      <c r="V18" s="1507"/>
      <c r="W18" s="1508"/>
      <c r="X18" s="1501"/>
      <c r="Y18" s="3577"/>
      <c r="Z18" s="1509"/>
      <c r="AA18" s="1510">
        <v>1</v>
      </c>
      <c r="AB18" s="1510">
        <v>1</v>
      </c>
      <c r="AC18" s="1510">
        <v>1</v>
      </c>
    </row>
    <row r="19" spans="1:29" ht="85.5">
      <c r="A19" s="526"/>
      <c r="B19" s="860" t="s">
        <v>535</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77"/>
      <c r="Q19" s="1506" t="str">
        <f>B19</f>
        <v>交通便捷度</v>
      </c>
      <c r="R19" s="1507" t="s">
        <v>8</v>
      </c>
      <c r="S19" s="1508">
        <f>F19</f>
        <v>100</v>
      </c>
      <c r="T19" s="1507" t="s">
        <v>8</v>
      </c>
      <c r="U19" s="1508">
        <f>H19</f>
        <v>100</v>
      </c>
      <c r="V19" s="1507" t="s">
        <v>8</v>
      </c>
      <c r="W19" s="1508">
        <f>J19</f>
        <v>100</v>
      </c>
      <c r="X19" s="1501"/>
      <c r="Y19" s="3577"/>
      <c r="Z19" s="1509" t="str">
        <f>Q19</f>
        <v>交通便捷度</v>
      </c>
      <c r="AA19" s="1510">
        <f t="shared" si="3"/>
        <v>1</v>
      </c>
      <c r="AB19" s="1510">
        <f t="shared" si="4"/>
        <v>1</v>
      </c>
      <c r="AC19" s="1510">
        <f t="shared" si="5"/>
        <v>1</v>
      </c>
    </row>
    <row r="20" spans="1:29" ht="15">
      <c r="A20" s="526"/>
      <c r="B20" s="911"/>
      <c r="C20" s="570"/>
      <c r="D20" s="549"/>
      <c r="E20" s="550"/>
      <c r="F20" s="549"/>
      <c r="G20" s="550"/>
      <c r="H20" s="549"/>
      <c r="I20" s="552"/>
      <c r="J20" s="549"/>
      <c r="K20" s="525"/>
      <c r="L20" s="2024"/>
      <c r="M20" s="2016"/>
      <c r="N20" s="2016"/>
      <c r="O20" s="2023"/>
      <c r="P20" s="3577"/>
      <c r="Q20" s="1506"/>
      <c r="R20" s="1507"/>
      <c r="S20" s="1508"/>
      <c r="T20" s="1507"/>
      <c r="U20" s="1508"/>
      <c r="V20" s="1507"/>
      <c r="W20" s="1508"/>
      <c r="X20" s="1501"/>
      <c r="Y20" s="3577"/>
      <c r="Z20" s="1509"/>
      <c r="AA20" s="1510">
        <v>1</v>
      </c>
      <c r="AB20" s="1510">
        <v>1</v>
      </c>
      <c r="AC20" s="1510">
        <v>1</v>
      </c>
    </row>
    <row r="21" spans="1:29" ht="27">
      <c r="A21" s="509"/>
      <c r="B21" s="860" t="s">
        <v>536</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577"/>
      <c r="Q21" s="1506" t="str">
        <f t="shared" ref="Q21:Q35" si="8">B21</f>
        <v>区域土地利用方向</v>
      </c>
      <c r="R21" s="1507" t="s">
        <v>8</v>
      </c>
      <c r="S21" s="1508">
        <f>F21</f>
        <v>100</v>
      </c>
      <c r="T21" s="1507" t="s">
        <v>8</v>
      </c>
      <c r="U21" s="1508">
        <f>H21</f>
        <v>100</v>
      </c>
      <c r="V21" s="1507" t="s">
        <v>8</v>
      </c>
      <c r="W21" s="1508">
        <f>J21</f>
        <v>100</v>
      </c>
      <c r="X21" s="1501"/>
      <c r="Y21" s="3577"/>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0"/>
      <c r="L22" s="2024"/>
      <c r="M22" s="2016"/>
      <c r="N22" s="2016"/>
      <c r="O22" s="2023"/>
      <c r="P22" s="3577"/>
      <c r="Q22" s="1506"/>
      <c r="R22" s="1507"/>
      <c r="S22" s="1508"/>
      <c r="T22" s="1507"/>
      <c r="U22" s="1508"/>
      <c r="V22" s="1507"/>
      <c r="W22" s="1508"/>
      <c r="X22" s="1501"/>
      <c r="Y22" s="3577"/>
      <c r="Z22" s="1509"/>
      <c r="AA22" s="1510"/>
      <c r="AB22" s="1510"/>
      <c r="AC22" s="1510"/>
    </row>
    <row r="23" spans="1:29" ht="71.25">
      <c r="A23" s="509"/>
      <c r="B23" s="911" t="s">
        <v>591</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577"/>
      <c r="Q23" s="1506" t="str">
        <f t="shared" si="8"/>
        <v>环境状况</v>
      </c>
      <c r="R23" s="1507" t="s">
        <v>8</v>
      </c>
      <c r="S23" s="1508">
        <f>F23</f>
        <v>100</v>
      </c>
      <c r="T23" s="1507" t="s">
        <v>8</v>
      </c>
      <c r="U23" s="1508">
        <f>H23</f>
        <v>100</v>
      </c>
      <c r="V23" s="1507" t="s">
        <v>8</v>
      </c>
      <c r="W23" s="1508">
        <f>J23</f>
        <v>100</v>
      </c>
      <c r="X23" s="1501"/>
      <c r="Y23" s="3577"/>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4"/>
      <c r="M24" s="2016"/>
      <c r="N24" s="2016"/>
      <c r="O24" s="2023"/>
      <c r="P24" s="3577"/>
      <c r="Q24" s="1506"/>
      <c r="R24" s="1507"/>
      <c r="S24" s="1508"/>
      <c r="T24" s="1507"/>
      <c r="U24" s="1508"/>
      <c r="V24" s="1507"/>
      <c r="W24" s="1508"/>
      <c r="X24" s="1501"/>
      <c r="Y24" s="3577"/>
      <c r="Z24" s="1509"/>
      <c r="AA24" s="1510">
        <v>1</v>
      </c>
      <c r="AB24" s="1510">
        <v>1</v>
      </c>
      <c r="AC24" s="1510">
        <v>1</v>
      </c>
    </row>
    <row r="25" spans="1:29" s="1202" customFormat="1" ht="42.75">
      <c r="A25" s="571"/>
      <c r="B25" s="2437" t="s">
        <v>2524</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77"/>
      <c r="Q25" s="1133" t="str">
        <f t="shared" si="8"/>
        <v>公共配套设施</v>
      </c>
      <c r="R25" s="1502" t="s">
        <v>8</v>
      </c>
      <c r="S25" s="1503">
        <f>F25</f>
        <v>100</v>
      </c>
      <c r="T25" s="1502" t="s">
        <v>8</v>
      </c>
      <c r="U25" s="1503">
        <f>H25</f>
        <v>100</v>
      </c>
      <c r="V25" s="1502" t="s">
        <v>8</v>
      </c>
      <c r="W25" s="1503">
        <f>J25</f>
        <v>100</v>
      </c>
      <c r="X25" s="1504"/>
      <c r="Y25" s="3577"/>
      <c r="Z25" s="1132" t="str">
        <f>Q25</f>
        <v>公共配套设施</v>
      </c>
      <c r="AA25" s="1510">
        <f>D25/F25</f>
        <v>1</v>
      </c>
      <c r="AB25" s="1510">
        <f>D25/H25</f>
        <v>1</v>
      </c>
      <c r="AC25" s="1510">
        <f>D25/J25</f>
        <v>1</v>
      </c>
    </row>
    <row r="26" spans="1:29" s="1202" customFormat="1" ht="15">
      <c r="A26" s="571"/>
      <c r="B26" s="589"/>
      <c r="C26" s="2436"/>
      <c r="D26" s="549"/>
      <c r="E26" s="548"/>
      <c r="F26" s="549"/>
      <c r="G26" s="548"/>
      <c r="H26" s="549"/>
      <c r="I26" s="570"/>
      <c r="J26" s="549"/>
      <c r="K26" s="525"/>
      <c r="L26" s="2017"/>
      <c r="M26" s="2018"/>
      <c r="N26" s="2018"/>
      <c r="O26" s="2019"/>
      <c r="P26" s="3577"/>
      <c r="Q26" s="1133"/>
      <c r="R26" s="1502"/>
      <c r="S26" s="1503"/>
      <c r="T26" s="1502"/>
      <c r="U26" s="1503"/>
      <c r="V26" s="1502"/>
      <c r="W26" s="1503"/>
      <c r="X26" s="1504"/>
      <c r="Y26" s="3577"/>
      <c r="Z26" s="1132"/>
      <c r="AA26" s="1505">
        <v>1</v>
      </c>
      <c r="AB26" s="1505">
        <v>1</v>
      </c>
      <c r="AC26" s="1505">
        <v>1</v>
      </c>
    </row>
    <row r="27" spans="1:29" s="1202" customFormat="1" ht="28.5">
      <c r="A27" s="571"/>
      <c r="B27" s="2437" t="s">
        <v>2525</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77"/>
      <c r="Q27" s="2428" t="str">
        <f t="shared" ref="Q27" si="9">B27</f>
        <v>基础设施水平</v>
      </c>
      <c r="R27" s="1502" t="s">
        <v>8</v>
      </c>
      <c r="S27" s="1503">
        <f>F27</f>
        <v>100</v>
      </c>
      <c r="T27" s="1502" t="s">
        <v>8</v>
      </c>
      <c r="U27" s="1503">
        <f>H27</f>
        <v>100</v>
      </c>
      <c r="V27" s="1502" t="s">
        <v>8</v>
      </c>
      <c r="W27" s="1503">
        <f>J27</f>
        <v>100</v>
      </c>
      <c r="X27" s="1504"/>
      <c r="Y27" s="3577"/>
      <c r="Z27" s="2427" t="str">
        <f>Q27</f>
        <v>基础设施水平</v>
      </c>
      <c r="AA27" s="1510">
        <f>D27/F27</f>
        <v>1</v>
      </c>
      <c r="AB27" s="1510">
        <f>D27/H27</f>
        <v>1</v>
      </c>
      <c r="AC27" s="1510">
        <f>D27/J27</f>
        <v>1</v>
      </c>
    </row>
    <row r="28" spans="1:29" s="1202" customFormat="1" ht="15">
      <c r="A28" s="571"/>
      <c r="B28" s="589"/>
      <c r="C28" s="2436"/>
      <c r="D28" s="549"/>
      <c r="E28" s="573"/>
      <c r="F28" s="549"/>
      <c r="G28" s="573"/>
      <c r="H28" s="549"/>
      <c r="I28" s="573"/>
      <c r="J28" s="549"/>
      <c r="K28" s="525"/>
      <c r="L28" s="2017"/>
      <c r="M28" s="2018"/>
      <c r="N28" s="2018"/>
      <c r="O28" s="2019"/>
      <c r="P28" s="3577"/>
      <c r="Q28" s="2428"/>
      <c r="R28" s="1502"/>
      <c r="S28" s="1503"/>
      <c r="T28" s="1502"/>
      <c r="U28" s="1503"/>
      <c r="V28" s="1502"/>
      <c r="W28" s="1503"/>
      <c r="X28" s="1504"/>
      <c r="Y28" s="3577"/>
      <c r="Z28" s="2427"/>
      <c r="AA28" s="1505">
        <v>1</v>
      </c>
      <c r="AB28" s="1505">
        <v>1</v>
      </c>
      <c r="AC28" s="1505">
        <v>1</v>
      </c>
    </row>
    <row r="29" spans="1:29" ht="15">
      <c r="A29" s="526"/>
      <c r="B29" s="589" t="s">
        <v>539</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77"/>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577"/>
      <c r="Z29" s="1509" t="str">
        <f t="shared" ref="Z29:Z42" si="13">Q29</f>
        <v>临街状况</v>
      </c>
      <c r="AA29" s="1510">
        <f t="shared" si="3"/>
        <v>1</v>
      </c>
      <c r="AB29" s="1510">
        <f t="shared" si="4"/>
        <v>1</v>
      </c>
      <c r="AC29" s="1510">
        <f t="shared" si="5"/>
        <v>1</v>
      </c>
    </row>
    <row r="30" spans="1:29" ht="27">
      <c r="A30" s="526"/>
      <c r="B30" s="911" t="s">
        <v>540</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77"/>
      <c r="Q30" s="1506" t="str">
        <f t="shared" si="8"/>
        <v>毗邻道路的类型与等级</v>
      </c>
      <c r="R30" s="1507" t="s">
        <v>8</v>
      </c>
      <c r="S30" s="1508">
        <f t="shared" si="10"/>
        <v>100</v>
      </c>
      <c r="T30" s="1507" t="s">
        <v>8</v>
      </c>
      <c r="U30" s="1508">
        <f t="shared" si="11"/>
        <v>100</v>
      </c>
      <c r="V30" s="1507" t="s">
        <v>8</v>
      </c>
      <c r="W30" s="1508">
        <f t="shared" si="12"/>
        <v>100</v>
      </c>
      <c r="X30" s="1501"/>
      <c r="Y30" s="3577"/>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4"/>
      <c r="M31" s="2016"/>
      <c r="N31" s="2016"/>
      <c r="O31" s="2023"/>
      <c r="P31" s="3577"/>
      <c r="Q31" s="1506"/>
      <c r="R31" s="1507"/>
      <c r="S31" s="1508"/>
      <c r="T31" s="1507"/>
      <c r="U31" s="1508"/>
      <c r="V31" s="1507"/>
      <c r="W31" s="1508"/>
      <c r="X31" s="1501"/>
      <c r="Y31" s="3577"/>
      <c r="Z31" s="1509"/>
      <c r="AA31" s="1510">
        <v>1</v>
      </c>
      <c r="AB31" s="1510">
        <v>1</v>
      </c>
      <c r="AC31" s="1510">
        <v>1</v>
      </c>
    </row>
    <row r="32" spans="1:29" ht="15">
      <c r="A32" s="526"/>
      <c r="B32" s="521" t="s">
        <v>541</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77"/>
      <c r="Q32" s="1506" t="str">
        <f t="shared" si="8"/>
        <v>土地级别</v>
      </c>
      <c r="R32" s="1507" t="s">
        <v>8</v>
      </c>
      <c r="S32" s="1508">
        <f t="shared" si="10"/>
        <v>100</v>
      </c>
      <c r="T32" s="1507" t="s">
        <v>8</v>
      </c>
      <c r="U32" s="1508">
        <f t="shared" si="11"/>
        <v>100</v>
      </c>
      <c r="V32" s="1507" t="s">
        <v>8</v>
      </c>
      <c r="W32" s="1508">
        <f t="shared" si="12"/>
        <v>100</v>
      </c>
      <c r="X32" s="1501"/>
      <c r="Y32" s="3577"/>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77"/>
      <c r="Q33" s="1506">
        <f t="shared" si="8"/>
        <v>111</v>
      </c>
      <c r="R33" s="1507" t="s">
        <v>8</v>
      </c>
      <c r="S33" s="1508">
        <f t="shared" si="10"/>
        <v>100</v>
      </c>
      <c r="T33" s="1507" t="s">
        <v>8</v>
      </c>
      <c r="U33" s="1508">
        <f t="shared" si="11"/>
        <v>100</v>
      </c>
      <c r="V33" s="1507" t="s">
        <v>8</v>
      </c>
      <c r="W33" s="1508">
        <f t="shared" si="12"/>
        <v>100</v>
      </c>
      <c r="X33" s="1501"/>
      <c r="Y33" s="3577"/>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78" t="s">
        <v>542</v>
      </c>
      <c r="Q34" s="1506">
        <f t="shared" si="8"/>
        <v>111</v>
      </c>
      <c r="R34" s="1507" t="s">
        <v>8</v>
      </c>
      <c r="S34" s="1508">
        <f t="shared" si="10"/>
        <v>100</v>
      </c>
      <c r="T34" s="1507" t="s">
        <v>8</v>
      </c>
      <c r="U34" s="1508">
        <f t="shared" si="11"/>
        <v>100</v>
      </c>
      <c r="V34" s="1507" t="s">
        <v>8</v>
      </c>
      <c r="W34" s="1508">
        <f t="shared" si="12"/>
        <v>100</v>
      </c>
      <c r="X34" s="1501"/>
      <c r="Y34" s="3579" t="s">
        <v>542</v>
      </c>
      <c r="Z34" s="1509">
        <f t="shared" si="13"/>
        <v>111</v>
      </c>
      <c r="AA34" s="1510">
        <f t="shared" si="3"/>
        <v>1</v>
      </c>
      <c r="AB34" s="1510">
        <f t="shared" si="4"/>
        <v>1</v>
      </c>
      <c r="AC34" s="1510">
        <f t="shared" si="5"/>
        <v>1</v>
      </c>
    </row>
    <row r="35" spans="1:29" s="1292"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79"/>
      <c r="Q35" s="1506">
        <f t="shared" si="8"/>
        <v>111</v>
      </c>
      <c r="R35" s="1511" t="s">
        <v>8</v>
      </c>
      <c r="S35" s="1512">
        <f t="shared" si="10"/>
        <v>100</v>
      </c>
      <c r="T35" s="1511" t="s">
        <v>8</v>
      </c>
      <c r="U35" s="1512">
        <f t="shared" si="11"/>
        <v>100</v>
      </c>
      <c r="V35" s="1511" t="s">
        <v>8</v>
      </c>
      <c r="W35" s="1512">
        <f t="shared" si="12"/>
        <v>100</v>
      </c>
      <c r="X35" s="1513"/>
      <c r="Y35" s="3579"/>
      <c r="Z35" s="1514">
        <f t="shared" si="13"/>
        <v>111</v>
      </c>
      <c r="AA35" s="1510">
        <f t="shared" si="3"/>
        <v>1</v>
      </c>
      <c r="AB35" s="1510">
        <f t="shared" si="4"/>
        <v>1</v>
      </c>
      <c r="AC35" s="1510">
        <f t="shared" si="5"/>
        <v>1</v>
      </c>
    </row>
    <row r="36" spans="1:29" ht="15">
      <c r="A36" s="2624" t="s">
        <v>2730</v>
      </c>
      <c r="B36" s="589" t="s">
        <v>544</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579"/>
      <c r="Q36" s="1506" t="str">
        <f>B36</f>
        <v>宗地面积</v>
      </c>
      <c r="R36" s="1507" t="s">
        <v>8</v>
      </c>
      <c r="S36" s="1508" t="e">
        <f t="shared" si="10"/>
        <v>#N/A</v>
      </c>
      <c r="T36" s="1507" t="s">
        <v>8</v>
      </c>
      <c r="U36" s="1508" t="e">
        <f t="shared" si="11"/>
        <v>#N/A</v>
      </c>
      <c r="V36" s="1507" t="s">
        <v>8</v>
      </c>
      <c r="W36" s="1508" t="e">
        <f t="shared" si="12"/>
        <v>#N/A</v>
      </c>
      <c r="X36" s="1501"/>
      <c r="Y36" s="3579"/>
      <c r="Z36" s="1509" t="str">
        <f t="shared" si="13"/>
        <v>宗地面积</v>
      </c>
      <c r="AA36" s="1510" t="e">
        <f t="shared" si="3"/>
        <v>#N/A</v>
      </c>
      <c r="AB36" s="1510" t="e">
        <f t="shared" si="4"/>
        <v>#N/A</v>
      </c>
      <c r="AC36" s="1510" t="e">
        <f t="shared" si="5"/>
        <v>#N/A</v>
      </c>
    </row>
    <row r="37" spans="1:29" ht="15">
      <c r="A37" s="588"/>
      <c r="B37" s="521" t="s">
        <v>545</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79"/>
      <c r="Q37" s="1506" t="str">
        <f t="shared" ref="Q37:Q42" si="14">B37</f>
        <v>宗地形状</v>
      </c>
      <c r="R37" s="1507" t="s">
        <v>8</v>
      </c>
      <c r="S37" s="1508">
        <f t="shared" si="10"/>
        <v>100</v>
      </c>
      <c r="T37" s="1507" t="s">
        <v>8</v>
      </c>
      <c r="U37" s="1508">
        <f t="shared" si="11"/>
        <v>100</v>
      </c>
      <c r="V37" s="1507" t="s">
        <v>8</v>
      </c>
      <c r="W37" s="1508">
        <f t="shared" si="12"/>
        <v>100</v>
      </c>
      <c r="X37" s="1501"/>
      <c r="Y37" s="3579"/>
      <c r="Z37" s="1509" t="str">
        <f t="shared" si="13"/>
        <v>宗地形状</v>
      </c>
      <c r="AA37" s="1510">
        <f t="shared" si="3"/>
        <v>1</v>
      </c>
      <c r="AB37" s="1510">
        <f t="shared" si="4"/>
        <v>1</v>
      </c>
      <c r="AC37" s="1510">
        <f t="shared" si="5"/>
        <v>1</v>
      </c>
    </row>
    <row r="38" spans="1:29" s="1202" customFormat="1" ht="15">
      <c r="A38" s="594"/>
      <c r="B38" s="1809" t="s">
        <v>2404</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579"/>
      <c r="Q38" s="1506" t="str">
        <f t="shared" si="14"/>
        <v>宗地开发程度</v>
      </c>
      <c r="R38" s="1502" t="s">
        <v>8</v>
      </c>
      <c r="S38" s="1503">
        <f t="shared" si="10"/>
        <v>100</v>
      </c>
      <c r="T38" s="1502" t="s">
        <v>8</v>
      </c>
      <c r="U38" s="1503">
        <f t="shared" si="11"/>
        <v>100</v>
      </c>
      <c r="V38" s="1502" t="s">
        <v>8</v>
      </c>
      <c r="W38" s="1503">
        <f t="shared" si="12"/>
        <v>100</v>
      </c>
      <c r="X38" s="1504"/>
      <c r="Y38" s="3579"/>
      <c r="Z38" s="1132" t="str">
        <f t="shared" si="13"/>
        <v>宗地开发程度</v>
      </c>
      <c r="AA38" s="1505">
        <f t="shared" si="3"/>
        <v>1</v>
      </c>
      <c r="AB38" s="1505">
        <f t="shared" si="4"/>
        <v>1</v>
      </c>
      <c r="AC38" s="1505">
        <f t="shared" si="5"/>
        <v>1</v>
      </c>
    </row>
    <row r="39" spans="1:29" ht="15">
      <c r="A39" s="588"/>
      <c r="B39" s="521" t="s">
        <v>547</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79" t="s">
        <v>593</v>
      </c>
      <c r="Q39" s="1506" t="str">
        <f t="shared" si="14"/>
        <v>工程地质条件</v>
      </c>
      <c r="R39" s="1507" t="s">
        <v>8</v>
      </c>
      <c r="S39" s="1508">
        <f t="shared" si="10"/>
        <v>100</v>
      </c>
      <c r="T39" s="1507" t="s">
        <v>8</v>
      </c>
      <c r="U39" s="1508">
        <f t="shared" si="11"/>
        <v>100</v>
      </c>
      <c r="V39" s="1507" t="s">
        <v>8</v>
      </c>
      <c r="W39" s="1508">
        <f t="shared" si="12"/>
        <v>100</v>
      </c>
      <c r="X39" s="1501"/>
      <c r="Y39" s="3579" t="s">
        <v>593</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79"/>
      <c r="Q40" s="1506">
        <f t="shared" si="14"/>
        <v>111</v>
      </c>
      <c r="R40" s="1507" t="s">
        <v>8</v>
      </c>
      <c r="S40" s="1508">
        <f t="shared" si="10"/>
        <v>100</v>
      </c>
      <c r="T40" s="1507" t="s">
        <v>8</v>
      </c>
      <c r="U40" s="1508">
        <f t="shared" si="11"/>
        <v>100</v>
      </c>
      <c r="V40" s="1507" t="s">
        <v>8</v>
      </c>
      <c r="W40" s="1508">
        <f t="shared" si="12"/>
        <v>100</v>
      </c>
      <c r="X40" s="1501"/>
      <c r="Y40" s="3579"/>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79"/>
      <c r="Q41" s="1506">
        <f t="shared" si="14"/>
        <v>111</v>
      </c>
      <c r="R41" s="1507" t="s">
        <v>8</v>
      </c>
      <c r="S41" s="1508">
        <f t="shared" si="10"/>
        <v>100</v>
      </c>
      <c r="T41" s="1507" t="s">
        <v>8</v>
      </c>
      <c r="U41" s="1508">
        <f t="shared" si="11"/>
        <v>100</v>
      </c>
      <c r="V41" s="1507" t="s">
        <v>8</v>
      </c>
      <c r="W41" s="1508">
        <f t="shared" si="12"/>
        <v>100</v>
      </c>
      <c r="X41" s="1501"/>
      <c r="Y41" s="3579"/>
      <c r="Z41" s="1509">
        <f t="shared" si="13"/>
        <v>111</v>
      </c>
      <c r="AA41" s="1510">
        <f t="shared" si="3"/>
        <v>1</v>
      </c>
      <c r="AB41" s="1510">
        <f t="shared" si="4"/>
        <v>1</v>
      </c>
      <c r="AC41" s="1510">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79"/>
      <c r="Q42" s="1506">
        <f t="shared" si="14"/>
        <v>111</v>
      </c>
      <c r="R42" s="1511" t="s">
        <v>8</v>
      </c>
      <c r="S42" s="1512">
        <f t="shared" si="10"/>
        <v>100</v>
      </c>
      <c r="T42" s="1511" t="s">
        <v>8</v>
      </c>
      <c r="U42" s="1512">
        <f t="shared" si="11"/>
        <v>100</v>
      </c>
      <c r="V42" s="1511" t="s">
        <v>8</v>
      </c>
      <c r="W42" s="1512">
        <f t="shared" si="12"/>
        <v>100</v>
      </c>
      <c r="X42" s="1513"/>
      <c r="Y42" s="3579"/>
      <c r="Z42" s="1514">
        <f t="shared" si="13"/>
        <v>111</v>
      </c>
      <c r="AA42" s="1510">
        <f t="shared" si="3"/>
        <v>1</v>
      </c>
      <c r="AB42" s="1510">
        <f t="shared" si="4"/>
        <v>1</v>
      </c>
      <c r="AC42" s="1510">
        <f t="shared" si="5"/>
        <v>1</v>
      </c>
    </row>
    <row r="43" spans="1:29" ht="15">
      <c r="A43" s="601" t="s">
        <v>548</v>
      </c>
      <c r="B43" s="602" t="s">
        <v>2892</v>
      </c>
      <c r="C43" s="603" t="s">
        <v>1</v>
      </c>
      <c r="D43" s="604"/>
      <c r="E43" s="605"/>
      <c r="F43" s="606"/>
      <c r="G43" s="607"/>
      <c r="H43" s="608"/>
      <c r="I43" s="605"/>
      <c r="J43" s="608"/>
      <c r="K43" s="1293"/>
      <c r="L43" s="2026"/>
      <c r="M43" s="2016"/>
      <c r="N43" s="2016"/>
      <c r="O43" s="2027"/>
      <c r="P43" s="3574" t="str">
        <f>A43</f>
        <v>成交单价</v>
      </c>
      <c r="Q43" s="3574"/>
      <c r="R43" s="3588">
        <f>E43</f>
        <v>0</v>
      </c>
      <c r="S43" s="3588"/>
      <c r="T43" s="3588">
        <f>G43</f>
        <v>0</v>
      </c>
      <c r="U43" s="3588"/>
      <c r="V43" s="3588">
        <f>I43</f>
        <v>0</v>
      </c>
      <c r="W43" s="3588"/>
      <c r="X43" s="1496"/>
      <c r="Y43" s="1515"/>
      <c r="Z43" s="1496"/>
      <c r="AA43" s="1496"/>
      <c r="AB43" s="1496"/>
      <c r="AC43" s="1496"/>
    </row>
    <row r="44" spans="1:29" ht="15.75" thickBot="1">
      <c r="A44" s="609" t="s">
        <v>2668</v>
      </c>
      <c r="B44" s="610"/>
      <c r="C44" s="611" t="e">
        <f>R45</f>
        <v>#DIV/0!</v>
      </c>
      <c r="D44" s="3013" t="s">
        <v>2960</v>
      </c>
      <c r="E44" s="611" t="e">
        <f>R44</f>
        <v>#DIV/0!</v>
      </c>
      <c r="F44" s="3014"/>
      <c r="G44" s="612" t="e">
        <f>T44</f>
        <v>#DIV/0!</v>
      </c>
      <c r="H44" s="3014"/>
      <c r="I44" s="611" t="e">
        <f>V44</f>
        <v>#DIV/0!</v>
      </c>
      <c r="J44" s="3014"/>
      <c r="K44" s="3015">
        <f>F44+H44+J44</f>
        <v>0</v>
      </c>
      <c r="L44" s="2026"/>
      <c r="M44" s="2016"/>
      <c r="N44" s="2016"/>
      <c r="O44" s="2027"/>
      <c r="P44" s="3574" t="str">
        <f>A44</f>
        <v>比较价格（元/平方米）</v>
      </c>
      <c r="Q44" s="3574"/>
      <c r="R44" s="3598" t="e">
        <f>ROUND(PRODUCT(R43,AA9:AA42),0)</f>
        <v>#DIV/0!</v>
      </c>
      <c r="S44" s="3598"/>
      <c r="T44" s="3598" t="e">
        <f>ROUND(PRODUCT(T43,AB9:AB42),0)</f>
        <v>#DIV/0!</v>
      </c>
      <c r="U44" s="3598"/>
      <c r="V44" s="3598" t="e">
        <f>ROUND(PRODUCT(V43,AC9:AC42),0)</f>
        <v>#DIV/0!</v>
      </c>
      <c r="W44" s="3598"/>
      <c r="X44" s="1496"/>
      <c r="Y44" s="1496"/>
      <c r="Z44" s="1496"/>
      <c r="AA44" s="1496"/>
      <c r="AB44" s="1496"/>
      <c r="AC44" s="1496"/>
    </row>
    <row r="45" spans="1:29" ht="15.75" thickBot="1">
      <c r="A45" s="613" t="s">
        <v>2893</v>
      </c>
      <c r="B45" s="614"/>
      <c r="C45" s="615" t="e">
        <f>R45</f>
        <v>#DIV/0!</v>
      </c>
      <c r="D45" s="615"/>
      <c r="E45" s="615"/>
      <c r="F45" s="615"/>
      <c r="G45" s="615"/>
      <c r="H45" s="615"/>
      <c r="I45" s="615"/>
      <c r="J45" s="615"/>
      <c r="K45" s="1294"/>
      <c r="L45" s="2026"/>
      <c r="M45" s="2016"/>
      <c r="N45" s="2016"/>
      <c r="O45" s="2027"/>
      <c r="P45" s="3595" t="str">
        <f>A45</f>
        <v>估价对象XX用房的比较价格（楼面单价，元/平方米）</v>
      </c>
      <c r="Q45" s="3596"/>
      <c r="R45" s="3604" t="e">
        <f>ROUND(IF(D44="简单平均",AVERAGE(R44:W44),R44*F44+T44*H44+V44*J44),0)</f>
        <v>#DIV/0!</v>
      </c>
      <c r="S45" s="3604"/>
      <c r="T45" s="3604"/>
      <c r="U45" s="3604"/>
      <c r="V45" s="3604"/>
      <c r="W45" s="3604"/>
      <c r="X45" s="1496"/>
      <c r="Y45" s="1496"/>
      <c r="Z45" s="1496"/>
      <c r="AA45" s="1496"/>
      <c r="AB45" s="1496"/>
      <c r="AC45" s="1496"/>
    </row>
    <row r="46" spans="1:29">
      <c r="A46" s="3210"/>
      <c r="B46" s="3210"/>
      <c r="C46" s="3210"/>
      <c r="D46" s="3210"/>
      <c r="E46" s="3210"/>
      <c r="F46" s="3210"/>
      <c r="G46" s="3212"/>
      <c r="H46" s="3210"/>
      <c r="I46" s="3210"/>
      <c r="J46" s="3210"/>
      <c r="K46" s="3213"/>
      <c r="L46" s="2031"/>
      <c r="M46" s="2016"/>
      <c r="N46" s="2016"/>
      <c r="O46" s="2027"/>
      <c r="P46" s="2027"/>
      <c r="Q46" s="2027"/>
      <c r="R46" s="2027"/>
      <c r="S46" s="2027"/>
      <c r="T46" s="2027"/>
      <c r="U46" s="2027"/>
      <c r="V46" s="2027"/>
      <c r="W46" s="2027"/>
      <c r="X46" s="2027"/>
      <c r="Y46" s="2027"/>
      <c r="Z46" s="2027"/>
      <c r="AA46" s="2027"/>
      <c r="AB46" s="2027"/>
      <c r="AC46" s="2027"/>
    </row>
    <row r="47" spans="1:29">
      <c r="A47" s="3210"/>
      <c r="B47" s="3210"/>
      <c r="C47" s="3210"/>
      <c r="D47" s="3210"/>
      <c r="E47" s="3210"/>
      <c r="F47" s="3210"/>
      <c r="G47" s="3210"/>
      <c r="H47" s="3210"/>
      <c r="I47" s="3210"/>
      <c r="J47" s="3210"/>
      <c r="K47" s="3213"/>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0"/>
      <c r="B48" s="3210"/>
      <c r="C48" s="616" t="s">
        <v>549</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3"/>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0"/>
      <c r="B49" s="3210"/>
      <c r="C49" s="616" t="s">
        <v>550</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3"/>
      <c r="L49" s="2031"/>
      <c r="M49" s="2027"/>
      <c r="N49" s="2027"/>
      <c r="O49" s="2027"/>
      <c r="P49" s="2027"/>
      <c r="Q49" s="2027"/>
      <c r="R49" s="2027"/>
      <c r="S49" s="2027"/>
      <c r="T49" s="2027"/>
      <c r="U49" s="2027"/>
      <c r="V49" s="2027"/>
      <c r="W49" s="2027"/>
      <c r="X49" s="2027"/>
      <c r="Y49" s="2027"/>
      <c r="Z49" s="2027"/>
      <c r="AA49" s="2027"/>
      <c r="AB49" s="2027"/>
      <c r="AC49" s="2027"/>
    </row>
    <row r="50" spans="1:29" s="1297" customFormat="1" ht="13.5" customHeight="1">
      <c r="A50" s="3211"/>
      <c r="B50" s="3211"/>
      <c r="C50" s="616" t="s">
        <v>551</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4"/>
      <c r="L50" s="2034"/>
      <c r="M50" s="2028"/>
      <c r="N50" s="2028"/>
      <c r="O50" s="2028"/>
      <c r="P50" s="2028"/>
      <c r="Q50" s="2028"/>
      <c r="R50" s="2028"/>
      <c r="S50" s="2028"/>
      <c r="T50" s="2028"/>
      <c r="U50" s="2028"/>
      <c r="V50" s="2028"/>
      <c r="W50" s="2028"/>
      <c r="X50" s="2028"/>
      <c r="Y50" s="2028"/>
      <c r="Z50" s="2028"/>
      <c r="AA50" s="2028"/>
      <c r="AB50" s="2028"/>
      <c r="AC50" s="2028"/>
    </row>
    <row r="51" spans="1:29" s="1297" customFormat="1" ht="15" thickBot="1">
      <c r="A51" s="3211"/>
      <c r="B51" s="3222"/>
      <c r="C51" s="2032"/>
      <c r="D51" s="2028"/>
      <c r="E51" s="2028"/>
      <c r="F51" s="2028"/>
      <c r="G51" s="2028"/>
      <c r="H51" s="2028"/>
      <c r="I51" s="2028"/>
      <c r="J51" s="2028"/>
      <c r="K51" s="3214"/>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552</v>
      </c>
      <c r="B52" s="622" t="s">
        <v>553</v>
      </c>
      <c r="C52" s="1497" t="s">
        <v>1710</v>
      </c>
      <c r="D52" s="2107" t="s">
        <v>2276</v>
      </c>
      <c r="E52" s="623" t="s">
        <v>554</v>
      </c>
      <c r="F52" s="1865" t="s">
        <v>555</v>
      </c>
      <c r="G52" s="3599" t="s">
        <v>2267</v>
      </c>
      <c r="H52" s="3600"/>
      <c r="I52" s="1866" t="s">
        <v>1929</v>
      </c>
      <c r="J52" s="1493">
        <f>项目基本情况!F41</f>
        <v>0</v>
      </c>
      <c r="K52" s="2035" t="s">
        <v>1709</v>
      </c>
      <c r="L52" s="2031"/>
      <c r="M52" s="2027"/>
      <c r="N52" s="2027"/>
      <c r="O52" s="2027"/>
      <c r="P52" s="2027"/>
      <c r="Q52" s="2027"/>
      <c r="R52" s="2027"/>
      <c r="S52" s="2027"/>
      <c r="T52" s="2027"/>
      <c r="U52" s="2027"/>
      <c r="V52" s="2027"/>
      <c r="W52" s="2027"/>
      <c r="X52" s="2027"/>
      <c r="Y52" s="2027"/>
      <c r="Z52" s="2027"/>
      <c r="AA52" s="2027"/>
      <c r="AB52" s="2027"/>
      <c r="AC52" s="2027"/>
    </row>
    <row r="53" spans="1:29" s="1298" customFormat="1" ht="12.75">
      <c r="A53" s="625" t="s">
        <v>556</v>
      </c>
      <c r="B53" s="626" t="e">
        <f>C45</f>
        <v>#DIV/0!</v>
      </c>
      <c r="C53" s="627">
        <v>1</v>
      </c>
      <c r="D53" s="2108">
        <v>1</v>
      </c>
      <c r="E53" s="627">
        <f>'数据-汇总表'!E8+'数据-汇总表'!E9</f>
        <v>142378.302</v>
      </c>
      <c r="F53" s="1864" t="e">
        <f t="shared" ref="F53:F62" si="15">ROUND(B53*E53/10000,0)</f>
        <v>#DIV/0!</v>
      </c>
      <c r="G53" s="3601"/>
      <c r="H53" s="3602"/>
      <c r="I53" s="1867">
        <v>1</v>
      </c>
      <c r="J53" s="1494">
        <v>1</v>
      </c>
      <c r="K53" s="3215"/>
      <c r="L53" s="2036"/>
      <c r="M53" s="2036"/>
      <c r="N53" s="2036"/>
      <c r="O53" s="2036"/>
      <c r="P53" s="2036"/>
      <c r="Q53" s="2036"/>
      <c r="R53" s="2036"/>
      <c r="S53" s="2036"/>
      <c r="T53" s="2036"/>
      <c r="U53" s="2036"/>
      <c r="V53" s="2036"/>
      <c r="W53" s="2036"/>
      <c r="X53" s="2036"/>
      <c r="Y53" s="2036"/>
      <c r="Z53" s="2036"/>
      <c r="AA53" s="2036"/>
      <c r="AB53" s="2036"/>
      <c r="AC53" s="2036"/>
    </row>
    <row r="54" spans="1:29" s="1298" customFormat="1" ht="12.75">
      <c r="A54" s="629" t="s">
        <v>557</v>
      </c>
      <c r="B54" s="630" t="e">
        <f>ROUND($C$45*C54*D54,0)</f>
        <v>#DIV/0!</v>
      </c>
      <c r="C54" s="372">
        <f t="shared" ref="C54:C62" si="16">IF($C$52="北京市系数",I54,J54)</f>
        <v>0.6</v>
      </c>
      <c r="D54" s="2109">
        <v>0.25</v>
      </c>
      <c r="E54" s="631"/>
      <c r="F54" s="1864" t="e">
        <f t="shared" si="15"/>
        <v>#DIV/0!</v>
      </c>
      <c r="G54" s="3603" t="s">
        <v>2268</v>
      </c>
      <c r="H54" s="1868" t="str">
        <f>项目基本情况!B43</f>
        <v>八级</v>
      </c>
      <c r="I54" s="1867">
        <f>SUMIF(修正!$A$45:$A$56,H54,修正!B45:B56)</f>
        <v>0.6</v>
      </c>
      <c r="J54" s="1495"/>
      <c r="K54" s="3215"/>
      <c r="L54" s="2036"/>
      <c r="M54" s="2036"/>
      <c r="N54" s="2036"/>
      <c r="O54" s="2036"/>
      <c r="P54" s="2036"/>
      <c r="Q54" s="2036"/>
      <c r="R54" s="2036"/>
      <c r="S54" s="2036"/>
      <c r="T54" s="2036"/>
      <c r="U54" s="2036"/>
      <c r="V54" s="2036"/>
      <c r="W54" s="2036"/>
      <c r="X54" s="2036"/>
      <c r="Y54" s="2036"/>
      <c r="Z54" s="2036"/>
      <c r="AA54" s="2036"/>
      <c r="AB54" s="2036"/>
      <c r="AC54" s="2036"/>
    </row>
    <row r="55" spans="1:29" s="1298" customFormat="1" ht="12.75">
      <c r="A55" s="629" t="s">
        <v>558</v>
      </c>
      <c r="B55" s="630" t="e">
        <f t="shared" ref="B55:B62" si="17">ROUND($C$45*C55*D55,0)</f>
        <v>#DIV/0!</v>
      </c>
      <c r="C55" s="372">
        <f t="shared" si="16"/>
        <v>0.3</v>
      </c>
      <c r="D55" s="2109">
        <v>0.25</v>
      </c>
      <c r="E55" s="631"/>
      <c r="F55" s="1864" t="e">
        <f t="shared" si="15"/>
        <v>#DIV/0!</v>
      </c>
      <c r="G55" s="3603"/>
      <c r="H55" s="1869" t="str">
        <f>项目基本情况!B43</f>
        <v>八级</v>
      </c>
      <c r="I55" s="1867">
        <f>SUMIF(修正!$A$45:$A$56,H55,修正!C45:C56)</f>
        <v>0.3</v>
      </c>
      <c r="J55" s="1495"/>
      <c r="K55" s="3215"/>
      <c r="L55" s="2036"/>
      <c r="M55" s="2036"/>
      <c r="N55" s="2036"/>
      <c r="O55" s="2036"/>
      <c r="P55" s="2036"/>
      <c r="Q55" s="2036"/>
      <c r="R55" s="2036"/>
      <c r="S55" s="2036"/>
      <c r="T55" s="2036"/>
      <c r="U55" s="2036"/>
      <c r="V55" s="2036"/>
      <c r="W55" s="2036"/>
      <c r="X55" s="2036"/>
      <c r="Y55" s="2036"/>
      <c r="Z55" s="2036"/>
      <c r="AA55" s="2036"/>
      <c r="AB55" s="2036"/>
      <c r="AC55" s="2036"/>
    </row>
    <row r="56" spans="1:29" s="1298" customFormat="1" ht="12.75">
      <c r="A56" s="629" t="s">
        <v>559</v>
      </c>
      <c r="B56" s="630" t="e">
        <f t="shared" si="17"/>
        <v>#DIV/0!</v>
      </c>
      <c r="C56" s="372">
        <f t="shared" si="16"/>
        <v>0.2</v>
      </c>
      <c r="D56" s="2109">
        <v>0.25</v>
      </c>
      <c r="E56" s="631"/>
      <c r="F56" s="1864" t="e">
        <f t="shared" si="15"/>
        <v>#DIV/0!</v>
      </c>
      <c r="G56" s="3603"/>
      <c r="H56" s="1869" t="str">
        <f>项目基本情况!B43</f>
        <v>八级</v>
      </c>
      <c r="I56" s="1867">
        <f>SUMIF(修正!$A$45:$A$56,H56,修正!D45:D56)</f>
        <v>0.2</v>
      </c>
      <c r="J56" s="1495"/>
      <c r="K56" s="3215"/>
      <c r="L56" s="2036"/>
      <c r="M56" s="2036"/>
      <c r="N56" s="2036"/>
      <c r="O56" s="2036"/>
      <c r="P56" s="2036"/>
      <c r="Q56" s="2036"/>
      <c r="R56" s="2036"/>
      <c r="S56" s="2036"/>
      <c r="T56" s="2036"/>
      <c r="U56" s="2036"/>
      <c r="V56" s="2036"/>
      <c r="W56" s="2036"/>
      <c r="X56" s="2036"/>
      <c r="Y56" s="2036"/>
      <c r="Z56" s="2036"/>
      <c r="AA56" s="2036"/>
      <c r="AB56" s="2036"/>
      <c r="AC56" s="2036"/>
    </row>
    <row r="57" spans="1:29" s="1298" customFormat="1" ht="12.75">
      <c r="A57" s="629" t="s">
        <v>560</v>
      </c>
      <c r="B57" s="630" t="e">
        <f t="shared" si="17"/>
        <v>#DIV/0!</v>
      </c>
      <c r="C57" s="372">
        <f t="shared" si="16"/>
        <v>0.2</v>
      </c>
      <c r="D57" s="2109">
        <v>0.25</v>
      </c>
      <c r="E57" s="631"/>
      <c r="F57" s="1864" t="e">
        <f t="shared" si="15"/>
        <v>#DIV/0!</v>
      </c>
      <c r="G57" s="3603"/>
      <c r="H57" s="1869" t="str">
        <f>项目基本情况!B43</f>
        <v>八级</v>
      </c>
      <c r="I57" s="1867">
        <f>SUMIF(修正!$A$45:$A$56,H57,修正!E45:E56)</f>
        <v>0.2</v>
      </c>
      <c r="J57" s="1495"/>
      <c r="K57" s="3215"/>
      <c r="L57" s="2036"/>
      <c r="M57" s="2036"/>
      <c r="N57" s="2036"/>
      <c r="O57" s="2036"/>
      <c r="P57" s="2036"/>
      <c r="Q57" s="2036"/>
      <c r="R57" s="2036"/>
      <c r="S57" s="2036"/>
      <c r="T57" s="2036"/>
      <c r="U57" s="2036"/>
      <c r="V57" s="2036"/>
      <c r="W57" s="2036"/>
      <c r="X57" s="2036"/>
      <c r="Y57" s="2036"/>
      <c r="Z57" s="2036"/>
      <c r="AA57" s="2036"/>
      <c r="AB57" s="2036"/>
      <c r="AC57" s="2036"/>
    </row>
    <row r="58" spans="1:29" s="1298" customFormat="1" ht="12.75">
      <c r="A58" s="2211" t="s">
        <v>2311</v>
      </c>
      <c r="B58" s="630" t="e">
        <f t="shared" si="17"/>
        <v>#DIV/0!</v>
      </c>
      <c r="C58" s="372">
        <f t="shared" si="16"/>
        <v>0.2</v>
      </c>
      <c r="D58" s="2109">
        <v>0.25</v>
      </c>
      <c r="E58" s="633">
        <f>'数据-汇总表'!E11</f>
        <v>0</v>
      </c>
      <c r="F58" s="1864" t="e">
        <f t="shared" si="15"/>
        <v>#DIV/0!</v>
      </c>
      <c r="G58" s="1870" t="s">
        <v>2269</v>
      </c>
      <c r="H58" s="1869" t="str">
        <f>项目基本情况!C43</f>
        <v>八级</v>
      </c>
      <c r="I58" s="1867">
        <f>SUMIF(修正!$A$45:$A$56,H58,修正!F45:F56)</f>
        <v>0.2</v>
      </c>
      <c r="J58" s="1495"/>
      <c r="K58" s="3215"/>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561</v>
      </c>
      <c r="B59" s="630" t="e">
        <f t="shared" si="17"/>
        <v>#DIV/0!</v>
      </c>
      <c r="C59" s="372">
        <f t="shared" si="16"/>
        <v>0.2</v>
      </c>
      <c r="D59" s="2109">
        <v>0.25</v>
      </c>
      <c r="E59" s="633">
        <f>'数据-汇总表'!E12</f>
        <v>0</v>
      </c>
      <c r="F59" s="1864" t="e">
        <f t="shared" si="15"/>
        <v>#DIV/0!</v>
      </c>
      <c r="G59" s="1860" t="s">
        <v>1665</v>
      </c>
      <c r="H59" s="1868" t="str">
        <f>IF(G59="商业",项目基本情况!B43,IF(G59="办公",项目基本情况!C43,IF(G59="住宅",项目基本情况!D43,项目基本情况!E43)))</f>
        <v>八级</v>
      </c>
      <c r="I59" s="1867">
        <f>SUMIF(修正!$A$45:$A$56,H59,修正!G45:G56)</f>
        <v>0.2</v>
      </c>
      <c r="J59" s="1495"/>
      <c r="K59" s="3215"/>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562</v>
      </c>
      <c r="B60" s="630" t="e">
        <f t="shared" si="17"/>
        <v>#DIV/0!</v>
      </c>
      <c r="C60" s="372">
        <f t="shared" si="16"/>
        <v>0</v>
      </c>
      <c r="D60" s="2109">
        <v>0.25</v>
      </c>
      <c r="E60" s="633">
        <f>'数据-汇总表'!E13</f>
        <v>0</v>
      </c>
      <c r="F60" s="1864" t="e">
        <f t="shared" si="15"/>
        <v>#DIV/0!</v>
      </c>
      <c r="G60" s="1860" t="s">
        <v>912</v>
      </c>
      <c r="H60" s="1868">
        <f>IF(G60="商业",项目基本情况!B43,IF(G60="办公",项目基本情况!C43,IF(G60="住宅",项目基本情况!D43,项目基本情况!E43)))</f>
        <v>0</v>
      </c>
      <c r="I60" s="1867">
        <f>SUMIF(修正!$A$45:$A$56,H60,修正!H45:H56)</f>
        <v>0</v>
      </c>
      <c r="J60" s="1495"/>
      <c r="K60" s="3215"/>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563</v>
      </c>
      <c r="B61" s="630" t="e">
        <f t="shared" si="17"/>
        <v>#DIV/0!</v>
      </c>
      <c r="C61" s="372">
        <f t="shared" si="16"/>
        <v>0.15</v>
      </c>
      <c r="D61" s="2109">
        <v>0.25</v>
      </c>
      <c r="E61" s="633">
        <f>'数据-汇总表'!E14</f>
        <v>0</v>
      </c>
      <c r="F61" s="1864" t="e">
        <f t="shared" si="15"/>
        <v>#DIV/0!</v>
      </c>
      <c r="G61" s="1870" t="s">
        <v>2268</v>
      </c>
      <c r="H61" s="1869" t="str">
        <f>项目基本情况!B43</f>
        <v>八级</v>
      </c>
      <c r="I61" s="1867">
        <f>SUMIF(修正!$A$45:$A$56,H61,修正!H45:H56)</f>
        <v>0.15</v>
      </c>
      <c r="J61" s="1495"/>
      <c r="K61" s="3215"/>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3.5" thickBot="1">
      <c r="A62" s="629" t="s">
        <v>564</v>
      </c>
      <c r="B62" s="630" t="e">
        <f t="shared" si="17"/>
        <v>#DIV/0!</v>
      </c>
      <c r="C62" s="372">
        <f t="shared" si="16"/>
        <v>0.15</v>
      </c>
      <c r="D62" s="2109">
        <v>0.25</v>
      </c>
      <c r="E62" s="633">
        <f>'数据-汇总表'!E15</f>
        <v>0</v>
      </c>
      <c r="F62" s="1864" t="e">
        <f t="shared" si="15"/>
        <v>#DIV/0!</v>
      </c>
      <c r="G62" s="1871" t="s">
        <v>2269</v>
      </c>
      <c r="H62" s="1872" t="str">
        <f>项目基本情况!C43</f>
        <v>八级</v>
      </c>
      <c r="I62" s="1867">
        <f>SUMIF(修正!$A$45:$A$56,H62,修正!H45:H56)</f>
        <v>0.15</v>
      </c>
      <c r="J62" s="1495"/>
      <c r="K62" s="3215"/>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3.5" thickBot="1">
      <c r="A63" s="634" t="s">
        <v>565</v>
      </c>
      <c r="B63" s="635" t="s">
        <v>17</v>
      </c>
      <c r="C63" s="635" t="s">
        <v>18</v>
      </c>
      <c r="D63" s="635" t="s">
        <v>2277</v>
      </c>
      <c r="E63" s="635">
        <f>IF(B43="楼面地价",SUM(E53:E62),'数据-汇总表'!D3)</f>
        <v>32358.705000000002</v>
      </c>
      <c r="F63" s="636" t="e">
        <f>IF(B43="楼面地价",SUM(F53:F62),ROUND(C45*E63/10000,0))</f>
        <v>#DIV/0!</v>
      </c>
      <c r="G63" s="2037"/>
      <c r="H63" s="2037"/>
      <c r="I63" s="2037"/>
      <c r="J63" s="2037"/>
      <c r="K63" s="3223"/>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2021-9-1</v>
      </c>
      <c r="D65" s="2516">
        <f>EDATE(C65,-3)</f>
        <v>44348</v>
      </c>
      <c r="E65" s="2516">
        <f t="shared" ref="E65:N65" si="18">EDATE(D65,-3)</f>
        <v>44256</v>
      </c>
      <c r="F65" s="2516">
        <f t="shared" si="18"/>
        <v>44166</v>
      </c>
      <c r="G65" s="2516">
        <f t="shared" si="18"/>
        <v>44075</v>
      </c>
      <c r="H65" s="2516">
        <f t="shared" si="18"/>
        <v>43983</v>
      </c>
      <c r="I65" s="2516">
        <f t="shared" si="18"/>
        <v>43891</v>
      </c>
      <c r="J65" s="2516">
        <f t="shared" si="18"/>
        <v>43800</v>
      </c>
      <c r="K65" s="2516">
        <f t="shared" si="18"/>
        <v>43709</v>
      </c>
      <c r="L65" s="2516">
        <f t="shared" si="18"/>
        <v>43617</v>
      </c>
      <c r="M65" s="2516">
        <f t="shared" si="18"/>
        <v>43525</v>
      </c>
      <c r="N65" s="2516">
        <f t="shared" si="18"/>
        <v>43435</v>
      </c>
      <c r="O65" s="2027"/>
      <c r="P65" s="2027"/>
      <c r="Q65" s="2027"/>
      <c r="R65" s="2027"/>
      <c r="S65" s="2027"/>
      <c r="T65" s="2027"/>
      <c r="U65" s="2027"/>
      <c r="V65" s="2027"/>
      <c r="W65" s="2027"/>
      <c r="X65" s="2027"/>
      <c r="Y65" s="2027"/>
      <c r="Z65" s="2027"/>
      <c r="AA65" s="2027"/>
      <c r="AB65" s="2027"/>
      <c r="AC65" s="2027"/>
    </row>
    <row r="66" spans="1:29" ht="21.75" thickBot="1">
      <c r="A66" s="1518" t="s">
        <v>566</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299" customFormat="1" ht="15">
      <c r="A67" s="2421" t="s">
        <v>2509</v>
      </c>
      <c r="B67" s="638"/>
      <c r="C67" s="2513" t="str">
        <f>YEAR(C65)&amp;"-"&amp;ROUNDUP(MONTH(C65)/3,0)</f>
        <v>2021-3</v>
      </c>
      <c r="D67" s="2518" t="str">
        <f t="shared" ref="D67:N67" si="19">YEAR(D65)&amp;"-"&amp;ROUNDUP(MONTH(D65)/3,0)</f>
        <v>2021-2</v>
      </c>
      <c r="E67" s="2518" t="str">
        <f t="shared" si="19"/>
        <v>2021-1</v>
      </c>
      <c r="F67" s="2518" t="str">
        <f t="shared" si="19"/>
        <v>2020-4</v>
      </c>
      <c r="G67" s="2518" t="str">
        <f t="shared" si="19"/>
        <v>2020-3</v>
      </c>
      <c r="H67" s="2518" t="str">
        <f t="shared" si="19"/>
        <v>2020-2</v>
      </c>
      <c r="I67" s="2518" t="str">
        <f t="shared" si="19"/>
        <v>2020-1</v>
      </c>
      <c r="J67" s="2518" t="str">
        <f t="shared" si="19"/>
        <v>2019-4</v>
      </c>
      <c r="K67" s="2518" t="str">
        <f t="shared" si="19"/>
        <v>2019-3</v>
      </c>
      <c r="L67" s="2518" t="str">
        <f t="shared" si="19"/>
        <v>2019-2</v>
      </c>
      <c r="M67" s="2518" t="str">
        <f t="shared" si="19"/>
        <v>2019-1</v>
      </c>
      <c r="N67" s="2518" t="str">
        <f t="shared" si="19"/>
        <v>2018-4</v>
      </c>
      <c r="O67" s="2040"/>
      <c r="P67" s="2041"/>
      <c r="Q67" s="2042"/>
      <c r="R67" s="2042"/>
      <c r="S67" s="2042"/>
      <c r="T67" s="2042"/>
      <c r="U67" s="2042"/>
      <c r="V67" s="2042"/>
      <c r="W67" s="2042"/>
      <c r="X67" s="2042"/>
      <c r="Y67" s="2042"/>
      <c r="Z67" s="2042"/>
      <c r="AA67" s="2042"/>
      <c r="AB67" s="2042"/>
      <c r="AC67" s="2042"/>
    </row>
    <row r="68" spans="1:29" s="1202" customFormat="1" ht="27.75" customHeight="1">
      <c r="A68" s="2515" t="s">
        <v>2624</v>
      </c>
      <c r="B68" s="473" t="str">
        <f>"北京市平均增长率"&amp;TEXT('基准地价-商'!P24,"0.00%")</f>
        <v>北京市平均增长率1.24%</v>
      </c>
      <c r="C68" s="883">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2" customFormat="1" ht="15.75" thickBot="1">
      <c r="A69" s="645" t="s">
        <v>567</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2" customFormat="1" ht="15">
      <c r="A70" s="651" t="s">
        <v>523</v>
      </c>
      <c r="B70" s="640"/>
      <c r="C70" s="652" t="s">
        <v>568</v>
      </c>
      <c r="D70" s="653"/>
      <c r="E70" s="653"/>
      <c r="F70" s="653"/>
      <c r="G70" s="653"/>
      <c r="H70" s="653"/>
      <c r="I70" s="653"/>
      <c r="J70" s="653"/>
      <c r="K70" s="653"/>
      <c r="L70" s="654"/>
      <c r="M70" s="655"/>
      <c r="N70" s="3224"/>
      <c r="O70" s="2043"/>
      <c r="P70" s="2044"/>
      <c r="Q70" s="2039"/>
      <c r="R70" s="1905"/>
      <c r="S70" s="1905"/>
      <c r="T70" s="1905"/>
      <c r="U70" s="1905"/>
      <c r="V70" s="1905"/>
      <c r="W70" s="1905"/>
      <c r="X70" s="1905"/>
      <c r="Y70" s="1905"/>
      <c r="Z70" s="1905"/>
      <c r="AA70" s="1905"/>
      <c r="AB70" s="1905"/>
      <c r="AC70" s="1905"/>
    </row>
    <row r="71" spans="1:29" s="1202" customFormat="1" ht="15.75" thickBot="1">
      <c r="A71" s="651"/>
      <c r="B71" s="640"/>
      <c r="C71" s="641">
        <v>100</v>
      </c>
      <c r="D71" s="642"/>
      <c r="E71" s="642"/>
      <c r="F71" s="642"/>
      <c r="G71" s="642"/>
      <c r="H71" s="642"/>
      <c r="I71" s="642"/>
      <c r="J71" s="642"/>
      <c r="K71" s="642"/>
      <c r="L71" s="642"/>
      <c r="M71" s="644"/>
      <c r="N71" s="3224"/>
      <c r="O71" s="2043"/>
      <c r="P71" s="2039"/>
      <c r="Q71" s="2039"/>
      <c r="R71" s="1905"/>
      <c r="S71" s="1905"/>
      <c r="T71" s="1905"/>
      <c r="U71" s="1905"/>
      <c r="V71" s="1905"/>
      <c r="W71" s="1905"/>
      <c r="X71" s="1905"/>
      <c r="Y71" s="1905"/>
      <c r="Z71" s="1905"/>
      <c r="AA71" s="1905"/>
      <c r="AB71" s="1905"/>
      <c r="AC71" s="1905"/>
    </row>
    <row r="72" spans="1:29">
      <c r="A72" s="656" t="s">
        <v>569</v>
      </c>
      <c r="B72" s="657" t="s">
        <v>526</v>
      </c>
      <c r="C72" s="592"/>
      <c r="D72" s="592"/>
      <c r="E72" s="592"/>
      <c r="F72" s="592"/>
      <c r="G72" s="592"/>
      <c r="H72" s="592"/>
      <c r="I72" s="592"/>
      <c r="J72" s="592"/>
      <c r="K72" s="658"/>
      <c r="L72" s="659"/>
      <c r="M72" s="660"/>
      <c r="N72" s="3225"/>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26"/>
      <c r="O73" s="2047"/>
      <c r="P73" s="2046"/>
      <c r="Q73" s="2039"/>
      <c r="R73" s="2027"/>
      <c r="S73" s="2027"/>
      <c r="T73" s="2027"/>
      <c r="U73" s="2027"/>
      <c r="V73" s="2027"/>
      <c r="W73" s="2027"/>
      <c r="X73" s="2027"/>
      <c r="Y73" s="2027"/>
      <c r="Z73" s="2027"/>
      <c r="AA73" s="2027"/>
      <c r="AB73" s="2027"/>
      <c r="AC73" s="2027"/>
    </row>
    <row r="74" spans="1:29" ht="27.75" thickTop="1">
      <c r="A74" s="661"/>
      <c r="B74" s="665" t="s">
        <v>529</v>
      </c>
      <c r="C74" s="666"/>
      <c r="D74" s="666"/>
      <c r="E74" s="666"/>
      <c r="F74" s="666"/>
      <c r="G74" s="666"/>
      <c r="H74" s="666"/>
      <c r="I74" s="666"/>
      <c r="J74" s="666"/>
      <c r="K74" s="667"/>
      <c r="L74" s="668"/>
      <c r="M74" s="669"/>
      <c r="N74" s="3225"/>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26"/>
      <c r="O75" s="2047"/>
      <c r="P75" s="2046"/>
      <c r="Q75" s="2039"/>
      <c r="R75" s="2027"/>
      <c r="S75" s="2027"/>
      <c r="T75" s="2027"/>
      <c r="U75" s="2027"/>
      <c r="V75" s="2027"/>
      <c r="W75" s="2027"/>
      <c r="X75" s="2027"/>
      <c r="Y75" s="2027"/>
      <c r="Z75" s="2027"/>
      <c r="AA75" s="2027"/>
      <c r="AB75" s="2027"/>
      <c r="AC75" s="2027"/>
    </row>
    <row r="76" spans="1:29" ht="15.75" thickTop="1">
      <c r="A76" s="661"/>
      <c r="B76" s="673" t="s">
        <v>530</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6"/>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5"/>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6"/>
      <c r="O78" s="2047"/>
      <c r="P78" s="2046"/>
      <c r="Q78" s="2039"/>
      <c r="R78" s="2027"/>
      <c r="S78" s="2027"/>
      <c r="T78" s="2027"/>
      <c r="U78" s="2027"/>
      <c r="V78" s="2027"/>
      <c r="W78" s="2027"/>
      <c r="X78" s="2027"/>
      <c r="Y78" s="2027"/>
      <c r="Z78" s="2027"/>
      <c r="AA78" s="2027"/>
      <c r="AB78" s="2027"/>
      <c r="AC78" s="2027"/>
    </row>
    <row r="79" spans="1:29" s="1292" customFormat="1" ht="15.75" thickTop="1">
      <c r="A79" s="679"/>
      <c r="B79" s="665">
        <f>B14</f>
        <v>111</v>
      </c>
      <c r="C79" s="680"/>
      <c r="D79" s="680"/>
      <c r="E79" s="680"/>
      <c r="F79" s="680"/>
      <c r="G79" s="680"/>
      <c r="H79" s="681"/>
      <c r="I79" s="681"/>
      <c r="J79" s="681"/>
      <c r="K79" s="681"/>
      <c r="L79" s="682"/>
      <c r="M79" s="683"/>
      <c r="N79" s="3227"/>
      <c r="O79" s="2048"/>
      <c r="P79" s="2049"/>
      <c r="Q79" s="2050"/>
      <c r="R79" s="2051"/>
      <c r="S79" s="2051"/>
      <c r="T79" s="2051"/>
      <c r="U79" s="2051"/>
      <c r="V79" s="2051"/>
      <c r="W79" s="2051"/>
      <c r="X79" s="2051"/>
      <c r="Y79" s="2051"/>
      <c r="Z79" s="2051"/>
      <c r="AA79" s="2051"/>
      <c r="AB79" s="2051"/>
      <c r="AC79" s="2051"/>
    </row>
    <row r="80" spans="1:29" s="1292" customFormat="1" ht="15.75" thickBot="1">
      <c r="A80" s="679"/>
      <c r="B80" s="670"/>
      <c r="C80" s="684"/>
      <c r="D80" s="663"/>
      <c r="E80" s="663"/>
      <c r="F80" s="663"/>
      <c r="G80" s="663"/>
      <c r="H80" s="663"/>
      <c r="I80" s="663"/>
      <c r="J80" s="663"/>
      <c r="K80" s="663"/>
      <c r="L80" s="663"/>
      <c r="M80" s="664"/>
      <c r="N80" s="3226"/>
      <c r="O80" s="2047"/>
      <c r="P80" s="2049"/>
      <c r="Q80" s="2050"/>
      <c r="R80" s="2051"/>
      <c r="S80" s="2051"/>
      <c r="T80" s="2051"/>
      <c r="U80" s="2051"/>
      <c r="V80" s="2051"/>
      <c r="W80" s="2051"/>
      <c r="X80" s="2051"/>
      <c r="Y80" s="2051"/>
      <c r="Z80" s="2051"/>
      <c r="AA80" s="2051"/>
      <c r="AB80" s="2051"/>
      <c r="AC80" s="2051"/>
    </row>
    <row r="81" spans="1:29" s="1292" customFormat="1" ht="15.75" thickTop="1">
      <c r="A81" s="679"/>
      <c r="B81" s="665">
        <f>B15</f>
        <v>111</v>
      </c>
      <c r="C81" s="680"/>
      <c r="D81" s="680"/>
      <c r="E81" s="680"/>
      <c r="F81" s="680"/>
      <c r="G81" s="680"/>
      <c r="H81" s="681"/>
      <c r="I81" s="681"/>
      <c r="J81" s="681"/>
      <c r="K81" s="681"/>
      <c r="L81" s="682"/>
      <c r="M81" s="683"/>
      <c r="N81" s="3227"/>
      <c r="O81" s="2048"/>
      <c r="P81" s="2052"/>
      <c r="Q81" s="2053"/>
      <c r="R81" s="2051"/>
      <c r="S81" s="2051"/>
      <c r="T81" s="2051"/>
      <c r="U81" s="2051"/>
      <c r="V81" s="2051"/>
      <c r="W81" s="2051"/>
      <c r="X81" s="2051"/>
      <c r="Y81" s="2051"/>
      <c r="Z81" s="2051"/>
      <c r="AA81" s="2051"/>
      <c r="AB81" s="2051"/>
      <c r="AC81" s="2051"/>
    </row>
    <row r="82" spans="1:29" s="1292" customFormat="1" ht="15.75" thickBot="1">
      <c r="A82" s="679"/>
      <c r="B82" s="670"/>
      <c r="C82" s="684"/>
      <c r="D82" s="684"/>
      <c r="E82" s="684"/>
      <c r="F82" s="684"/>
      <c r="G82" s="684"/>
      <c r="H82" s="685"/>
      <c r="I82" s="685"/>
      <c r="J82" s="685"/>
      <c r="K82" s="685"/>
      <c r="L82" s="685"/>
      <c r="M82" s="686"/>
      <c r="N82" s="3227"/>
      <c r="O82" s="2048"/>
      <c r="P82" s="2049"/>
      <c r="Q82" s="2050"/>
      <c r="R82" s="2051"/>
      <c r="S82" s="2051"/>
      <c r="T82" s="2051"/>
      <c r="U82" s="2051"/>
      <c r="V82" s="2051"/>
      <c r="W82" s="2051"/>
      <c r="X82" s="2051"/>
      <c r="Y82" s="2051"/>
      <c r="Z82" s="2051"/>
      <c r="AA82" s="2051"/>
      <c r="AB82" s="2051"/>
      <c r="AC82" s="2051"/>
    </row>
    <row r="83" spans="1:29" s="1292" customFormat="1" ht="15.75" thickTop="1">
      <c r="A83" s="679"/>
      <c r="B83" s="673">
        <f>B16</f>
        <v>111</v>
      </c>
      <c r="C83" s="653"/>
      <c r="D83" s="653"/>
      <c r="E83" s="653"/>
      <c r="F83" s="653"/>
      <c r="G83" s="653"/>
      <c r="H83" s="687"/>
      <c r="I83" s="687"/>
      <c r="J83" s="687"/>
      <c r="K83" s="687"/>
      <c r="L83" s="688"/>
      <c r="M83" s="689"/>
      <c r="N83" s="3227"/>
      <c r="O83" s="2048"/>
      <c r="P83" s="2054"/>
      <c r="Q83" s="2050"/>
      <c r="R83" s="2051"/>
      <c r="S83" s="2051"/>
      <c r="T83" s="2051"/>
      <c r="U83" s="2051"/>
      <c r="V83" s="2051"/>
      <c r="W83" s="2051"/>
      <c r="X83" s="2051"/>
      <c r="Y83" s="2051"/>
      <c r="Z83" s="2051"/>
      <c r="AA83" s="2051"/>
      <c r="AB83" s="2051"/>
      <c r="AC83" s="2051"/>
    </row>
    <row r="84" spans="1:29" s="1292" customFormat="1" ht="15.75" thickBot="1">
      <c r="A84" s="690"/>
      <c r="B84" s="691"/>
      <c r="C84" s="692"/>
      <c r="D84" s="692"/>
      <c r="E84" s="692"/>
      <c r="F84" s="692"/>
      <c r="G84" s="692"/>
      <c r="H84" s="693"/>
      <c r="I84" s="693"/>
      <c r="J84" s="693"/>
      <c r="K84" s="693"/>
      <c r="L84" s="693"/>
      <c r="M84" s="694"/>
      <c r="N84" s="3227"/>
      <c r="O84" s="2048"/>
      <c r="P84" s="2049"/>
      <c r="Q84" s="2050"/>
      <c r="R84" s="2051"/>
      <c r="S84" s="2051"/>
      <c r="T84" s="2051"/>
      <c r="U84" s="2051"/>
      <c r="V84" s="2051"/>
      <c r="W84" s="2051"/>
      <c r="X84" s="2051"/>
      <c r="Y84" s="2051"/>
      <c r="Z84" s="2051"/>
      <c r="AA84" s="2051"/>
      <c r="AB84" s="2051"/>
      <c r="AC84" s="2051"/>
    </row>
    <row r="85" spans="1:29">
      <c r="A85" s="656" t="s">
        <v>531</v>
      </c>
      <c r="B85" s="657" t="s">
        <v>594</v>
      </c>
      <c r="C85" s="695" t="s">
        <v>571</v>
      </c>
      <c r="D85" s="695" t="s">
        <v>572</v>
      </c>
      <c r="E85" s="695" t="s">
        <v>573</v>
      </c>
      <c r="F85" s="695" t="s">
        <v>574</v>
      </c>
      <c r="G85" s="695" t="s">
        <v>575</v>
      </c>
      <c r="H85" s="696"/>
      <c r="I85" s="696"/>
      <c r="J85" s="696"/>
      <c r="K85" s="697"/>
      <c r="L85" s="698"/>
      <c r="M85" s="699"/>
      <c r="N85" s="3225"/>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6"/>
      <c r="O86" s="2047"/>
      <c r="P86" s="2046"/>
      <c r="Q86" s="2039"/>
      <c r="R86" s="2027"/>
      <c r="S86" s="2027"/>
      <c r="T86" s="2027"/>
      <c r="U86" s="2027"/>
      <c r="V86" s="2027"/>
      <c r="W86" s="2027"/>
      <c r="X86" s="2027"/>
      <c r="Y86" s="2027"/>
      <c r="Z86" s="2027"/>
      <c r="AA86" s="2027"/>
      <c r="AB86" s="2027"/>
      <c r="AC86" s="2027"/>
    </row>
    <row r="87" spans="1:29" ht="15.75" thickTop="1">
      <c r="A87" s="661"/>
      <c r="B87" s="665" t="s">
        <v>578</v>
      </c>
      <c r="C87" s="700" t="s">
        <v>571</v>
      </c>
      <c r="D87" s="700" t="s">
        <v>572</v>
      </c>
      <c r="E87" s="700" t="s">
        <v>573</v>
      </c>
      <c r="F87" s="700" t="s">
        <v>574</v>
      </c>
      <c r="G87" s="700" t="s">
        <v>575</v>
      </c>
      <c r="H87" s="666"/>
      <c r="I87" s="666"/>
      <c r="J87" s="666"/>
      <c r="K87" s="667"/>
      <c r="L87" s="668"/>
      <c r="M87" s="669"/>
      <c r="N87" s="3225"/>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6"/>
      <c r="O88" s="2047"/>
      <c r="P88" s="2046"/>
      <c r="Q88" s="2039"/>
      <c r="R88" s="2027"/>
      <c r="S88" s="2027"/>
      <c r="T88" s="2027"/>
      <c r="U88" s="2027"/>
      <c r="V88" s="2027"/>
      <c r="W88" s="2027"/>
      <c r="X88" s="2027"/>
      <c r="Y88" s="2027"/>
      <c r="Z88" s="2027"/>
      <c r="AA88" s="2027"/>
      <c r="AB88" s="2027"/>
      <c r="AC88" s="2027"/>
    </row>
    <row r="89" spans="1:29" s="1202" customFormat="1" ht="27.75" thickTop="1">
      <c r="A89" s="701"/>
      <c r="B89" s="665" t="s">
        <v>579</v>
      </c>
      <c r="C89" s="700" t="s">
        <v>571</v>
      </c>
      <c r="D89" s="700" t="s">
        <v>572</v>
      </c>
      <c r="E89" s="700" t="s">
        <v>573</v>
      </c>
      <c r="F89" s="700" t="s">
        <v>574</v>
      </c>
      <c r="G89" s="700" t="s">
        <v>575</v>
      </c>
      <c r="H89" s="700"/>
      <c r="I89" s="700"/>
      <c r="J89" s="700"/>
      <c r="K89" s="700"/>
      <c r="L89" s="702"/>
      <c r="M89" s="703"/>
      <c r="N89" s="3224"/>
      <c r="O89" s="2043"/>
      <c r="P89" s="2046"/>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26"/>
      <c r="O90" s="2047"/>
      <c r="P90" s="2046"/>
      <c r="Q90" s="2039"/>
      <c r="R90" s="1905"/>
      <c r="S90" s="1905"/>
      <c r="T90" s="1905"/>
      <c r="U90" s="1905"/>
      <c r="V90" s="1905"/>
      <c r="W90" s="1905"/>
      <c r="X90" s="1905"/>
      <c r="Y90" s="1905"/>
      <c r="Z90" s="1905"/>
      <c r="AA90" s="1905"/>
      <c r="AB90" s="1905"/>
      <c r="AC90" s="1905"/>
    </row>
    <row r="91" spans="1:29" s="1202" customFormat="1" ht="27.75" thickTop="1">
      <c r="A91" s="701"/>
      <c r="B91" s="665" t="s">
        <v>580</v>
      </c>
      <c r="C91" s="695" t="s">
        <v>571</v>
      </c>
      <c r="D91" s="695" t="s">
        <v>572</v>
      </c>
      <c r="E91" s="695" t="s">
        <v>573</v>
      </c>
      <c r="F91" s="695" t="s">
        <v>574</v>
      </c>
      <c r="G91" s="695" t="s">
        <v>575</v>
      </c>
      <c r="H91" s="700"/>
      <c r="I91" s="700"/>
      <c r="J91" s="700"/>
      <c r="K91" s="700"/>
      <c r="L91" s="700"/>
      <c r="M91" s="703"/>
      <c r="N91" s="3224"/>
      <c r="O91" s="2043"/>
      <c r="P91" s="2046"/>
      <c r="Q91" s="2039"/>
      <c r="R91" s="1905"/>
      <c r="S91" s="1905"/>
      <c r="T91" s="1905"/>
      <c r="U91" s="1905"/>
      <c r="V91" s="1905"/>
      <c r="W91" s="1905"/>
      <c r="X91" s="1905"/>
      <c r="Y91" s="1905"/>
      <c r="Z91" s="1905"/>
      <c r="AA91" s="1905"/>
      <c r="AB91" s="1905"/>
      <c r="AC91" s="1905"/>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26"/>
      <c r="O92" s="2047"/>
      <c r="P92" s="2046"/>
      <c r="Q92" s="2039"/>
      <c r="R92" s="1905"/>
      <c r="S92" s="1905"/>
      <c r="T92" s="1905"/>
      <c r="U92" s="1905"/>
      <c r="V92" s="1905"/>
      <c r="W92" s="1905"/>
      <c r="X92" s="1905"/>
      <c r="Y92" s="1905"/>
      <c r="Z92" s="1905"/>
      <c r="AA92" s="1905"/>
      <c r="AB92" s="1905"/>
      <c r="AC92" s="1905"/>
    </row>
    <row r="93" spans="1:29" s="1292" customFormat="1" ht="15.75" thickTop="1">
      <c r="A93" s="679"/>
      <c r="B93" s="1810" t="s">
        <v>2524</v>
      </c>
      <c r="C93" s="695" t="s">
        <v>571</v>
      </c>
      <c r="D93" s="695" t="s">
        <v>572</v>
      </c>
      <c r="E93" s="695" t="s">
        <v>573</v>
      </c>
      <c r="F93" s="695" t="s">
        <v>574</v>
      </c>
      <c r="G93" s="695" t="s">
        <v>575</v>
      </c>
      <c r="H93" s="705"/>
      <c r="I93" s="705"/>
      <c r="J93" s="705"/>
      <c r="K93" s="705"/>
      <c r="L93" s="706"/>
      <c r="M93" s="707"/>
      <c r="N93" s="3227"/>
      <c r="O93" s="2048"/>
      <c r="P93" s="2049"/>
      <c r="Q93" s="2050"/>
      <c r="R93" s="2051"/>
      <c r="S93" s="2051"/>
      <c r="T93" s="2051"/>
      <c r="U93" s="2051"/>
      <c r="V93" s="2051"/>
      <c r="W93" s="2051"/>
      <c r="X93" s="2051"/>
      <c r="Y93" s="2051"/>
      <c r="Z93" s="2051"/>
      <c r="AA93" s="2051"/>
      <c r="AB93" s="2051"/>
      <c r="AC93" s="2051"/>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27"/>
      <c r="O94" s="2048"/>
      <c r="P94" s="2049"/>
      <c r="Q94" s="2050"/>
      <c r="R94" s="2051"/>
      <c r="S94" s="2051"/>
      <c r="T94" s="2051"/>
      <c r="U94" s="2051"/>
      <c r="V94" s="2051"/>
      <c r="W94" s="2051"/>
      <c r="X94" s="2051"/>
      <c r="Y94" s="2051"/>
      <c r="Z94" s="2051"/>
      <c r="AA94" s="2051"/>
      <c r="AB94" s="2051"/>
      <c r="AC94" s="2051"/>
    </row>
    <row r="95" spans="1:29" s="1292" customFormat="1" ht="15.75" thickTop="1">
      <c r="A95" s="679"/>
      <c r="B95" s="2441" t="s">
        <v>2526</v>
      </c>
      <c r="C95" s="2442" t="s">
        <v>2527</v>
      </c>
      <c r="D95" s="2442" t="s">
        <v>2528</v>
      </c>
      <c r="E95" s="2442" t="s">
        <v>2529</v>
      </c>
      <c r="F95" s="2442" t="s">
        <v>2530</v>
      </c>
      <c r="G95" s="2442" t="s">
        <v>2531</v>
      </c>
      <c r="H95" s="705"/>
      <c r="I95" s="705"/>
      <c r="J95" s="705"/>
      <c r="K95" s="705"/>
      <c r="L95" s="705"/>
      <c r="M95" s="707"/>
      <c r="N95" s="3227"/>
      <c r="O95" s="2048"/>
      <c r="P95" s="2049"/>
      <c r="Q95" s="2050"/>
      <c r="R95" s="2051"/>
      <c r="S95" s="2051"/>
      <c r="T95" s="2051"/>
      <c r="U95" s="2051"/>
      <c r="V95" s="2051"/>
      <c r="W95" s="2051"/>
      <c r="X95" s="2051"/>
      <c r="Y95" s="2051"/>
      <c r="Z95" s="2051"/>
      <c r="AA95" s="2051"/>
      <c r="AB95" s="2051"/>
      <c r="AC95" s="2051"/>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4"/>
      <c r="N96" s="3227"/>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581</v>
      </c>
      <c r="D97" s="666" t="s">
        <v>582</v>
      </c>
      <c r="E97" s="666" t="s">
        <v>583</v>
      </c>
      <c r="F97" s="666" t="s">
        <v>584</v>
      </c>
      <c r="G97" s="666"/>
      <c r="H97" s="666"/>
      <c r="I97" s="666"/>
      <c r="J97" s="666"/>
      <c r="K97" s="667"/>
      <c r="L97" s="668"/>
      <c r="M97" s="669"/>
      <c r="N97" s="3225"/>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6"/>
      <c r="O98" s="2047"/>
      <c r="P98" s="2046"/>
      <c r="Q98" s="2039"/>
      <c r="R98" s="2027"/>
      <c r="S98" s="2027"/>
      <c r="T98" s="2027"/>
      <c r="U98" s="2027"/>
      <c r="V98" s="2027"/>
      <c r="W98" s="2027"/>
      <c r="X98" s="2027"/>
      <c r="Y98" s="2027"/>
      <c r="Z98" s="2027"/>
      <c r="AA98" s="2027"/>
      <c r="AB98" s="2027"/>
      <c r="AC98" s="2027"/>
    </row>
    <row r="99" spans="1:29" ht="27.75" thickTop="1">
      <c r="A99" s="661"/>
      <c r="B99" s="665" t="s">
        <v>540</v>
      </c>
      <c r="C99" s="680"/>
      <c r="D99" s="680"/>
      <c r="E99" s="680"/>
      <c r="F99" s="680"/>
      <c r="G99" s="680"/>
      <c r="H99" s="710"/>
      <c r="I99" s="710"/>
      <c r="J99" s="710"/>
      <c r="K99" s="711"/>
      <c r="L99" s="712"/>
      <c r="M99" s="713"/>
      <c r="N99" s="3225"/>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6"/>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541</v>
      </c>
      <c r="C101" s="710"/>
      <c r="D101" s="710"/>
      <c r="E101" s="710"/>
      <c r="F101" s="710"/>
      <c r="G101" s="710"/>
      <c r="H101" s="710"/>
      <c r="I101" s="710"/>
      <c r="J101" s="710"/>
      <c r="K101" s="711"/>
      <c r="L101" s="712"/>
      <c r="M101" s="713"/>
      <c r="N101" s="322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6"/>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5"/>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26"/>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26"/>
      <c r="O106" s="2047"/>
      <c r="P106" s="2046"/>
      <c r="Q106" s="2039"/>
      <c r="R106" s="2027"/>
      <c r="S106" s="2027"/>
      <c r="T106" s="2027"/>
      <c r="U106" s="2027"/>
      <c r="V106" s="2027"/>
      <c r="W106" s="2027"/>
      <c r="X106" s="2027"/>
      <c r="Y106" s="2027"/>
      <c r="Z106" s="2027"/>
      <c r="AA106" s="2027"/>
      <c r="AB106" s="2027"/>
      <c r="AC106" s="2027"/>
    </row>
    <row r="107" spans="1:29" s="1292" customFormat="1" ht="15" thickTop="1">
      <c r="A107" s="720"/>
      <c r="B107" s="721">
        <f>B35</f>
        <v>111</v>
      </c>
      <c r="C107" s="653"/>
      <c r="D107" s="653"/>
      <c r="E107" s="653"/>
      <c r="F107" s="653"/>
      <c r="G107" s="722"/>
      <c r="H107" s="722"/>
      <c r="I107" s="722"/>
      <c r="J107" s="723"/>
      <c r="K107" s="723"/>
      <c r="L107" s="724"/>
      <c r="M107" s="725"/>
      <c r="N107" s="3227"/>
      <c r="O107" s="2048"/>
      <c r="P107" s="2049"/>
      <c r="Q107" s="2050"/>
      <c r="R107" s="2051"/>
      <c r="S107" s="2051"/>
      <c r="T107" s="2051"/>
      <c r="U107" s="2051"/>
      <c r="V107" s="2051"/>
      <c r="W107" s="2051"/>
      <c r="X107" s="2051"/>
      <c r="Y107" s="2051"/>
      <c r="Z107" s="2051"/>
      <c r="AA107" s="2051"/>
      <c r="AB107" s="2051"/>
      <c r="AC107" s="2051"/>
    </row>
    <row r="108" spans="1:29" s="1292" customFormat="1" ht="15.75" thickBot="1">
      <c r="A108" s="679"/>
      <c r="B108" s="673"/>
      <c r="C108" s="692"/>
      <c r="D108" s="692"/>
      <c r="E108" s="692"/>
      <c r="F108" s="692"/>
      <c r="G108" s="586"/>
      <c r="H108" s="586"/>
      <c r="I108" s="586"/>
      <c r="J108" s="586"/>
      <c r="K108" s="586"/>
      <c r="L108" s="586"/>
      <c r="M108" s="726"/>
      <c r="N108" s="3226"/>
      <c r="O108" s="2047"/>
      <c r="P108" s="2049"/>
      <c r="Q108" s="2050"/>
      <c r="R108" s="2051"/>
      <c r="S108" s="2051"/>
      <c r="T108" s="2051"/>
      <c r="U108" s="2051"/>
      <c r="V108" s="2051"/>
      <c r="W108" s="2051"/>
      <c r="X108" s="2051"/>
      <c r="Y108" s="2051"/>
      <c r="Z108" s="2051"/>
      <c r="AA108" s="2051"/>
      <c r="AB108" s="2051"/>
      <c r="AC108" s="2051"/>
    </row>
    <row r="109" spans="1:29">
      <c r="A109" s="656" t="s">
        <v>543</v>
      </c>
      <c r="B109" s="657" t="s">
        <v>585</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9" t="str">
        <f t="shared" si="25"/>
        <v>(含)-</v>
      </c>
      <c r="L109" s="2780" t="str">
        <f t="shared" si="25"/>
        <v>(含)-</v>
      </c>
      <c r="M109" s="2781" t="str">
        <f>M110&amp;"(含)"&amp;"-"&amp;P110</f>
        <v>(含)-</v>
      </c>
      <c r="N109" s="3225"/>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26"/>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586</v>
      </c>
      <c r="C112" s="710"/>
      <c r="D112" s="710"/>
      <c r="E112" s="710"/>
      <c r="F112" s="710"/>
      <c r="G112" s="710"/>
      <c r="H112" s="710"/>
      <c r="I112" s="710"/>
      <c r="J112" s="710"/>
      <c r="K112" s="711"/>
      <c r="L112" s="712"/>
      <c r="M112" s="713"/>
      <c r="N112" s="3225"/>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6"/>
      <c r="O113" s="2047"/>
      <c r="P113" s="2046"/>
      <c r="Q113" s="2039"/>
      <c r="R113" s="2027"/>
      <c r="S113" s="2027"/>
      <c r="T113" s="2027"/>
      <c r="U113" s="2027"/>
      <c r="V113" s="2027"/>
      <c r="W113" s="2027"/>
      <c r="X113" s="2027"/>
      <c r="Y113" s="2027"/>
      <c r="Z113" s="2027"/>
      <c r="AA113" s="2027"/>
      <c r="AB113" s="2027"/>
      <c r="AC113" s="2027"/>
    </row>
    <row r="114" spans="1:29" s="1292" customFormat="1" ht="15" thickTop="1">
      <c r="A114" s="720"/>
      <c r="B114" s="1810" t="s">
        <v>2405</v>
      </c>
      <c r="C114" s="1326"/>
      <c r="D114" s="1326"/>
      <c r="E114" s="1326"/>
      <c r="F114" s="1326"/>
      <c r="G114" s="1326"/>
      <c r="H114" s="710"/>
      <c r="I114" s="710"/>
      <c r="J114" s="710"/>
      <c r="K114" s="711"/>
      <c r="L114" s="712"/>
      <c r="M114" s="713"/>
      <c r="N114" s="3227"/>
      <c r="O114" s="2048"/>
      <c r="P114" s="2049"/>
      <c r="Q114" s="2050"/>
      <c r="R114" s="2051"/>
      <c r="S114" s="2051"/>
      <c r="T114" s="2051"/>
      <c r="U114" s="2051"/>
      <c r="V114" s="2051"/>
      <c r="W114" s="2051"/>
      <c r="X114" s="2051"/>
      <c r="Y114" s="2051"/>
      <c r="Z114" s="2051"/>
      <c r="AA114" s="2051"/>
      <c r="AB114" s="2051"/>
      <c r="AC114" s="2051"/>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27"/>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588</v>
      </c>
      <c r="C116" s="680"/>
      <c r="D116" s="680"/>
      <c r="E116" s="710"/>
      <c r="F116" s="710"/>
      <c r="G116" s="710"/>
      <c r="H116" s="710"/>
      <c r="I116" s="710"/>
      <c r="J116" s="710"/>
      <c r="K116" s="711"/>
      <c r="L116" s="712"/>
      <c r="M116" s="713"/>
      <c r="N116" s="322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6"/>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26"/>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5"/>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26"/>
      <c r="O121" s="2047"/>
      <c r="P121" s="2046"/>
      <c r="Q121" s="2039"/>
      <c r="R121" s="2027"/>
      <c r="S121" s="2027"/>
      <c r="T121" s="2027"/>
      <c r="U121" s="2027"/>
      <c r="V121" s="2027"/>
      <c r="W121" s="2027"/>
      <c r="X121" s="2027"/>
      <c r="Y121" s="2027"/>
      <c r="Z121" s="2027"/>
      <c r="AA121" s="2027"/>
      <c r="AB121" s="2027"/>
      <c r="AC121" s="2027"/>
    </row>
    <row r="122" spans="1:29" s="1292" customFormat="1" ht="15" thickTop="1">
      <c r="A122" s="720"/>
      <c r="B122" s="665">
        <f>B42</f>
        <v>111</v>
      </c>
      <c r="C122" s="653"/>
      <c r="D122" s="653"/>
      <c r="E122" s="653"/>
      <c r="F122" s="653"/>
      <c r="G122" s="681"/>
      <c r="H122" s="681"/>
      <c r="I122" s="681"/>
      <c r="J122" s="681"/>
      <c r="K122" s="681"/>
      <c r="L122" s="682"/>
      <c r="M122" s="683"/>
      <c r="N122" s="3227"/>
      <c r="O122" s="2048"/>
      <c r="P122" s="2049"/>
      <c r="Q122" s="2050"/>
      <c r="R122" s="2051"/>
      <c r="S122" s="2051"/>
      <c r="T122" s="2051"/>
      <c r="U122" s="2051"/>
      <c r="V122" s="2051"/>
      <c r="W122" s="2051"/>
      <c r="X122" s="2051"/>
      <c r="Y122" s="2051"/>
      <c r="Z122" s="2051"/>
      <c r="AA122" s="2051"/>
      <c r="AB122" s="2051"/>
      <c r="AC122" s="2051"/>
    </row>
    <row r="123" spans="1:29" s="1292" customFormat="1" ht="15.75" thickBot="1">
      <c r="A123" s="690"/>
      <c r="B123" s="728"/>
      <c r="C123" s="692"/>
      <c r="D123" s="692"/>
      <c r="E123" s="692"/>
      <c r="F123" s="692"/>
      <c r="G123" s="718"/>
      <c r="H123" s="718"/>
      <c r="I123" s="718"/>
      <c r="J123" s="718"/>
      <c r="K123" s="718"/>
      <c r="L123" s="718"/>
      <c r="M123" s="719"/>
      <c r="N123" s="3227"/>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62" priority="18" stopIfTrue="1" operator="containsText" text="超过">
      <formula>NOT(ISERROR(SEARCH("超过",F48)))</formula>
    </cfRule>
  </conditionalFormatting>
  <conditionalFormatting sqref="J50">
    <cfRule type="containsText" dxfId="161" priority="17" stopIfTrue="1" operator="containsText" text="超过">
      <formula>NOT(ISERROR(SEARCH("超过",J50)))</formula>
    </cfRule>
  </conditionalFormatting>
  <conditionalFormatting sqref="H50">
    <cfRule type="containsText" dxfId="160" priority="16" stopIfTrue="1" operator="containsText" text="超过">
      <formula>NOT(ISERROR(SEARCH("超过",H50)))</formula>
    </cfRule>
  </conditionalFormatting>
  <conditionalFormatting sqref="F50">
    <cfRule type="containsText" dxfId="159" priority="15" stopIfTrue="1" operator="containsText" text="超过">
      <formula>NOT(ISERROR(SEARCH("超过",F50)))</formula>
    </cfRule>
  </conditionalFormatting>
  <conditionalFormatting sqref="F49 H49 J49">
    <cfRule type="containsText" dxfId="158" priority="14" stopIfTrue="1" operator="containsText" text="超过">
      <formula>NOT(ISERROR(SEARCH("超过",F49)))</formula>
    </cfRule>
  </conditionalFormatting>
  <conditionalFormatting sqref="E48">
    <cfRule type="expression" dxfId="157" priority="13" stopIfTrue="1">
      <formula>$F$48="超过30%"</formula>
    </cfRule>
  </conditionalFormatting>
  <conditionalFormatting sqref="G50">
    <cfRule type="expression" dxfId="156" priority="12" stopIfTrue="1">
      <formula>$H$50="超过30%"</formula>
    </cfRule>
  </conditionalFormatting>
  <conditionalFormatting sqref="E50">
    <cfRule type="expression" dxfId="155" priority="10" stopIfTrue="1">
      <formula>$F$50="超过30%"</formula>
    </cfRule>
  </conditionalFormatting>
  <conditionalFormatting sqref="G48">
    <cfRule type="expression" dxfId="154" priority="9" stopIfTrue="1">
      <formula>$H$48="超过30%"</formula>
    </cfRule>
  </conditionalFormatting>
  <conditionalFormatting sqref="G49">
    <cfRule type="expression" dxfId="153" priority="8" stopIfTrue="1">
      <formula>$H$49="超过20%"</formula>
    </cfRule>
  </conditionalFormatting>
  <conditionalFormatting sqref="I48">
    <cfRule type="expression" dxfId="152" priority="7" stopIfTrue="1">
      <formula>$J$48="超过30%"</formula>
    </cfRule>
  </conditionalFormatting>
  <conditionalFormatting sqref="I49">
    <cfRule type="expression" dxfId="151" priority="6" stopIfTrue="1">
      <formula>$J$49="超过20%"</formula>
    </cfRule>
  </conditionalFormatting>
  <conditionalFormatting sqref="I50">
    <cfRule type="expression" dxfId="150" priority="5" stopIfTrue="1">
      <formula>$J$50="超过30%"</formula>
    </cfRule>
  </conditionalFormatting>
  <conditionalFormatting sqref="E49">
    <cfRule type="expression" dxfId="149" priority="51" stopIfTrue="1">
      <formula>#REF!+$F$49="超过20%"</formula>
    </cfRule>
  </conditionalFormatting>
  <conditionalFormatting sqref="F44">
    <cfRule type="expression" dxfId="148" priority="4">
      <formula>$D$44="简单平均"</formula>
    </cfRule>
  </conditionalFormatting>
  <conditionalFormatting sqref="H44">
    <cfRule type="expression" dxfId="147" priority="3">
      <formula>$D$44="简单平均"</formula>
    </cfRule>
  </conditionalFormatting>
  <conditionalFormatting sqref="J44">
    <cfRule type="expression" dxfId="146" priority="2">
      <formula>$D$44="简单平均"</formula>
    </cfRule>
  </conditionalFormatting>
  <conditionalFormatting sqref="F9:F42 H9:H42 J9:J42">
    <cfRule type="cellIs" dxfId="145" priority="1" operator="notEqual">
      <formula>100</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 type="list" allowBlank="1" showInputMessage="1" showErrorMessage="1" sqref="D44" xr:uid="{00000000-0002-0000-14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topLeftCell="A13" zoomScale="80" zoomScaleNormal="60" zoomScaleSheetLayoutView="80" workbookViewId="0">
      <selection activeCell="E17" sqref="E17"/>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1680</v>
      </c>
      <c r="B1" s="1348"/>
      <c r="C1" s="1354" t="s">
        <v>2406</v>
      </c>
      <c r="D1" s="1460">
        <f>SUM(D29:D30,D33:D39)</f>
        <v>71189.150999999998</v>
      </c>
      <c r="E1" s="1354" t="s">
        <v>2407</v>
      </c>
      <c r="F1" s="2307">
        <f>'数据-基础表'!A3</f>
        <v>32358.705000000002</v>
      </c>
      <c r="G1" s="1349"/>
      <c r="H1" s="1349"/>
      <c r="I1" s="1349"/>
      <c r="J1" s="1349"/>
      <c r="K1" s="2070"/>
      <c r="L1" s="1796" t="s">
        <v>2222</v>
      </c>
      <c r="M1" s="1797">
        <f>SUMPRODUCT((区片价!B5:B9=I2)*(区片价!C3:F3=E2)*(区片价!C5:F9))</f>
        <v>0</v>
      </c>
      <c r="N1" s="1798">
        <f>SUMPRODUCT((因素修正幅度!B5:B9=I2)*(因素修正幅度!C3:F3=E2)*(因素修正幅度!C5:F9))</f>
        <v>0</v>
      </c>
      <c r="O1" s="2070"/>
      <c r="P1" s="2070"/>
      <c r="Q1" s="2070"/>
      <c r="R1" s="2653" t="s">
        <v>2736</v>
      </c>
      <c r="S1" s="2653" t="s">
        <v>2737</v>
      </c>
      <c r="T1" s="2653" t="s">
        <v>2758</v>
      </c>
      <c r="U1" s="2653" t="s">
        <v>2759</v>
      </c>
      <c r="V1" s="2653" t="s">
        <v>2760</v>
      </c>
      <c r="W1" s="2070"/>
      <c r="X1" s="2070"/>
      <c r="Y1" s="2070"/>
      <c r="Z1" s="2070"/>
      <c r="AA1" s="2070"/>
      <c r="AB1" s="2070"/>
      <c r="AC1" s="2071"/>
    </row>
    <row r="2" spans="1:39" ht="15.75">
      <c r="A2" s="1354" t="s">
        <v>909</v>
      </c>
      <c r="B2" s="1025">
        <f>C26</f>
        <v>51633</v>
      </c>
      <c r="C2" s="1355" t="s">
        <v>910</v>
      </c>
      <c r="D2" s="1356" t="s">
        <v>911</v>
      </c>
      <c r="E2" s="1357" t="s">
        <v>2996</v>
      </c>
      <c r="F2" s="1356" t="s">
        <v>913</v>
      </c>
      <c r="G2" s="1580" t="str">
        <f>IF(E2="商业",项目基本情况!B43,IF(E2="办公",项目基本情况!C43,IF(E2="住宅",项目基本情况!D43,项目基本情况!E43)))</f>
        <v>八级</v>
      </c>
      <c r="H2" s="1356" t="s">
        <v>915</v>
      </c>
      <c r="I2" s="1581" t="str">
        <f>IF(E2="商业",项目基本情况!B44,IF(E2="办公",项目基本情况!C44,IF(E2="住宅",项目基本情况!D44,项目基本情况!E44)))</f>
        <v>Ⅷ-通1</v>
      </c>
      <c r="J2" s="1358"/>
      <c r="K2" s="3228"/>
      <c r="L2" s="1799" t="s">
        <v>2223</v>
      </c>
      <c r="M2" s="1800">
        <f>SUMPRODUCT((区片价!B10:B28=I2)*(区片价!C3:F3=E2)*(区片价!C10:F28))</f>
        <v>0</v>
      </c>
      <c r="N2" s="1801">
        <f>SUMPRODUCT((因素修正幅度!B10:B28=I2)*(因素修正幅度!C3:F3=E2)*(因素修正幅度!C10:F28))</f>
        <v>0</v>
      </c>
      <c r="O2" s="3228"/>
      <c r="P2" s="2070"/>
      <c r="Q2" s="2070"/>
      <c r="R2" s="2654">
        <v>1</v>
      </c>
      <c r="S2" s="2654">
        <f>ROUND(IF(G3&gt;1,IF(R2&lt;7,SUMPRODUCT((B93:B98=R2)*(C92:N92=G2)*(C93:N98)),SUMIF(C92:N92,G2,C100:N100)),IF(R2&lt;7,SUMPRODUCT((B102:B107=R2)*(C92:N92=G2)*(C102:N107)),SUMIF(C92:N92,G2,C109:N109))),4)</f>
        <v>1.9419999999999999</v>
      </c>
      <c r="T2" s="2654">
        <f>ROUND($C$5*$C$18*$C$19*$C$20*S2*$C$24,0)</f>
        <v>14790</v>
      </c>
      <c r="U2" s="2643"/>
      <c r="V2" s="2654">
        <f>ROUND(T2*U2/10000,0)</f>
        <v>0</v>
      </c>
      <c r="W2" s="2070"/>
      <c r="X2" s="2070"/>
      <c r="Y2" s="2070"/>
      <c r="Z2" s="2070"/>
      <c r="AA2" s="2070"/>
      <c r="AB2" s="2070"/>
      <c r="AC2" s="2071"/>
    </row>
    <row r="3" spans="1:39" ht="15.75">
      <c r="A3" s="1359" t="s">
        <v>1673</v>
      </c>
      <c r="B3" s="1025">
        <f>ROUND(B2*10000/D1,0)</f>
        <v>7253</v>
      </c>
      <c r="C3" s="1355" t="s">
        <v>916</v>
      </c>
      <c r="D3" s="1356" t="s">
        <v>917</v>
      </c>
      <c r="E3" s="1360" t="s">
        <v>3005</v>
      </c>
      <c r="F3" s="1361" t="s">
        <v>3006</v>
      </c>
      <c r="G3" s="1026">
        <f>IF(F3="宗地容积率",'数据-汇总表'!I4,IF(F3="估价对象容积率",'数据-汇总表'!I6,'数据-汇总表'!I7))</f>
        <v>2.2000000000000002</v>
      </c>
      <c r="H3" s="1362" t="s">
        <v>918</v>
      </c>
      <c r="I3" s="1027">
        <v>8</v>
      </c>
      <c r="J3" s="1358" t="s">
        <v>919</v>
      </c>
      <c r="K3" s="3228"/>
      <c r="L3" s="1799" t="s">
        <v>2224</v>
      </c>
      <c r="M3" s="1800">
        <f>SUMPRODUCT((区片价!B29:B48=I2)*(区片价!C3:F3=E2)*(区片价!C29:F48))</f>
        <v>0</v>
      </c>
      <c r="N3" s="1801">
        <f>SUMPRODUCT((因素修正幅度!B29:B48=I2)*(因素修正幅度!C3:F3=E2)*(因素修正幅度!C29:F48))</f>
        <v>0</v>
      </c>
      <c r="O3" s="3228"/>
      <c r="P3" s="2070"/>
      <c r="Q3" s="2070"/>
      <c r="R3" s="2654">
        <v>2</v>
      </c>
      <c r="S3" s="2654">
        <f>ROUND(IF(G3&gt;1,IF(R3&lt;7,SUMPRODUCT((B93:B98=R3)*(C92:N92=G2)*(C93:N98)),SUMIF(C92:N92,G2,C100:N100)),IF(R3&lt;7,SUMPRODUCT((B102:B107=R3)*(C92:N92=G2)*(C102:N107)),SUMIF(C92:N92,G2,C109:N109))),4)</f>
        <v>1.2799</v>
      </c>
      <c r="T3" s="2654">
        <f t="shared" ref="T3:T16" si="0">ROUND($C$5*$C$18*$C$19*$C$20*S3*$C$24,0)</f>
        <v>9748</v>
      </c>
      <c r="U3" s="2643"/>
      <c r="V3" s="2654">
        <f t="shared" ref="V3:V16" si="1">ROUND(T3*U3/10000,0)</f>
        <v>0</v>
      </c>
      <c r="W3" s="2070"/>
      <c r="X3" s="2070"/>
      <c r="Y3" s="2070"/>
      <c r="Z3" s="2070"/>
      <c r="AA3" s="2070"/>
      <c r="AB3" s="2070"/>
      <c r="AC3" s="2071"/>
    </row>
    <row r="4" spans="1:39" ht="28.5">
      <c r="A4" s="1805" t="s">
        <v>2263</v>
      </c>
      <c r="B4" s="2308">
        <f>ROUND(B2*10000/F1,0)</f>
        <v>15956</v>
      </c>
      <c r="C4" s="1808" t="s">
        <v>2238</v>
      </c>
      <c r="D4" s="1808">
        <f>ROUND(B2/(F1/666.67),0)</f>
        <v>1064</v>
      </c>
      <c r="E4" s="1808" t="s">
        <v>2239</v>
      </c>
      <c r="F4" s="1806"/>
      <c r="G4" s="1806"/>
      <c r="H4" s="1806"/>
      <c r="I4" s="1806"/>
      <c r="J4" s="1807"/>
      <c r="K4" s="3229"/>
      <c r="L4" s="1799" t="s">
        <v>2225</v>
      </c>
      <c r="M4" s="1800">
        <f>SUMPRODUCT((区片价!B49:B75=I2)*(区片价!C3:F3=E2)*(区片价!C49:F75))</f>
        <v>0</v>
      </c>
      <c r="N4" s="1801">
        <f>SUMPRODUCT((因素修正幅度!B49:B75=I2)*(因素修正幅度!C3:F3=E2)*(因素修正幅度!C49:F75))</f>
        <v>0</v>
      </c>
      <c r="O4" s="3229"/>
      <c r="P4" s="2070"/>
      <c r="Q4" s="2070"/>
      <c r="R4" s="2654">
        <v>3</v>
      </c>
      <c r="S4" s="2654">
        <f>ROUND(IF(G3&gt;1,IF(R4&lt;7,SUMPRODUCT((B93:B98=R4)*(C92:N92=G2)*(C93:N98)),SUMIF(C92:N92,G2,C100:N100)),IF(R4&lt;7,SUMPRODUCT((B102:B107=R4)*(C92:N92=G2)*(C102:N107)),SUMIF(C92:N92,G2,C109:N109))),4)</f>
        <v>1.0072000000000001</v>
      </c>
      <c r="T4" s="2654">
        <f t="shared" si="0"/>
        <v>7671</v>
      </c>
      <c r="U4" s="2643"/>
      <c r="V4" s="2654">
        <f t="shared" si="1"/>
        <v>0</v>
      </c>
      <c r="W4" s="2070"/>
      <c r="X4" s="2070"/>
      <c r="Y4" s="2070"/>
      <c r="Z4" s="2070"/>
      <c r="AA4" s="2070"/>
      <c r="AB4" s="2070"/>
      <c r="AC4" s="2071"/>
    </row>
    <row r="5" spans="1:39" s="1369" customFormat="1" ht="15.75" thickBot="1">
      <c r="A5" s="1566" t="s">
        <v>1809</v>
      </c>
      <c r="B5" s="1363" t="s">
        <v>920</v>
      </c>
      <c r="C5" s="1028">
        <f>ROUND(IF(E2="商业",C6*C7+C16,(IF(E2="住宅",C6*C12+C16,C6+C16))),0)</f>
        <v>5310</v>
      </c>
      <c r="D5" s="2792">
        <f>ROUND(C6+C16,0)</f>
        <v>5310</v>
      </c>
      <c r="E5" s="2792"/>
      <c r="F5" s="1364"/>
      <c r="G5" s="1365"/>
      <c r="H5" s="1365"/>
      <c r="I5" s="1365"/>
      <c r="J5" s="1366"/>
      <c r="K5" s="3230"/>
      <c r="L5" s="1799" t="s">
        <v>2226</v>
      </c>
      <c r="M5" s="1800">
        <f>SUMPRODUCT((区片价!B76:B109=I2)*(区片价!C3:F3=E2)*(区片价!C76:F109))</f>
        <v>0</v>
      </c>
      <c r="N5" s="1801">
        <f>SUMPRODUCT((因素修正幅度!B76:B109=I2)*(因素修正幅度!C3:F3=E2)*(因素修正幅度!C76:F109))</f>
        <v>0</v>
      </c>
      <c r="O5" s="3230"/>
      <c r="P5" s="3233"/>
      <c r="Q5" s="2070"/>
      <c r="R5" s="2654">
        <v>4</v>
      </c>
      <c r="S5" s="2654">
        <f>ROUND(IF(G3&gt;1,IF(R5&lt;7,SUMPRODUCT((B93:B98=R5)*(C92:N92=G2)*(C93:N98)),SUMIF(C92:N92,G2,C100:N100)),IF(R5&lt;7,SUMPRODUCT((B102:B107=R5)*(C92:N92=G2)*(C102:N107)),SUMIF(C92:N92,G2,C109:N109))),4)</f>
        <v>0.75249999999999995</v>
      </c>
      <c r="T5" s="2654">
        <f t="shared" si="0"/>
        <v>5731</v>
      </c>
      <c r="U5" s="2643"/>
      <c r="V5" s="2654">
        <f t="shared" si="1"/>
        <v>0</v>
      </c>
      <c r="W5" s="2070"/>
      <c r="X5" s="2070"/>
      <c r="Y5" s="2070"/>
      <c r="Z5" s="2070"/>
      <c r="AA5" s="2070"/>
      <c r="AB5" s="2070"/>
      <c r="AC5" s="2072"/>
      <c r="AD5" s="1367"/>
      <c r="AE5" s="1367"/>
      <c r="AF5" s="1367"/>
      <c r="AG5" s="1367"/>
      <c r="AH5" s="1367"/>
      <c r="AI5" s="1367"/>
      <c r="AJ5" s="1368"/>
      <c r="AK5" s="1368"/>
      <c r="AL5" s="1368"/>
      <c r="AM5" s="1368"/>
    </row>
    <row r="6" spans="1:39" ht="15.75" thickBot="1">
      <c r="A6" s="1567" t="s">
        <v>1856</v>
      </c>
      <c r="B6" s="1370" t="s">
        <v>920</v>
      </c>
      <c r="C6" s="1029">
        <f>SUMIF(L1:L12,'基准地价-商'!G2,M1:M12)</f>
        <v>5280</v>
      </c>
      <c r="D6" s="1371" t="s">
        <v>1681</v>
      </c>
      <c r="E6" s="1372"/>
      <c r="F6" s="1372"/>
      <c r="G6" s="1373"/>
      <c r="H6" s="1373"/>
      <c r="I6" s="1373"/>
      <c r="J6" s="1374"/>
      <c r="K6" s="3231"/>
      <c r="L6" s="1799" t="s">
        <v>2227</v>
      </c>
      <c r="M6" s="1800">
        <f>SUMPRODUCT((区片价!B110:B157=I2)*(区片价!C3:F3=E2)*(区片价!C110:F157))</f>
        <v>0</v>
      </c>
      <c r="N6" s="1801">
        <f>SUMPRODUCT((因素修正幅度!B110:B157=I2)*(因素修正幅度!C3:F3=E2)*(因素修正幅度!C110:F157))</f>
        <v>0</v>
      </c>
      <c r="O6" s="3231"/>
      <c r="P6" s="3234"/>
      <c r="Q6" s="2070"/>
      <c r="R6" s="2654">
        <v>5</v>
      </c>
      <c r="S6" s="2654">
        <f>ROUND(IF(G3&gt;1,IF(R6&lt;7,SUMPRODUCT((B93:B98=R6)*(C92:N92=G2)*(C93:N98)),SUMIF(C92:N92,G2,C100:N100)),IF(R6&lt;7,SUMPRODUCT((B102:B107=R6)*(C92:N92=G2)*(C102:N107)),SUMIF(C92:N92,G2,C109:N109))),4)</f>
        <v>0.56589999999999996</v>
      </c>
      <c r="T6" s="2654">
        <f t="shared" si="0"/>
        <v>4310</v>
      </c>
      <c r="U6" s="2643"/>
      <c r="V6" s="2654">
        <f t="shared" si="1"/>
        <v>0</v>
      </c>
      <c r="W6" s="2070"/>
      <c r="X6" s="2070"/>
      <c r="Y6" s="2070"/>
      <c r="Z6" s="2070"/>
      <c r="AA6" s="2070"/>
      <c r="AB6" s="2070"/>
      <c r="AC6" s="2072"/>
      <c r="AD6" s="1367"/>
      <c r="AE6" s="1367"/>
      <c r="AF6" s="1367"/>
      <c r="AG6" s="1367"/>
      <c r="AH6" s="1367"/>
      <c r="AI6" s="1367"/>
      <c r="AJ6" s="1368"/>
    </row>
    <row r="7" spans="1:39" ht="24">
      <c r="A7" s="3612" t="str">
        <f>IF(E2="商业",IF(C8="不临58条商业街","",2),"")</f>
        <v/>
      </c>
      <c r="B7" s="1375" t="s">
        <v>921</v>
      </c>
      <c r="C7" s="1030">
        <f>IF(C8="不临58条商业街",1,ROUND(1+(1.6*E8+1.2*E9+0.8*E10+0.4*E11)*C9,4))</f>
        <v>1</v>
      </c>
      <c r="D7" s="1376" t="s">
        <v>922</v>
      </c>
      <c r="E7" s="1031"/>
      <c r="F7" s="1377"/>
      <c r="G7" s="1378"/>
      <c r="H7" s="1378"/>
      <c r="I7" s="1378"/>
      <c r="J7" s="1379"/>
      <c r="K7" s="3231"/>
      <c r="L7" s="1799" t="s">
        <v>2228</v>
      </c>
      <c r="M7" s="1800">
        <f>SUMPRODUCT((区片价!B158:B205=I2)*(区片价!C3:F3=E2)*(区片价!C158:F205))</f>
        <v>0</v>
      </c>
      <c r="N7" s="1801">
        <f>SUMPRODUCT((因素修正幅度!B158:B205=I2)*(因素修正幅度!C3:F3=E2)*(因素修正幅度!C158:F205))</f>
        <v>0</v>
      </c>
      <c r="O7" s="3231"/>
      <c r="P7" s="3234"/>
      <c r="Q7" s="2070"/>
      <c r="R7" s="2654">
        <v>6</v>
      </c>
      <c r="S7" s="2654">
        <f>ROUND(IF(G3&gt;1,IF(R7&lt;7,SUMPRODUCT((B93:B98=R7)*(C92:N92=G2)*(C93:N98)),SUMIF(C92:N92,G2,C100:N100)),IF(R7&lt;7,SUMPRODUCT((B102:B107=R7)*(C92:N92=G2)*(C102:N107)),SUMIF(C92:N92,G2,C109:N109))),4)</f>
        <v>0.45250000000000001</v>
      </c>
      <c r="T7" s="2654">
        <f t="shared" si="0"/>
        <v>3446</v>
      </c>
      <c r="U7" s="2643"/>
      <c r="V7" s="2654">
        <f t="shared" si="1"/>
        <v>0</v>
      </c>
      <c r="W7" s="2652" t="s">
        <v>2739</v>
      </c>
      <c r="X7" s="2644" t="str">
        <f>G2</f>
        <v>八级</v>
      </c>
      <c r="Y7" s="2644" t="s">
        <v>2740</v>
      </c>
      <c r="Z7" s="2645">
        <f>G3</f>
        <v>2.2000000000000002</v>
      </c>
      <c r="AA7" s="2073"/>
      <c r="AB7" s="2073"/>
      <c r="AC7" s="2074"/>
      <c r="AD7" s="2646"/>
      <c r="AE7" s="2646"/>
      <c r="AF7" s="2646"/>
      <c r="AG7" s="2646"/>
      <c r="AH7" s="2646"/>
      <c r="AI7" s="2646"/>
      <c r="AJ7" s="2647"/>
    </row>
    <row r="8" spans="1:39" ht="25.5">
      <c r="A8" s="3613"/>
      <c r="B8" s="1362" t="s">
        <v>923</v>
      </c>
      <c r="C8" s="1468" t="s">
        <v>3007</v>
      </c>
      <c r="D8" s="1032" t="s">
        <v>924</v>
      </c>
      <c r="E8" s="1033" t="e">
        <f>ROUND(C11/E7,4)</f>
        <v>#DIV/0!</v>
      </c>
      <c r="F8" s="1380" t="s">
        <v>925</v>
      </c>
      <c r="G8" s="1381"/>
      <c r="H8" s="1381"/>
      <c r="I8" s="1381"/>
      <c r="J8" s="1382"/>
      <c r="K8" s="3231"/>
      <c r="L8" s="1799" t="s">
        <v>2229</v>
      </c>
      <c r="M8" s="1800">
        <f>SUMPRODUCT((区片价!B206:B244=I2)*(区片价!C3:F3=E2)*(区片价!C206:F244))</f>
        <v>5280</v>
      </c>
      <c r="N8" s="1801">
        <f>SUMPRODUCT((因素修正幅度!B206:B244=I2)*(因素修正幅度!C3:F3=E2)*(因素修正幅度!C206:F244))</f>
        <v>0.15</v>
      </c>
      <c r="O8" s="3231"/>
      <c r="P8" s="2070"/>
      <c r="Q8" s="2070"/>
      <c r="R8" s="2654">
        <v>7</v>
      </c>
      <c r="S8" s="2643"/>
      <c r="T8" s="2654">
        <f t="shared" si="0"/>
        <v>0</v>
      </c>
      <c r="U8" s="2643"/>
      <c r="V8" s="2654">
        <f t="shared" si="1"/>
        <v>0</v>
      </c>
      <c r="W8" s="3623" t="s">
        <v>2757</v>
      </c>
      <c r="X8" s="3624"/>
      <c r="Y8" s="1763" t="s">
        <v>2741</v>
      </c>
      <c r="Z8" s="1763" t="s">
        <v>2742</v>
      </c>
      <c r="AA8" s="1763" t="s">
        <v>2743</v>
      </c>
      <c r="AB8" s="1763" t="s">
        <v>2744</v>
      </c>
      <c r="AC8" s="1763" t="s">
        <v>2745</v>
      </c>
      <c r="AD8" s="1763" t="s">
        <v>2746</v>
      </c>
      <c r="AE8" s="1763" t="s">
        <v>2747</v>
      </c>
      <c r="AF8" s="1763" t="s">
        <v>2748</v>
      </c>
      <c r="AG8" s="1763" t="s">
        <v>2749</v>
      </c>
      <c r="AH8" s="1763" t="s">
        <v>2750</v>
      </c>
      <c r="AI8" s="1763" t="s">
        <v>2751</v>
      </c>
      <c r="AJ8" s="1763" t="s">
        <v>2752</v>
      </c>
    </row>
    <row r="9" spans="1:39" ht="15">
      <c r="A9" s="3613"/>
      <c r="B9" s="1362" t="s">
        <v>926</v>
      </c>
      <c r="C9" s="1034">
        <f>SUMIF(修正!C59:C119,C8,修正!E59:E119)</f>
        <v>0</v>
      </c>
      <c r="D9" s="1035" t="s">
        <v>927</v>
      </c>
      <c r="E9" s="1035" t="e">
        <f>ROUND(C11/E7,4)</f>
        <v>#DIV/0!</v>
      </c>
      <c r="F9" s="1380" t="s">
        <v>928</v>
      </c>
      <c r="G9" s="1381"/>
      <c r="H9" s="1381"/>
      <c r="I9" s="1381"/>
      <c r="J9" s="1382"/>
      <c r="K9" s="3231"/>
      <c r="L9" s="1799" t="s">
        <v>2230</v>
      </c>
      <c r="M9" s="1800">
        <f>SUMPRODUCT((区片价!B245:B289=I2)*(区片价!C3:F3=E2)*(区片价!C245:F289))</f>
        <v>0</v>
      </c>
      <c r="N9" s="1801">
        <f>SUMPRODUCT((因素修正幅度!B245:B289=I2)*(因素修正幅度!C3:F3=E2)*(因素修正幅度!C245:F289))</f>
        <v>0</v>
      </c>
      <c r="O9" s="3231"/>
      <c r="P9" s="2070"/>
      <c r="Q9" s="2070"/>
      <c r="R9" s="2654">
        <v>8</v>
      </c>
      <c r="S9" s="2643"/>
      <c r="T9" s="2654">
        <f t="shared" si="0"/>
        <v>0</v>
      </c>
      <c r="U9" s="2643"/>
      <c r="V9" s="2654">
        <f t="shared" si="1"/>
        <v>0</v>
      </c>
      <c r="W9" s="3622" t="s">
        <v>2753</v>
      </c>
      <c r="X9" s="2648" t="s">
        <v>2754</v>
      </c>
      <c r="Y9" s="2785"/>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613"/>
      <c r="B10" s="1362" t="s">
        <v>929</v>
      </c>
      <c r="C10" s="1035">
        <f>SUMIF(修正!C59:C119,C8,修正!F59:F119)</f>
        <v>0</v>
      </c>
      <c r="D10" s="1035" t="s">
        <v>930</v>
      </c>
      <c r="E10" s="1035" t="e">
        <f>ROUND(C11/E7,4)</f>
        <v>#DIV/0!</v>
      </c>
      <c r="F10" s="1380" t="s">
        <v>931</v>
      </c>
      <c r="G10" s="1381"/>
      <c r="H10" s="1381"/>
      <c r="I10" s="1381"/>
      <c r="J10" s="1382"/>
      <c r="K10" s="3231"/>
      <c r="L10" s="1799" t="s">
        <v>2231</v>
      </c>
      <c r="M10" s="1800">
        <f>SUMPRODUCT((区片价!B290:B316=I2)*(区片价!C3:F3=E2)*(区片价!C290:F316))</f>
        <v>0</v>
      </c>
      <c r="N10" s="1801">
        <f>SUMPRODUCT((因素修正幅度!B290:B316=I2)*(因素修正幅度!C3:F3=E2)*(因素修正幅度!C290:F316))</f>
        <v>0</v>
      </c>
      <c r="O10" s="3231"/>
      <c r="P10" s="2070"/>
      <c r="Q10" s="2070"/>
      <c r="R10" s="2654">
        <v>9</v>
      </c>
      <c r="S10" s="2643"/>
      <c r="T10" s="2654">
        <f t="shared" si="0"/>
        <v>0</v>
      </c>
      <c r="U10" s="2643"/>
      <c r="V10" s="2654">
        <f t="shared" si="1"/>
        <v>0</v>
      </c>
      <c r="W10" s="3622"/>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613"/>
      <c r="B11" s="1383" t="s">
        <v>932</v>
      </c>
      <c r="C11" s="1036">
        <f>C10/4</f>
        <v>0</v>
      </c>
      <c r="D11" s="1036" t="s">
        <v>933</v>
      </c>
      <c r="E11" s="1036" t="e">
        <f>ROUND(C11/E7,4)</f>
        <v>#DIV/0!</v>
      </c>
      <c r="F11" s="1384" t="s">
        <v>934</v>
      </c>
      <c r="G11" s="1385"/>
      <c r="H11" s="1385"/>
      <c r="I11" s="1385"/>
      <c r="J11" s="1386"/>
      <c r="K11" s="3231"/>
      <c r="L11" s="1799" t="s">
        <v>2232</v>
      </c>
      <c r="M11" s="1800">
        <f>SUMPRODUCT((区片价!B317:B337=I2)*(区片价!C3:F3=E2)*(区片价!C317:F337))</f>
        <v>0</v>
      </c>
      <c r="N11" s="1801">
        <f>SUMPRODUCT((因素修正幅度!B317:B337=I2)*(因素修正幅度!C3:F3=E2)*(因素修正幅度!C317:F337))</f>
        <v>0</v>
      </c>
      <c r="O11" s="3231"/>
      <c r="P11" s="2070"/>
      <c r="Q11" s="2070"/>
      <c r="R11" s="2654">
        <v>10</v>
      </c>
      <c r="S11" s="2643"/>
      <c r="T11" s="2654">
        <f t="shared" si="0"/>
        <v>0</v>
      </c>
      <c r="U11" s="2643"/>
      <c r="V11" s="2654">
        <f t="shared" si="1"/>
        <v>0</v>
      </c>
      <c r="W11" s="3622" t="s">
        <v>2755</v>
      </c>
      <c r="X11" s="1035" t="s">
        <v>2740</v>
      </c>
      <c r="Y11" s="1581">
        <f>$G$3</f>
        <v>2.2000000000000002</v>
      </c>
      <c r="Z11" s="1581">
        <f t="shared" ref="Z11:AJ11" si="3">$G$3</f>
        <v>2.2000000000000002</v>
      </c>
      <c r="AA11" s="1581">
        <f t="shared" si="3"/>
        <v>2.2000000000000002</v>
      </c>
      <c r="AB11" s="1581">
        <f t="shared" si="3"/>
        <v>2.2000000000000002</v>
      </c>
      <c r="AC11" s="1581">
        <f t="shared" si="3"/>
        <v>2.2000000000000002</v>
      </c>
      <c r="AD11" s="1581">
        <f t="shared" si="3"/>
        <v>2.2000000000000002</v>
      </c>
      <c r="AE11" s="1581">
        <f t="shared" si="3"/>
        <v>2.2000000000000002</v>
      </c>
      <c r="AF11" s="1581">
        <f t="shared" si="3"/>
        <v>2.2000000000000002</v>
      </c>
      <c r="AG11" s="1581">
        <f t="shared" si="3"/>
        <v>2.2000000000000002</v>
      </c>
      <c r="AH11" s="1581">
        <f t="shared" si="3"/>
        <v>2.2000000000000002</v>
      </c>
      <c r="AI11" s="1581">
        <f t="shared" si="3"/>
        <v>2.2000000000000002</v>
      </c>
      <c r="AJ11" s="1581">
        <f t="shared" si="3"/>
        <v>2.2000000000000002</v>
      </c>
    </row>
    <row r="12" spans="1:39" ht="25.5" thickBot="1">
      <c r="A12" s="3612" t="s">
        <v>1857</v>
      </c>
      <c r="B12" s="1387" t="s">
        <v>935</v>
      </c>
      <c r="C12" s="1030">
        <f>ROUND(C15*D15*E15*F15*G15*H15*I15*J15,4)</f>
        <v>1</v>
      </c>
      <c r="D12" s="1388" t="s">
        <v>936</v>
      </c>
      <c r="E12" s="1389"/>
      <c r="F12" s="1389"/>
      <c r="G12" s="1390"/>
      <c r="H12" s="1390"/>
      <c r="I12" s="1390"/>
      <c r="J12" s="1391"/>
      <c r="K12" s="3231"/>
      <c r="L12" s="1802" t="s">
        <v>2233</v>
      </c>
      <c r="M12" s="1803">
        <f>SUMPRODUCT((区片价!B338:B344=I2)*(区片价!C3:F3=E2)*(区片价!C338:F344))</f>
        <v>0</v>
      </c>
      <c r="N12" s="1804">
        <f>SUMPRODUCT((因素修正幅度!B338:B344=I2)*(因素修正幅度!C3:F3=E2)*(因素修正幅度!C338:F344))</f>
        <v>0</v>
      </c>
      <c r="O12" s="3231"/>
      <c r="P12" s="2070"/>
      <c r="Q12" s="2070"/>
      <c r="R12" s="2654">
        <v>11</v>
      </c>
      <c r="S12" s="2643"/>
      <c r="T12" s="2654">
        <f t="shared" si="0"/>
        <v>0</v>
      </c>
      <c r="U12" s="2643"/>
      <c r="V12" s="2654">
        <f t="shared" si="1"/>
        <v>0</v>
      </c>
      <c r="W12" s="3622"/>
      <c r="X12" s="2651" t="s">
        <v>2756</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614"/>
      <c r="B13" s="1392" t="s">
        <v>1682</v>
      </c>
      <c r="C13" s="1393" t="s">
        <v>1683</v>
      </c>
      <c r="D13" s="1071" t="s">
        <v>1684</v>
      </c>
      <c r="E13" s="1071" t="s">
        <v>1685</v>
      </c>
      <c r="F13" s="1394" t="s">
        <v>937</v>
      </c>
      <c r="G13" s="1395" t="s">
        <v>1630</v>
      </c>
      <c r="H13" s="1396" t="s">
        <v>1630</v>
      </c>
      <c r="I13" s="1397" t="s">
        <v>1630</v>
      </c>
      <c r="J13" s="1398" t="s">
        <v>1630</v>
      </c>
      <c r="K13" s="2842"/>
      <c r="L13" s="2842"/>
      <c r="M13" s="2842"/>
      <c r="N13" s="2842"/>
      <c r="O13" s="2842"/>
      <c r="P13" s="2070"/>
      <c r="Q13" s="2070"/>
      <c r="R13" s="2654">
        <v>12</v>
      </c>
      <c r="S13" s="2643"/>
      <c r="T13" s="2654">
        <f t="shared" si="0"/>
        <v>0</v>
      </c>
      <c r="U13" s="2643"/>
      <c r="V13" s="2654">
        <f t="shared" si="1"/>
        <v>0</v>
      </c>
      <c r="W13" s="3622"/>
      <c r="X13" s="2651"/>
      <c r="Y13" s="2650">
        <f>(-0.163*(Y12^2)-0.59*Y12+7617)*(10^(-4))/Y11</f>
        <v>0.34622727272727272</v>
      </c>
      <c r="Z13" s="2650">
        <f t="shared" ref="Z13:AJ13" si="5">(-0.163*(Z12^2)-0.59*Z12+7617)*(10^(-4))/Z11</f>
        <v>0.34622727272727272</v>
      </c>
      <c r="AA13" s="2650">
        <f t="shared" si="5"/>
        <v>0.34622727272727272</v>
      </c>
      <c r="AB13" s="2650">
        <f t="shared" si="5"/>
        <v>0.34622727272727272</v>
      </c>
      <c r="AC13" s="2650">
        <f t="shared" si="5"/>
        <v>0.34622727272727272</v>
      </c>
      <c r="AD13" s="2650">
        <f t="shared" si="5"/>
        <v>0.34622727272727272</v>
      </c>
      <c r="AE13" s="2650">
        <f t="shared" si="5"/>
        <v>0.34622727272727272</v>
      </c>
      <c r="AF13" s="2650">
        <f t="shared" si="5"/>
        <v>0.34622727272727272</v>
      </c>
      <c r="AG13" s="2650">
        <f t="shared" si="5"/>
        <v>0.34622727272727272</v>
      </c>
      <c r="AH13" s="2650">
        <f t="shared" si="5"/>
        <v>0.34622727272727272</v>
      </c>
      <c r="AI13" s="2650">
        <f t="shared" si="5"/>
        <v>0.34622727272727272</v>
      </c>
      <c r="AJ13" s="2650">
        <f t="shared" si="5"/>
        <v>0.34622727272727272</v>
      </c>
    </row>
    <row r="14" spans="1:39" ht="12.75" customHeight="1">
      <c r="A14" s="3614"/>
      <c r="B14" s="1399"/>
      <c r="C14" s="1400"/>
      <c r="D14" s="1401"/>
      <c r="E14" s="1401"/>
      <c r="F14" s="1402"/>
      <c r="G14" s="1403" t="s">
        <v>938</v>
      </c>
      <c r="H14" s="1404"/>
      <c r="I14" s="1405"/>
      <c r="J14" s="1406"/>
      <c r="K14" s="3232"/>
      <c r="L14" s="3232"/>
      <c r="M14" s="3232"/>
      <c r="N14" s="3232"/>
      <c r="O14" s="3232"/>
      <c r="P14" s="2070"/>
      <c r="Q14" s="2070"/>
      <c r="R14" s="2654">
        <v>13</v>
      </c>
      <c r="S14" s="2643"/>
      <c r="T14" s="2654">
        <f t="shared" si="0"/>
        <v>0</v>
      </c>
      <c r="U14" s="2643"/>
      <c r="V14" s="2654">
        <f t="shared" si="1"/>
        <v>0</v>
      </c>
      <c r="W14" s="2070"/>
      <c r="X14" s="2070"/>
      <c r="Y14" s="2070"/>
      <c r="Z14" s="2070"/>
      <c r="AA14" s="2070"/>
      <c r="AB14" s="2070"/>
      <c r="AC14" s="2071"/>
    </row>
    <row r="15" spans="1:39" ht="13.5" customHeight="1" thickBot="1">
      <c r="A15" s="3615"/>
      <c r="B15" s="2847" t="s">
        <v>1686</v>
      </c>
      <c r="C15" s="1036">
        <f>IF(C14="有",1.1,1)</f>
        <v>1</v>
      </c>
      <c r="D15" s="1036">
        <f>IF(D14="有",1.1,1)</f>
        <v>1</v>
      </c>
      <c r="E15" s="1036">
        <f>IF(E14="有",1.1,1)</f>
        <v>1</v>
      </c>
      <c r="F15" s="1036">
        <f>IF(F14="500米范围内",1.2,IF(F14="500-1000米",1.1,1))</f>
        <v>1</v>
      </c>
      <c r="G15" s="2839">
        <v>1</v>
      </c>
      <c r="H15" s="2839">
        <v>1</v>
      </c>
      <c r="I15" s="2839">
        <v>1</v>
      </c>
      <c r="J15" s="2840">
        <v>1</v>
      </c>
      <c r="K15" s="2843"/>
      <c r="L15" s="2843"/>
      <c r="M15" s="2843"/>
      <c r="N15" s="2843"/>
      <c r="O15" s="2843"/>
      <c r="P15" s="2070"/>
      <c r="Q15" s="2070"/>
      <c r="R15" s="2654">
        <v>14</v>
      </c>
      <c r="S15" s="2643"/>
      <c r="T15" s="2654">
        <f t="shared" si="0"/>
        <v>0</v>
      </c>
      <c r="U15" s="2643"/>
      <c r="V15" s="2654">
        <f t="shared" si="1"/>
        <v>0</v>
      </c>
      <c r="W15" s="2070"/>
      <c r="X15" s="2070"/>
      <c r="Y15" s="2070"/>
      <c r="Z15" s="2070"/>
      <c r="AA15" s="2070"/>
      <c r="AB15" s="2070"/>
      <c r="AC15" s="2071"/>
    </row>
    <row r="16" spans="1:39" ht="24.6" customHeight="1">
      <c r="A16" s="3612" t="s">
        <v>1824</v>
      </c>
      <c r="B16" s="1375" t="s">
        <v>939</v>
      </c>
      <c r="C16" s="1039">
        <f>ROUND(IF(F17="与级别开发程度一致",0,(G17-E17)/C17),0)</f>
        <v>30</v>
      </c>
      <c r="D16" s="3630" t="s">
        <v>943</v>
      </c>
      <c r="E16" s="3631"/>
      <c r="F16" s="3630" t="s">
        <v>940</v>
      </c>
      <c r="G16" s="3631"/>
      <c r="H16" s="1407" t="s">
        <v>3009</v>
      </c>
      <c r="I16" s="1407" t="s">
        <v>3010</v>
      </c>
      <c r="J16" s="1407" t="s">
        <v>3011</v>
      </c>
      <c r="K16" s="1407" t="s">
        <v>3012</v>
      </c>
      <c r="L16" s="1407" t="s">
        <v>3013</v>
      </c>
      <c r="M16" s="1407" t="s">
        <v>3014</v>
      </c>
      <c r="N16" s="1407" t="s">
        <v>3015</v>
      </c>
      <c r="O16" s="2852"/>
      <c r="P16" s="2070"/>
      <c r="Q16" s="2073"/>
      <c r="R16" s="2654">
        <v>15</v>
      </c>
      <c r="S16" s="2643"/>
      <c r="T16" s="2654">
        <f t="shared" si="0"/>
        <v>0</v>
      </c>
      <c r="U16" s="2643"/>
      <c r="V16" s="2654">
        <f t="shared" si="1"/>
        <v>0</v>
      </c>
      <c r="W16" s="2073"/>
      <c r="X16" s="2073"/>
      <c r="Y16" s="2073"/>
      <c r="Z16" s="2073"/>
      <c r="AA16" s="2073"/>
      <c r="AB16" s="2073"/>
      <c r="AC16" s="2074"/>
    </row>
    <row r="17" spans="1:40" ht="24.75" thickBot="1">
      <c r="A17" s="3616"/>
      <c r="B17" s="2853" t="s">
        <v>942</v>
      </c>
      <c r="C17" s="2854">
        <f>SUMPRODUCT((修正!A2:A5=E2)*(修正!B1:M1=G2)*(修正!B2:M5))</f>
        <v>2</v>
      </c>
      <c r="D17" s="2855" t="str">
        <f>IF(OR(G2="八级",G2="九级",G2="十级",G2="十一级",G2="十二级"),"五通一平","七通一平")</f>
        <v>五通一平</v>
      </c>
      <c r="E17" s="2845">
        <f>SUMPRODUCT((修正!B1:M1=G2)*(修正!B15:M15))</f>
        <v>155</v>
      </c>
      <c r="F17" s="2846" t="s">
        <v>3008</v>
      </c>
      <c r="G17" s="2845">
        <f>SUM(H17:O17)</f>
        <v>215</v>
      </c>
      <c r="H17" s="1038">
        <f>SUMPRODUCT((七通一平=H16)*(修正!B1:M1=G2)*(修正!B6:M14))</f>
        <v>50</v>
      </c>
      <c r="I17" s="1038">
        <f>SUMPRODUCT((七通一平=I16)*(修正!B1:M1=G2)*(修正!B6:M14))</f>
        <v>40</v>
      </c>
      <c r="J17" s="1038">
        <f>SUMPRODUCT((七通一平=J16)*(修正!B1:M1=G2)*(修正!B6:M14))</f>
        <v>20</v>
      </c>
      <c r="K17" s="1038">
        <f>SUMPRODUCT((七通一平=K16)*(修正!B1:M1=G2)*(修正!B6:M14))</f>
        <v>25</v>
      </c>
      <c r="L17" s="1038">
        <f>SUMPRODUCT((七通一平=L16)*(修正!B1:M1=G2)*(修正!B6:M14))</f>
        <v>40</v>
      </c>
      <c r="M17" s="1038">
        <f>SUMPRODUCT((七通一平=M16)*(修正!B1:M1=G2)*(修正!B6:M14))</f>
        <v>30</v>
      </c>
      <c r="N17" s="1038">
        <f>SUMPRODUCT((七通一平=N16)*(修正!B1:M1=G2)*(修正!B6:M14))</f>
        <v>10</v>
      </c>
      <c r="O17" s="2856">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1815</v>
      </c>
      <c r="B18" s="2848" t="s">
        <v>944</v>
      </c>
      <c r="C18" s="2849">
        <f>SUMIF(修正!C18:C39,E3,修正!E18:E39)</f>
        <v>1</v>
      </c>
      <c r="D18" s="2850"/>
      <c r="E18" s="2851"/>
      <c r="F18" s="2834"/>
      <c r="G18" s="2833"/>
      <c r="H18" s="2833"/>
      <c r="I18" s="2833"/>
      <c r="J18" s="2841"/>
      <c r="K18" s="3230"/>
      <c r="L18" s="2833"/>
      <c r="M18" s="2833"/>
      <c r="N18" s="2833"/>
      <c r="O18" s="2833"/>
      <c r="P18" s="3235"/>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1821</v>
      </c>
      <c r="B19" s="1410" t="s">
        <v>945</v>
      </c>
      <c r="C19" s="3369">
        <v>1.3906000000000001</v>
      </c>
      <c r="D19" s="1414" t="s">
        <v>946</v>
      </c>
      <c r="E19" s="1040">
        <v>41640</v>
      </c>
      <c r="F19" s="1414" t="s">
        <v>947</v>
      </c>
      <c r="G19" s="1041">
        <f>'数据-取费表'!B2</f>
        <v>44463</v>
      </c>
      <c r="H19" s="1415" t="s">
        <v>2945</v>
      </c>
      <c r="I19" s="2503" t="str">
        <f>IF(H19="季度增幅（自定义）",SUMIF(N21:N24,E2,O21:O24),"")</f>
        <v/>
      </c>
      <c r="J19" s="1411"/>
      <c r="K19" s="3230"/>
      <c r="L19" s="2752" t="s">
        <v>2815</v>
      </c>
      <c r="M19" s="2753">
        <f>ROUND(SUMIF(地价!B2:F2,E2,地价!B35:F35),0)</f>
        <v>258</v>
      </c>
      <c r="N19" s="2505" t="s">
        <v>1664</v>
      </c>
      <c r="O19" s="2504">
        <f>ROUNDDOWN(DATEDIF(E19,G19,"M")/3,0)</f>
        <v>30</v>
      </c>
      <c r="P19" s="2074"/>
      <c r="Q19" s="2642"/>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1822</v>
      </c>
      <c r="B20" s="2498" t="s">
        <v>960</v>
      </c>
      <c r="C20" s="2499">
        <f>ROUND(POWER(1+G20,J20-I20)*(POWER(1+G20,I20)-1)/(POWER(1+G20,J20)-1),4)</f>
        <v>1</v>
      </c>
      <c r="D20" s="2500" t="s">
        <v>961</v>
      </c>
      <c r="E20" s="2782">
        <f>存贷款利率!E18/100</f>
        <v>4.3499999999999997E-2</v>
      </c>
      <c r="F20" s="2500" t="s">
        <v>962</v>
      </c>
      <c r="G20" s="2501">
        <f>SUMIF(M26:P26,E2,M28:P28)</f>
        <v>5.3999999999999999E-2</v>
      </c>
      <c r="H20" s="2500" t="s">
        <v>963</v>
      </c>
      <c r="I20" s="2496">
        <f>SUMIF('数据-取费表'!C6:C15,E2,'数据-取费表'!F6:F15)/COUNTIF('数据-取费表'!C6:C15,E2)</f>
        <v>40</v>
      </c>
      <c r="J20" s="2502">
        <f>IF(E2="住宅",70,IF(E2="商业",40,50))</f>
        <v>40</v>
      </c>
      <c r="K20" s="2843"/>
      <c r="L20" s="2754" t="s">
        <v>2816</v>
      </c>
      <c r="M20" s="2836">
        <f>ROUND(SUMPRODUCT((地价!A4:A35=YEAR(G19)&amp;"-"&amp;ROUNDUP(MONTH(G19)/3,0))*(地价!B2:F2=E2)*(地价!B4:F35)),0)</f>
        <v>350</v>
      </c>
      <c r="N20" s="2508" t="s">
        <v>2620</v>
      </c>
      <c r="O20" s="2506" t="s">
        <v>2619</v>
      </c>
      <c r="P20" s="2507" t="s">
        <v>2625</v>
      </c>
      <c r="Q20" s="2642"/>
      <c r="R20" s="2076"/>
      <c r="S20" s="2076"/>
      <c r="T20" s="2076"/>
      <c r="U20" s="2076"/>
      <c r="V20" s="2076"/>
      <c r="W20" s="2076"/>
      <c r="X20" s="2076"/>
      <c r="Y20" s="1412"/>
      <c r="Z20" s="1412"/>
      <c r="AA20" s="1412"/>
      <c r="AB20" s="1412"/>
      <c r="AC20" s="1412"/>
      <c r="AD20" s="1412"/>
    </row>
    <row r="21" spans="1:40" s="1369" customFormat="1" ht="14.25">
      <c r="A21" s="1570" t="s">
        <v>1823</v>
      </c>
      <c r="B21" s="1420" t="s">
        <v>2979</v>
      </c>
      <c r="C21" s="1140">
        <f>IF(B21="容积率修正",IF(G3&lt;=10,D22,J22),C23)</f>
        <v>0.95230000000000004</v>
      </c>
      <c r="D21" s="1421"/>
      <c r="E21" s="1421"/>
      <c r="F21" s="1421"/>
      <c r="G21" s="1421"/>
      <c r="H21" s="1421"/>
      <c r="I21" s="1421"/>
      <c r="J21" s="1422"/>
      <c r="K21" s="3230"/>
      <c r="L21" s="1421"/>
      <c r="M21" s="1421"/>
      <c r="N21" s="1418" t="s">
        <v>964</v>
      </c>
      <c r="O21" s="1481"/>
      <c r="P21" s="2495">
        <f>SUMPRODUCT((地价!A3:A35=YEAR(G19)&amp;"-"&amp;ROUNDUP(MONTH(G19)/3,0))*(地价!AD2:AH2=N21)*(地价!AD3:AH35))</f>
        <v>1.0699999999999999E-2</v>
      </c>
      <c r="Q21" s="2642"/>
      <c r="R21" s="2076"/>
      <c r="S21" s="2076"/>
      <c r="T21" s="2076"/>
      <c r="U21" s="2076"/>
      <c r="V21" s="2076"/>
      <c r="W21" s="2076"/>
      <c r="X21" s="2076"/>
      <c r="Y21" s="1351"/>
      <c r="Z21" s="1351"/>
      <c r="AA21" s="1351"/>
      <c r="AB21" s="1351"/>
      <c r="AC21" s="1412"/>
      <c r="AD21" s="1412"/>
    </row>
    <row r="22" spans="1:40" s="1369" customFormat="1" ht="14.25">
      <c r="A22" s="1571" t="s">
        <v>1856</v>
      </c>
      <c r="B22" s="1423" t="s">
        <v>965</v>
      </c>
      <c r="C22" s="1042" t="s">
        <v>1688</v>
      </c>
      <c r="D22" s="1042">
        <f>IF(E22=G22,F22,IF(G3&lt;=10,ROUND(F22+(H22-F22)*(G3-E22)/(G22-E22),4),"——"))</f>
        <v>0.95230000000000004</v>
      </c>
      <c r="E22" s="1026">
        <f>ROUNDDOWN(G3,1)</f>
        <v>2.2000000000000002</v>
      </c>
      <c r="F22" s="1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0.95230000000000004</v>
      </c>
      <c r="G22" s="1026">
        <f>ROUNDUP(G3,1)</f>
        <v>2.2000000000000002</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0.95230000000000004</v>
      </c>
      <c r="I22" s="1042" t="s">
        <v>966</v>
      </c>
      <c r="J22" s="1042" t="str">
        <f>IF(G3&gt;10,D113,"——")</f>
        <v>——</v>
      </c>
      <c r="K22" s="3236"/>
      <c r="L22" s="1421"/>
      <c r="M22" s="1421"/>
      <c r="N22" s="1418" t="s">
        <v>967</v>
      </c>
      <c r="O22" s="1481"/>
      <c r="P22" s="2495">
        <f>SUMPRODUCT((地价!A3:A35=YEAR(G19)&amp;"-"&amp;ROUNDUP(MONTH(G19)/3,0))*(地价!AD2:AH2=N22)*(地价!AD3:AH35))</f>
        <v>1.0699999999999999E-2</v>
      </c>
      <c r="Q22" s="2642"/>
      <c r="R22" s="2076"/>
      <c r="S22" s="2076"/>
      <c r="T22" s="2076"/>
      <c r="U22" s="2076"/>
      <c r="V22" s="2076"/>
      <c r="W22" s="2076"/>
      <c r="X22" s="2076"/>
      <c r="Y22" s="1412"/>
      <c r="Z22" s="1412"/>
      <c r="AA22" s="1412"/>
      <c r="AB22" s="1412"/>
      <c r="AC22" s="1412"/>
      <c r="AD22" s="1412"/>
    </row>
    <row r="23" spans="1:40" ht="15.75" thickBot="1">
      <c r="A23" s="1571" t="s">
        <v>1857</v>
      </c>
      <c r="B23" s="1423" t="s">
        <v>968</v>
      </c>
      <c r="C23" s="1043">
        <f>ROUND(IF(G3&gt;1,IF(I3&lt;7,SUMPRODUCT((B93:B98=I3)*(C92:N92=G2)*(C93:N98)),SUMIF(C92:N92,G2,C100:N100)),IF(I3&lt;7,SUMPRODUCT((B102:B107=I3)*(C92:N92=G2)*(C102:N107)),SUMIF(C92:N92,G2,C109:N109))),4)</f>
        <v>0.44750000000000001</v>
      </c>
      <c r="D23" s="1469"/>
      <c r="E23" s="1469"/>
      <c r="F23" s="1470"/>
      <c r="G23" s="1471"/>
      <c r="H23" s="1472"/>
      <c r="I23" s="1473"/>
      <c r="J23" s="1473"/>
      <c r="K23" s="3237"/>
      <c r="L23" s="1349"/>
      <c r="M23" s="1349"/>
      <c r="N23" s="1418" t="s">
        <v>912</v>
      </c>
      <c r="O23" s="1481"/>
      <c r="P23" s="2495">
        <f>SUMPRODUCT((地价!A3:A35=YEAR(G19)&amp;"-"&amp;ROUNDUP(MONTH(G19)/3,0))*(地价!AD2:AH2=N23)*(地价!AD3:AH35))</f>
        <v>1.8700000000000001E-2</v>
      </c>
      <c r="Q23" s="2642"/>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1858</v>
      </c>
      <c r="B24" s="1363" t="s">
        <v>969</v>
      </c>
      <c r="C24" s="1044">
        <f>SUMIF(A44:A87,E2,B44:B87)</f>
        <v>1.0314000000000001</v>
      </c>
      <c r="D24" s="1474"/>
      <c r="E24" s="1475"/>
      <c r="F24" s="1475"/>
      <c r="G24" s="1475"/>
      <c r="H24" s="1475"/>
      <c r="I24" s="1475"/>
      <c r="J24" s="1475"/>
      <c r="K24" s="3237"/>
      <c r="L24" s="1421"/>
      <c r="M24" s="1421"/>
      <c r="N24" s="1418" t="s">
        <v>970</v>
      </c>
      <c r="O24" s="2835"/>
      <c r="P24" s="2495">
        <f>SUMPRODUCT((地价!A3:A35=YEAR(G19)&amp;"-"&amp;ROUNDUP(MONTH(G19)/3,0))*(地价!AD2:AH2=N24)*(地价!AD3:AH35))</f>
        <v>1.24E-2</v>
      </c>
      <c r="Q24" s="2642"/>
      <c r="R24" s="2076"/>
      <c r="S24" s="2076"/>
      <c r="T24" s="2076"/>
      <c r="U24" s="2076"/>
      <c r="V24" s="2076"/>
      <c r="W24" s="2076"/>
      <c r="X24" s="2076"/>
      <c r="Y24" s="1412"/>
      <c r="Z24" s="1412"/>
      <c r="AA24" s="1412"/>
      <c r="AB24" s="1412"/>
      <c r="AC24" s="1412"/>
      <c r="AD24" s="1412"/>
    </row>
    <row r="25" spans="1:40" ht="15" thickBot="1">
      <c r="A25" s="1569" t="s">
        <v>1859</v>
      </c>
      <c r="B25" s="1425" t="s">
        <v>971</v>
      </c>
      <c r="C25" s="1426"/>
      <c r="D25" s="1378"/>
      <c r="E25" s="1378"/>
      <c r="F25" s="1427"/>
      <c r="G25" s="1378"/>
      <c r="H25" s="1378"/>
      <c r="I25" s="1378"/>
      <c r="J25" s="1379"/>
      <c r="K25" s="3231"/>
      <c r="L25" s="2076"/>
      <c r="M25" s="2076"/>
      <c r="N25" s="2837" t="s">
        <v>2623</v>
      </c>
      <c r="O25" s="2838"/>
      <c r="P25" s="2302">
        <f>SUMPRODUCT((地价!A3:A35=YEAR(G19)&amp;"-"&amp;ROUNDUP(MONTH(G19)/3,0))*(地价!AD2:AH2=N25)*(地价!AD3:AH35))</f>
        <v>1.7000000000000001E-2</v>
      </c>
      <c r="Q25" s="2642"/>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975</v>
      </c>
      <c r="C26" s="3016">
        <f>IF(B21="容积率修正",E29+SUM(E33:E39),SUM(V2:V16)+SUM(E33:E39))</f>
        <v>51633</v>
      </c>
      <c r="D26" s="1429"/>
      <c r="E26" s="1404"/>
      <c r="F26" s="1430"/>
      <c r="G26" s="1404"/>
      <c r="H26" s="1404"/>
      <c r="I26" s="1404"/>
      <c r="J26" s="1431"/>
      <c r="K26" s="3231"/>
      <c r="L26" s="1528" t="s">
        <v>887</v>
      </c>
      <c r="M26" s="1376" t="s">
        <v>972</v>
      </c>
      <c r="N26" s="1376" t="s">
        <v>973</v>
      </c>
      <c r="O26" s="1376" t="s">
        <v>891</v>
      </c>
      <c r="P26" s="1416" t="s">
        <v>974</v>
      </c>
      <c r="Q26" s="2642"/>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977</v>
      </c>
      <c r="C27" s="1046">
        <f>E30+SUM(I33:I39)</f>
        <v>0</v>
      </c>
      <c r="D27" s="1433"/>
      <c r="E27" s="1434"/>
      <c r="F27" s="1435"/>
      <c r="G27" s="1434"/>
      <c r="H27" s="1434"/>
      <c r="I27" s="1434"/>
      <c r="J27" s="1436"/>
      <c r="K27" s="3231"/>
      <c r="L27" s="1408" t="s">
        <v>976</v>
      </c>
      <c r="M27" s="1034">
        <v>0.25</v>
      </c>
      <c r="N27" s="1034">
        <v>0.2</v>
      </c>
      <c r="O27" s="1034">
        <v>0.15</v>
      </c>
      <c r="P27" s="1478">
        <v>0.1</v>
      </c>
      <c r="Q27" s="2076"/>
      <c r="R27" s="2642"/>
      <c r="S27" s="2642"/>
      <c r="T27" s="2642"/>
      <c r="U27" s="2642"/>
      <c r="V27" s="2642"/>
      <c r="W27" s="2076"/>
      <c r="X27" s="2076"/>
      <c r="Y27" s="2076"/>
      <c r="Z27" s="2076"/>
      <c r="AA27" s="2076"/>
      <c r="AB27" s="2076"/>
      <c r="AC27" s="2076"/>
    </row>
    <row r="28" spans="1:40" ht="15" thickBot="1">
      <c r="A28" s="1424"/>
      <c r="B28" s="1437" t="s">
        <v>978</v>
      </c>
      <c r="C28" s="1438" t="s">
        <v>979</v>
      </c>
      <c r="D28" s="1438" t="s">
        <v>980</v>
      </c>
      <c r="E28" s="1439" t="s">
        <v>981</v>
      </c>
      <c r="F28" s="1440"/>
      <c r="G28" s="1390"/>
      <c r="H28" s="1390"/>
      <c r="I28" s="1390"/>
      <c r="J28" s="1391"/>
      <c r="K28" s="3231"/>
      <c r="L28" s="1409" t="s">
        <v>962</v>
      </c>
      <c r="M28" s="1479">
        <f>ROUND($E$20*(1+M27),3)</f>
        <v>5.3999999999999999E-2</v>
      </c>
      <c r="N28" s="1479">
        <f>ROUND($E$20*(1+N27),3)</f>
        <v>5.1999999999999998E-2</v>
      </c>
      <c r="O28" s="1479">
        <f>ROUND($E$20*(1+O27),3)</f>
        <v>0.05</v>
      </c>
      <c r="P28" s="1480">
        <f>ROUND($E$20*(1+P27),3)</f>
        <v>4.8000000000000001E-2</v>
      </c>
      <c r="Q28" s="2076"/>
      <c r="R28" s="2642"/>
      <c r="S28" s="2642"/>
      <c r="T28" s="2642"/>
      <c r="U28" s="2642"/>
      <c r="V28" s="2642"/>
      <c r="W28" s="2076"/>
      <c r="X28" s="2076"/>
      <c r="Y28" s="2076"/>
      <c r="Z28" s="2076"/>
      <c r="AA28" s="2076"/>
      <c r="AB28" s="2076"/>
      <c r="AC28" s="2076"/>
      <c r="AD28" s="1412"/>
      <c r="AE28" s="1412"/>
      <c r="AF28" s="1412"/>
      <c r="AG28" s="1412"/>
    </row>
    <row r="29" spans="1:40" ht="14.25">
      <c r="A29" s="1441"/>
      <c r="B29" s="1442" t="s">
        <v>982</v>
      </c>
      <c r="C29" s="1045">
        <f>ROUND(C5*C18*C19*C20*C21*C24,0)</f>
        <v>7253</v>
      </c>
      <c r="D29" s="1443">
        <f>'数据-基础表'!I13</f>
        <v>71189.150999999998</v>
      </c>
      <c r="E29" s="1763">
        <f>ROUND(C29*D29/10000,0)</f>
        <v>51633</v>
      </c>
      <c r="F29" s="1444" t="s">
        <v>1687</v>
      </c>
      <c r="G29" s="1445"/>
      <c r="H29" s="1445"/>
      <c r="I29" s="1445"/>
      <c r="J29" s="1446"/>
      <c r="K29" s="3238"/>
      <c r="L29" s="3238"/>
      <c r="M29" s="3238"/>
      <c r="N29" s="3238"/>
      <c r="O29" s="3238"/>
      <c r="P29" s="2070"/>
      <c r="Q29" s="2076"/>
      <c r="R29" s="2076"/>
      <c r="S29" s="2076"/>
      <c r="T29" s="2076"/>
      <c r="U29" s="2076"/>
      <c r="V29" s="2076"/>
      <c r="W29" s="2642"/>
      <c r="X29" s="2642"/>
      <c r="Y29" s="2642"/>
      <c r="Z29" s="2642"/>
      <c r="AA29" s="2642"/>
      <c r="AB29" s="2076"/>
      <c r="AC29" s="2076"/>
      <c r="AD29" s="2076"/>
      <c r="AE29" s="2076"/>
      <c r="AF29" s="2076"/>
      <c r="AG29" s="2076"/>
      <c r="AH29" s="2076"/>
      <c r="AJ29" s="1351"/>
      <c r="AK29" s="1351"/>
      <c r="AL29" s="1351"/>
      <c r="AM29" s="1350"/>
      <c r="AN29" s="1350"/>
    </row>
    <row r="30" spans="1:40" ht="24.75" thickBot="1">
      <c r="A30" s="1447"/>
      <c r="B30" s="1448" t="s">
        <v>983</v>
      </c>
      <c r="C30" s="1038">
        <f>ROUND(IF(E2="工业",C29*M39,C29*M38),0)</f>
        <v>1813</v>
      </c>
      <c r="D30" s="1449"/>
      <c r="E30" s="1763">
        <f>ROUND(C30*D30/10000,0)</f>
        <v>0</v>
      </c>
      <c r="F30" s="1450" t="s">
        <v>984</v>
      </c>
      <c r="G30" s="1451"/>
      <c r="H30" s="1451"/>
      <c r="I30" s="1451"/>
      <c r="J30" s="1452"/>
      <c r="K30" s="3231"/>
      <c r="L30" s="3231"/>
      <c r="M30" s="3231"/>
      <c r="N30" s="3231"/>
      <c r="O30" s="3231"/>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985</v>
      </c>
      <c r="C31" s="1455" t="s">
        <v>986</v>
      </c>
      <c r="D31" s="1390"/>
      <c r="E31" s="1455"/>
      <c r="F31" s="1455"/>
      <c r="G31" s="1388" t="s">
        <v>984</v>
      </c>
      <c r="H31" s="1390"/>
      <c r="I31" s="1456"/>
      <c r="J31" s="1391"/>
      <c r="K31" s="3231"/>
      <c r="L31" s="3231"/>
      <c r="M31" s="3231"/>
      <c r="N31" s="3231"/>
      <c r="O31" s="3231"/>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979</v>
      </c>
      <c r="D32" s="1459" t="s">
        <v>980</v>
      </c>
      <c r="E32" s="1459" t="s">
        <v>981</v>
      </c>
      <c r="F32" s="1460" t="s">
        <v>987</v>
      </c>
      <c r="G32" s="1419" t="s">
        <v>979</v>
      </c>
      <c r="H32" s="1419" t="s">
        <v>980</v>
      </c>
      <c r="I32" s="1419" t="s">
        <v>981</v>
      </c>
      <c r="J32" s="1461"/>
      <c r="K32" s="3239"/>
      <c r="L32" s="3239"/>
      <c r="M32" s="3239"/>
      <c r="N32" s="3239"/>
      <c r="O32" s="3239"/>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619"/>
      <c r="B33" s="1463" t="s">
        <v>988</v>
      </c>
      <c r="C33" s="1045">
        <f>ROUND(D5*C19*C20*C24*F33,0)</f>
        <v>4570</v>
      </c>
      <c r="D33" s="1476"/>
      <c r="E33" s="1035">
        <f>ROUND(C33*D33/10000,0)</f>
        <v>0</v>
      </c>
      <c r="F33" s="1035">
        <f>SUMIF(修正!A45:A56,G2,修正!B45:B56)</f>
        <v>0.6</v>
      </c>
      <c r="G33" s="1035">
        <f t="shared" ref="G33" si="6">ROUND(IF(E2="工业",C33*$M$39,C33*$M$38),0)</f>
        <v>1143</v>
      </c>
      <c r="H33" s="1035">
        <f>D33</f>
        <v>0</v>
      </c>
      <c r="I33" s="1035">
        <f>ROUND(G33*H33/10000,0)</f>
        <v>0</v>
      </c>
      <c r="J33" s="3619" t="s">
        <v>2983</v>
      </c>
      <c r="K33" s="2842"/>
      <c r="L33" s="2842"/>
      <c r="M33" s="2842"/>
      <c r="N33" s="2842"/>
      <c r="O33" s="2842"/>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620"/>
      <c r="B34" s="1393" t="s">
        <v>989</v>
      </c>
      <c r="C34" s="1045">
        <f>ROUND(D5*C19*C20*C24*F34,0)</f>
        <v>2285</v>
      </c>
      <c r="D34" s="1476"/>
      <c r="E34" s="1035">
        <f t="shared" ref="E34:E39" si="7">ROUND(C34*D34/10000,0)</f>
        <v>0</v>
      </c>
      <c r="F34" s="1035">
        <f>SUMIF(修正!A45:A56,G2,修正!C45:C56)</f>
        <v>0.3</v>
      </c>
      <c r="G34" s="1035">
        <f>ROUND(IF(E2="工业",C34*$M$39,C34*$M$38),0)</f>
        <v>571</v>
      </c>
      <c r="H34" s="1035">
        <f t="shared" ref="H34:H39" si="8">D34</f>
        <v>0</v>
      </c>
      <c r="I34" s="1035">
        <f t="shared" ref="I34:I39" si="9">ROUND(G34*H34/10000,0)</f>
        <v>0</v>
      </c>
      <c r="J34" s="3620"/>
      <c r="K34" s="2842"/>
      <c r="L34" s="2842"/>
      <c r="M34" s="2842"/>
      <c r="N34" s="2842"/>
      <c r="O34" s="2842"/>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620"/>
      <c r="B35" s="1393" t="s">
        <v>990</v>
      </c>
      <c r="C35" s="1045">
        <f>ROUND(D5*C19*C20*C24*F35,0)</f>
        <v>1523</v>
      </c>
      <c r="D35" s="1476"/>
      <c r="E35" s="1035">
        <f t="shared" si="7"/>
        <v>0</v>
      </c>
      <c r="F35" s="1035">
        <f>SUMIF(修正!A45:A56,G2,修正!D45:D56)</f>
        <v>0.2</v>
      </c>
      <c r="G35" s="1035">
        <f>ROUND(IF(E2="工业",C35*$M$39,C35*$M$38),0)</f>
        <v>381</v>
      </c>
      <c r="H35" s="1035">
        <f t="shared" si="8"/>
        <v>0</v>
      </c>
      <c r="I35" s="1035">
        <f t="shared" si="9"/>
        <v>0</v>
      </c>
      <c r="J35" s="3620"/>
      <c r="K35" s="2842"/>
      <c r="L35" s="2842"/>
      <c r="M35" s="2842"/>
      <c r="N35" s="2842"/>
      <c r="O35" s="2842"/>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621"/>
      <c r="B36" s="1393" t="s">
        <v>991</v>
      </c>
      <c r="C36" s="1045">
        <f>ROUND(D5*C19*C20*C24*F36,0)</f>
        <v>1523</v>
      </c>
      <c r="D36" s="1476"/>
      <c r="E36" s="1035">
        <f t="shared" si="7"/>
        <v>0</v>
      </c>
      <c r="F36" s="1035">
        <f>SUMIF(修正!A45:A56,G2,修正!E45:E56)</f>
        <v>0.2</v>
      </c>
      <c r="G36" s="1035">
        <f>ROUND(IF(E2="工业",C36*$M$39,C36*$M$38),0)</f>
        <v>381</v>
      </c>
      <c r="H36" s="1035">
        <f t="shared" si="8"/>
        <v>0</v>
      </c>
      <c r="I36" s="1035">
        <f t="shared" si="9"/>
        <v>0</v>
      </c>
      <c r="J36" s="3621"/>
      <c r="K36" s="2842"/>
      <c r="L36" s="2842"/>
      <c r="M36" s="2842"/>
      <c r="N36" s="2842"/>
      <c r="O36" s="2842"/>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992</v>
      </c>
      <c r="C37" s="1035">
        <f>ROUND(D5*C19*C20*C24*F37,0)</f>
        <v>1523</v>
      </c>
      <c r="D37" s="1476"/>
      <c r="E37" s="1035">
        <f t="shared" si="7"/>
        <v>0</v>
      </c>
      <c r="F37" s="1045">
        <f>SUMIF(修正!A45:A56,G2,修正!F45:F56)</f>
        <v>0.2</v>
      </c>
      <c r="G37" s="1035">
        <f>ROUND(IF(E2="工业",C37*$M$39,C37*$M$38),0)</f>
        <v>381</v>
      </c>
      <c r="H37" s="1035">
        <f t="shared" si="8"/>
        <v>0</v>
      </c>
      <c r="I37" s="1035">
        <f t="shared" si="9"/>
        <v>0</v>
      </c>
      <c r="J37" s="1464"/>
      <c r="K37" s="2070"/>
      <c r="L37" s="1482" t="s">
        <v>1689</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993</v>
      </c>
      <c r="C38" s="1035">
        <f>ROUND(D5*C19*C41*C24*F38,0)</f>
        <v>0</v>
      </c>
      <c r="D38" s="1476"/>
      <c r="E38" s="1035">
        <f t="shared" si="7"/>
        <v>0</v>
      </c>
      <c r="F38" s="1045">
        <f>SUMIF(修正!A45:A56,G2,修正!G45:G56)</f>
        <v>0.2</v>
      </c>
      <c r="G38" s="1035">
        <f>ROUND(IF(E2="工业",C38*$M$39,C38*$M$38),0)</f>
        <v>0</v>
      </c>
      <c r="H38" s="1035">
        <f t="shared" si="8"/>
        <v>0</v>
      </c>
      <c r="I38" s="1035">
        <f t="shared" si="9"/>
        <v>0</v>
      </c>
      <c r="J38" s="1464"/>
      <c r="K38" s="2070"/>
      <c r="L38" s="1484" t="s">
        <v>1691</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994</v>
      </c>
      <c r="C39" s="1038">
        <f>ROUND(D5*C19*C41*C24*F39,0)</f>
        <v>0</v>
      </c>
      <c r="D39" s="1477"/>
      <c r="E39" s="1038">
        <f t="shared" si="7"/>
        <v>0</v>
      </c>
      <c r="F39" s="1047">
        <f>SUMIF(修正!A45:A56,G2,修正!H45:H56)</f>
        <v>0.15</v>
      </c>
      <c r="G39" s="1038">
        <f>ROUND(IF(E2="工业",C39*$M$39,C39*$M$38),0)</f>
        <v>0</v>
      </c>
      <c r="H39" s="1038">
        <f t="shared" si="8"/>
        <v>0</v>
      </c>
      <c r="I39" s="1038">
        <f t="shared" si="9"/>
        <v>0</v>
      </c>
      <c r="J39" s="1466"/>
      <c r="K39" s="2070"/>
      <c r="L39" s="1486" t="s">
        <v>1690</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2" t="s">
        <v>2939</v>
      </c>
      <c r="C41" s="828">
        <f>ROUND(POWER(1+E41,H41-G41)*(POWER(1+E41,G41)-1)/(POWER(1+E41,H41)-1),4)</f>
        <v>0</v>
      </c>
      <c r="D41" s="372" t="s">
        <v>2937</v>
      </c>
      <c r="E41" s="2831">
        <f>G20</f>
        <v>5.3999999999999999E-2</v>
      </c>
      <c r="F41" s="372" t="s">
        <v>2938</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995</v>
      </c>
      <c r="B44" s="2275"/>
      <c r="C44" s="2276"/>
      <c r="D44" s="2277"/>
      <c r="E44" s="2277"/>
      <c r="F44" s="2278"/>
      <c r="G44" s="1048"/>
      <c r="H44" s="2278"/>
      <c r="I44" s="1048"/>
      <c r="J44" s="1048"/>
      <c r="K44" s="1048"/>
      <c r="L44" s="1048"/>
      <c r="M44" s="1048"/>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996</v>
      </c>
      <c r="B45" s="2280">
        <f>1+E47</f>
        <v>1.0314000000000001</v>
      </c>
      <c r="C45" s="2281"/>
      <c r="D45" s="2282"/>
      <c r="E45" s="2283"/>
      <c r="F45" s="2284"/>
      <c r="G45" s="2278"/>
      <c r="H45" s="2278"/>
      <c r="I45" s="1048"/>
      <c r="J45" s="1048"/>
      <c r="K45" s="1048"/>
      <c r="L45" s="1048"/>
      <c r="M45" s="1048"/>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49" t="s">
        <v>997</v>
      </c>
      <c r="B46" s="2263" t="s">
        <v>998</v>
      </c>
      <c r="C46" s="2285" t="s">
        <v>999</v>
      </c>
      <c r="D46" s="2286" t="s">
        <v>1000</v>
      </c>
      <c r="E46" s="2287" t="s">
        <v>1002</v>
      </c>
      <c r="F46" s="2288" t="s">
        <v>2234</v>
      </c>
      <c r="G46" s="2286" t="s">
        <v>1003</v>
      </c>
      <c r="H46" s="2269" t="s">
        <v>2398</v>
      </c>
      <c r="I46" s="2286" t="s">
        <v>1001</v>
      </c>
      <c r="J46" s="2289" t="s">
        <v>1004</v>
      </c>
      <c r="K46" s="2289" t="s">
        <v>1005</v>
      </c>
      <c r="L46" s="2289" t="s">
        <v>1006</v>
      </c>
      <c r="M46" s="2289" t="s">
        <v>1007</v>
      </c>
      <c r="N46" s="2289" t="s">
        <v>1008</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96">
      <c r="A47" s="1049" t="s">
        <v>1009</v>
      </c>
      <c r="B47" s="2266" t="str">
        <f>估价对象房地状况!C16</f>
        <v>估价对象位于通州区经济开发区西区南扩区，估价对象周边有世纪华联超市、福联美超市、美乐购超市、新世纪大卖场等商业服务设施，距离均在2公里范围外，且分布较为分散，综合考虑商业繁华度一般。</v>
      </c>
      <c r="C47" s="1037" t="s">
        <v>3017</v>
      </c>
      <c r="D47" s="2272">
        <f t="shared" ref="D47:D55" si="10">SUMIF($J$46:$N$46,C47,J47:N47)</f>
        <v>0</v>
      </c>
      <c r="E47" s="2291">
        <f>ROUND(SUM(D47:D55),4)</f>
        <v>3.1399999999999997E-2</v>
      </c>
      <c r="F47" s="2292">
        <f>IF(E2="商业",SUMIF(L1:L12,G2,N1:N12),"——")</f>
        <v>0.15</v>
      </c>
      <c r="G47" s="2270">
        <v>2.47E-2</v>
      </c>
      <c r="H47" s="2315">
        <f t="shared" ref="H47:H55" si="11">IFERROR(ROUNDDOWN(($F$47*I47/2),4),"——")</f>
        <v>2.47E-2</v>
      </c>
      <c r="I47" s="2290">
        <v>0.33</v>
      </c>
      <c r="J47" s="2293">
        <f t="shared" ref="J47:J55" si="12">K47+$G47</f>
        <v>4.9399999999999999E-2</v>
      </c>
      <c r="K47" s="2293">
        <f t="shared" ref="K47:K55" si="13">$L47+$G47</f>
        <v>2.47E-2</v>
      </c>
      <c r="L47" s="2293">
        <v>0</v>
      </c>
      <c r="M47" s="2293">
        <f t="shared" ref="M47:N55" si="14">L47-$G47</f>
        <v>-2.47E-2</v>
      </c>
      <c r="N47" s="2293">
        <f t="shared" si="14"/>
        <v>-4.9399999999999999E-2</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48">
      <c r="A48" s="1049" t="s">
        <v>1010</v>
      </c>
      <c r="B48" s="2263" t="str">
        <f>估价对象房地状况!C18</f>
        <v>估价对象周边有通14路、通50路、通64路等公交线路；距地铁7号线（花庄站）约2公里，交通便捷度一般</v>
      </c>
      <c r="C48" s="1037" t="s">
        <v>3017</v>
      </c>
      <c r="D48" s="2272">
        <f t="shared" si="10"/>
        <v>0</v>
      </c>
      <c r="E48" s="2294"/>
      <c r="F48" s="2292"/>
      <c r="G48" s="2270">
        <v>1.8700000000000001E-2</v>
      </c>
      <c r="H48" s="2315">
        <f t="shared" si="11"/>
        <v>1.8700000000000001E-2</v>
      </c>
      <c r="I48" s="2290">
        <v>0.25</v>
      </c>
      <c r="J48" s="2293">
        <f t="shared" si="12"/>
        <v>3.7400000000000003E-2</v>
      </c>
      <c r="K48" s="2293">
        <f t="shared" si="13"/>
        <v>1.8700000000000001E-2</v>
      </c>
      <c r="L48" s="2293">
        <v>0</v>
      </c>
      <c r="M48" s="2293">
        <f t="shared" si="14"/>
        <v>-1.8700000000000001E-2</v>
      </c>
      <c r="N48" s="2293">
        <f t="shared" si="14"/>
        <v>-3.7400000000000003E-2</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49" t="s">
        <v>1011</v>
      </c>
      <c r="B49" s="2263">
        <f>估价对象房地状况!C19</f>
        <v>0</v>
      </c>
      <c r="C49" s="1037" t="s">
        <v>3017</v>
      </c>
      <c r="D49" s="2272">
        <f t="shared" si="10"/>
        <v>0</v>
      </c>
      <c r="E49" s="2294"/>
      <c r="F49" s="2292"/>
      <c r="G49" s="2270">
        <v>3.7000000000000002E-3</v>
      </c>
      <c r="H49" s="2315">
        <f t="shared" si="11"/>
        <v>3.7000000000000002E-3</v>
      </c>
      <c r="I49" s="2290">
        <v>0.05</v>
      </c>
      <c r="J49" s="2293">
        <f t="shared" si="12"/>
        <v>7.4000000000000003E-3</v>
      </c>
      <c r="K49" s="2293">
        <f t="shared" si="13"/>
        <v>3.7000000000000002E-3</v>
      </c>
      <c r="L49" s="2293">
        <v>0</v>
      </c>
      <c r="M49" s="2293">
        <f t="shared" si="14"/>
        <v>-3.7000000000000002E-3</v>
      </c>
      <c r="N49" s="2293">
        <f t="shared" si="14"/>
        <v>-7.4000000000000003E-3</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49" t="s">
        <v>1012</v>
      </c>
      <c r="B50" s="2784" t="s">
        <v>2895</v>
      </c>
      <c r="C50" s="1037" t="s">
        <v>3018</v>
      </c>
      <c r="D50" s="2272">
        <f t="shared" si="10"/>
        <v>3.7000000000000002E-3</v>
      </c>
      <c r="E50" s="2294"/>
      <c r="F50" s="2292"/>
      <c r="G50" s="2270">
        <v>3.7000000000000002E-3</v>
      </c>
      <c r="H50" s="2315">
        <f t="shared" si="11"/>
        <v>3.7000000000000002E-3</v>
      </c>
      <c r="I50" s="2290">
        <v>0.05</v>
      </c>
      <c r="J50" s="2293">
        <f t="shared" si="12"/>
        <v>7.4000000000000003E-3</v>
      </c>
      <c r="K50" s="2293">
        <f t="shared" si="13"/>
        <v>3.7000000000000002E-3</v>
      </c>
      <c r="L50" s="2293">
        <v>0</v>
      </c>
      <c r="M50" s="2293">
        <f t="shared" si="14"/>
        <v>-3.7000000000000002E-3</v>
      </c>
      <c r="N50" s="2293">
        <f t="shared" si="14"/>
        <v>-7.4000000000000003E-3</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49" t="s">
        <v>1013</v>
      </c>
      <c r="B51" s="2263" t="str">
        <f>估价对象房地状况!C24</f>
        <v>城市主干道——张凤路</v>
      </c>
      <c r="C51" s="1037" t="s">
        <v>3018</v>
      </c>
      <c r="D51" s="2272">
        <f t="shared" si="10"/>
        <v>6.0000000000000001E-3</v>
      </c>
      <c r="E51" s="2294"/>
      <c r="F51" s="2292"/>
      <c r="G51" s="2270">
        <v>6.0000000000000001E-3</v>
      </c>
      <c r="H51" s="2315">
        <f t="shared" si="11"/>
        <v>6.0000000000000001E-3</v>
      </c>
      <c r="I51" s="2290">
        <v>0.08</v>
      </c>
      <c r="J51" s="2293">
        <f t="shared" si="12"/>
        <v>1.2E-2</v>
      </c>
      <c r="K51" s="2293">
        <f t="shared" si="13"/>
        <v>6.0000000000000001E-3</v>
      </c>
      <c r="L51" s="2293">
        <v>0</v>
      </c>
      <c r="M51" s="2293">
        <f t="shared" si="14"/>
        <v>-6.0000000000000001E-3</v>
      </c>
      <c r="N51" s="2293">
        <f t="shared" si="14"/>
        <v>-1.2E-2</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49" t="s">
        <v>1014</v>
      </c>
      <c r="B52" s="2783" t="s">
        <v>2894</v>
      </c>
      <c r="C52" s="1037" t="s">
        <v>3018</v>
      </c>
      <c r="D52" s="2272">
        <f t="shared" si="10"/>
        <v>2.2000000000000001E-3</v>
      </c>
      <c r="E52" s="2294"/>
      <c r="F52" s="2292"/>
      <c r="G52" s="2270">
        <v>2.2000000000000001E-3</v>
      </c>
      <c r="H52" s="2315">
        <f t="shared" si="11"/>
        <v>2.2000000000000001E-3</v>
      </c>
      <c r="I52" s="2290">
        <v>0.03</v>
      </c>
      <c r="J52" s="2293">
        <f t="shared" si="12"/>
        <v>4.4000000000000003E-3</v>
      </c>
      <c r="K52" s="2293">
        <f t="shared" si="13"/>
        <v>2.2000000000000001E-3</v>
      </c>
      <c r="L52" s="2293">
        <v>0</v>
      </c>
      <c r="M52" s="2293">
        <f t="shared" si="14"/>
        <v>-2.2000000000000001E-3</v>
      </c>
      <c r="N52" s="2293">
        <f t="shared" si="14"/>
        <v>-4.4000000000000003E-3</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108">
      <c r="A53" s="2295" t="s">
        <v>1015</v>
      </c>
      <c r="B53" s="2264" t="str">
        <f>估价对象房地状况!C21</f>
        <v>估价对象所在区域有张家湾中心幼儿园、张家湾中心小学、张家湾中学等教育资源，有中国建设银行、北京市农村商业银行等金融机构，有世纪华联超市等商业服务设施，有北京运通中医医院等医疗设施，公共服务设施齐备度一般</v>
      </c>
      <c r="C53" s="1037" t="s">
        <v>3017</v>
      </c>
      <c r="D53" s="2272">
        <f t="shared" si="10"/>
        <v>0</v>
      </c>
      <c r="E53" s="2294"/>
      <c r="F53" s="2292"/>
      <c r="G53" s="2270">
        <v>3.7000000000000002E-3</v>
      </c>
      <c r="H53" s="2315">
        <f t="shared" si="11"/>
        <v>3.7000000000000002E-3</v>
      </c>
      <c r="I53" s="2290">
        <v>0.05</v>
      </c>
      <c r="J53" s="2293">
        <f t="shared" si="12"/>
        <v>7.4000000000000003E-3</v>
      </c>
      <c r="K53" s="2293">
        <f t="shared" si="13"/>
        <v>3.7000000000000002E-3</v>
      </c>
      <c r="L53" s="2293">
        <v>0</v>
      </c>
      <c r="M53" s="2293">
        <f t="shared" si="14"/>
        <v>-3.7000000000000002E-3</v>
      </c>
      <c r="N53" s="2293">
        <f t="shared" si="14"/>
        <v>-7.4000000000000003E-3</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1016</v>
      </c>
      <c r="B54" s="2263" t="str">
        <f>估价对象房地状况!C22</f>
        <v>七通</v>
      </c>
      <c r="C54" s="1037" t="s">
        <v>3044</v>
      </c>
      <c r="D54" s="2272">
        <f t="shared" si="10"/>
        <v>1.4999999999999999E-2</v>
      </c>
      <c r="E54" s="2294"/>
      <c r="F54" s="2292"/>
      <c r="G54" s="2270">
        <v>7.4999999999999997E-3</v>
      </c>
      <c r="H54" s="2315">
        <f t="shared" si="11"/>
        <v>7.4999999999999997E-3</v>
      </c>
      <c r="I54" s="2290">
        <v>0.1</v>
      </c>
      <c r="J54" s="2293">
        <f t="shared" si="12"/>
        <v>1.4999999999999999E-2</v>
      </c>
      <c r="K54" s="2293">
        <f t="shared" si="13"/>
        <v>7.4999999999999997E-3</v>
      </c>
      <c r="L54" s="2293">
        <v>0</v>
      </c>
      <c r="M54" s="2293">
        <f t="shared" si="14"/>
        <v>-7.4999999999999997E-3</v>
      </c>
      <c r="N54" s="2293">
        <f t="shared" si="14"/>
        <v>-1.4999999999999999E-2</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48.75" thickBot="1">
      <c r="A55" s="2296" t="s">
        <v>1017</v>
      </c>
      <c r="B55" s="2267" t="str">
        <f>估价对象房地状况!C20</f>
        <v>区域自然环境：通州大运河森林公园、凉水河；人文环境：北京环球度假区；综合评价环境状况较好</v>
      </c>
      <c r="C55" s="1037" t="s">
        <v>3018</v>
      </c>
      <c r="D55" s="2272">
        <f t="shared" si="10"/>
        <v>4.4999999999999997E-3</v>
      </c>
      <c r="E55" s="2298"/>
      <c r="F55" s="2292"/>
      <c r="G55" s="2270">
        <v>4.4999999999999997E-3</v>
      </c>
      <c r="H55" s="2315">
        <f t="shared" si="11"/>
        <v>4.4999999999999997E-3</v>
      </c>
      <c r="I55" s="2297">
        <v>0.06</v>
      </c>
      <c r="J55" s="2293">
        <f t="shared" si="12"/>
        <v>8.9999999999999993E-3</v>
      </c>
      <c r="K55" s="2293">
        <f t="shared" si="13"/>
        <v>4.4999999999999997E-3</v>
      </c>
      <c r="L55" s="2293">
        <v>0</v>
      </c>
      <c r="M55" s="2293">
        <f t="shared" si="14"/>
        <v>-4.4999999999999997E-3</v>
      </c>
      <c r="N55" s="2293">
        <f t="shared" si="14"/>
        <v>-8.9999999999999993E-3</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1018</v>
      </c>
      <c r="B56" s="2280">
        <f>1+E58</f>
        <v>1</v>
      </c>
      <c r="C56" s="2299"/>
      <c r="D56" s="2282"/>
      <c r="E56" s="2283"/>
      <c r="F56" s="2284"/>
      <c r="G56" s="2278"/>
      <c r="H56" s="2278"/>
      <c r="I56" s="2278"/>
      <c r="J56" s="1048"/>
      <c r="K56" s="1048"/>
      <c r="L56" s="1048"/>
      <c r="M56" s="1048"/>
      <c r="N56" s="1048"/>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49" t="s">
        <v>997</v>
      </c>
      <c r="B57" s="2263"/>
      <c r="C57" s="2285" t="s">
        <v>999</v>
      </c>
      <c r="D57" s="2286" t="s">
        <v>1000</v>
      </c>
      <c r="E57" s="2287" t="s">
        <v>1002</v>
      </c>
      <c r="F57" s="2288" t="s">
        <v>2235</v>
      </c>
      <c r="G57" s="2286" t="s">
        <v>1003</v>
      </c>
      <c r="H57" s="2269" t="s">
        <v>2398</v>
      </c>
      <c r="I57" s="2286" t="s">
        <v>1001</v>
      </c>
      <c r="J57" s="2289" t="s">
        <v>1004</v>
      </c>
      <c r="K57" s="2289" t="s">
        <v>1005</v>
      </c>
      <c r="L57" s="2289" t="s">
        <v>1006</v>
      </c>
      <c r="M57" s="2289" t="s">
        <v>1007</v>
      </c>
      <c r="N57" s="2289" t="s">
        <v>1008</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48">
      <c r="A58" s="1049" t="s">
        <v>1019</v>
      </c>
      <c r="B58" s="2266" t="str">
        <f>估价对象房地状况!C17</f>
        <v>估价对象周边有科技大厦、森工大厦、方和正元工业园等办公楼项目，但分布较为分散，办公集聚程度一般。</v>
      </c>
      <c r="C58" s="1037"/>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48">
      <c r="A59" s="1049" t="s">
        <v>1010</v>
      </c>
      <c r="B59" s="2263" t="str">
        <f>估价对象房地状况!C18</f>
        <v>估价对象周边有通14路、通50路、通64路等公交线路；距地铁7号线（花庄站）约2公里，交通便捷度一般</v>
      </c>
      <c r="C59" s="1037"/>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49" t="s">
        <v>1011</v>
      </c>
      <c r="B60" s="2263">
        <f>估价对象房地状况!C19</f>
        <v>0</v>
      </c>
      <c r="C60" s="1037"/>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49" t="s">
        <v>1012</v>
      </c>
      <c r="B61" s="2784" t="s">
        <v>2896</v>
      </c>
      <c r="C61" s="1037"/>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49" t="s">
        <v>1013</v>
      </c>
      <c r="B62" s="2263" t="str">
        <f>估价对象房地状况!C24</f>
        <v>城市主干道——张凤路</v>
      </c>
      <c r="C62" s="1037"/>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49" t="s">
        <v>1014</v>
      </c>
      <c r="B63" s="2783" t="s">
        <v>2894</v>
      </c>
      <c r="C63" s="1037"/>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108">
      <c r="A64" s="1049" t="s">
        <v>1015</v>
      </c>
      <c r="B64" s="2264" t="str">
        <f>估价对象房地状况!C21</f>
        <v>估价对象所在区域有张家湾中心幼儿园、张家湾中心小学、张家湾中学等教育资源，有中国建设银行、北京市农村商业银行等金融机构，有世纪华联超市等商业服务设施，有北京运通中医医院等医疗设施，公共服务设施齐备度一般</v>
      </c>
      <c r="C64" s="1037"/>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49" t="s">
        <v>1016</v>
      </c>
      <c r="B65" s="2264" t="str">
        <f>估价对象房地状况!C22</f>
        <v>七通</v>
      </c>
      <c r="C65" s="1037"/>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48.75" thickBot="1">
      <c r="A66" s="2296" t="s">
        <v>1017</v>
      </c>
      <c r="B66" s="2268" t="str">
        <f>估价对象房地状况!C20</f>
        <v>区域自然环境：通州大运河森林公园、凉水河；人文环境：北京环球度假区；综合评价环境状况较好</v>
      </c>
      <c r="C66" s="1037"/>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1020</v>
      </c>
      <c r="B67" s="2280">
        <f>1+E69</f>
        <v>1</v>
      </c>
      <c r="C67" s="2299"/>
      <c r="D67" s="2282"/>
      <c r="E67" s="2283"/>
      <c r="F67" s="2284"/>
      <c r="G67" s="2278"/>
      <c r="H67" s="2278"/>
      <c r="I67" s="2278"/>
      <c r="J67" s="1048"/>
      <c r="K67" s="1048"/>
      <c r="L67" s="1048"/>
      <c r="M67" s="1048"/>
      <c r="N67" s="1048"/>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49" t="s">
        <v>997</v>
      </c>
      <c r="B68" s="2263"/>
      <c r="C68" s="2285" t="s">
        <v>999</v>
      </c>
      <c r="D68" s="2286" t="s">
        <v>1000</v>
      </c>
      <c r="E68" s="2287" t="s">
        <v>1002</v>
      </c>
      <c r="F68" s="2288" t="s">
        <v>2236</v>
      </c>
      <c r="G68" s="2286" t="s">
        <v>1003</v>
      </c>
      <c r="H68" s="2269" t="s">
        <v>2398</v>
      </c>
      <c r="I68" s="2286" t="s">
        <v>1001</v>
      </c>
      <c r="J68" s="2289" t="s">
        <v>1004</v>
      </c>
      <c r="K68" s="2289" t="s">
        <v>1005</v>
      </c>
      <c r="L68" s="2289" t="s">
        <v>1006</v>
      </c>
      <c r="M68" s="2289" t="s">
        <v>1007</v>
      </c>
      <c r="N68" s="2289" t="s">
        <v>1008</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72">
      <c r="A69" s="1049" t="s">
        <v>1021</v>
      </c>
      <c r="B69" s="2266" t="str">
        <f>估价对象房地状况!C15</f>
        <v>估价对象位于北京市通州区经济开发区西区南扩区，周边有芳草园小区、环湖小镇、月亮湾小镇、太玉园等住宅小区，入住率较好，居住社区成熟度一般。</v>
      </c>
      <c r="C69" s="1141"/>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48">
      <c r="A70" s="1049" t="s">
        <v>1022</v>
      </c>
      <c r="B70" s="2263" t="str">
        <f>估价对象房地状况!C18</f>
        <v>估价对象周边有通14路、通50路、通64路等公交线路；距地铁7号线（花庄站）约2公里，交通便捷度一般</v>
      </c>
      <c r="C70" s="1141"/>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49" t="s">
        <v>1011</v>
      </c>
      <c r="B71" s="2263">
        <f>估价对象房地状况!C19</f>
        <v>0</v>
      </c>
      <c r="C71" s="1141"/>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49" t="s">
        <v>1023</v>
      </c>
      <c r="B72" s="2263" t="str">
        <f>估价对象房地状况!C24</f>
        <v>城市主干道——张凤路</v>
      </c>
      <c r="C72" s="1141"/>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108">
      <c r="A73" s="1049" t="s">
        <v>1015</v>
      </c>
      <c r="B73" s="2264" t="str">
        <f>估价对象房地状况!C21</f>
        <v>估价对象所在区域有张家湾中心幼儿园、张家湾中心小学、张家湾中学等教育资源，有中国建设银行、北京市农村商业银行等金融机构，有世纪华联超市等商业服务设施，有北京运通中医医院等医疗设施，公共服务设施齐备度一般</v>
      </c>
      <c r="C73" s="1141"/>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49" t="s">
        <v>1016</v>
      </c>
      <c r="B74" s="2264" t="str">
        <f>估价对象房地状况!C22</f>
        <v>七通</v>
      </c>
      <c r="C74" s="1141"/>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49" t="s">
        <v>1014</v>
      </c>
      <c r="B75" s="2783" t="s">
        <v>2894</v>
      </c>
      <c r="C75" s="1141"/>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48">
      <c r="A76" s="1049" t="s">
        <v>1017</v>
      </c>
      <c r="B76" s="2266" t="str">
        <f>估价对象房地状况!C20</f>
        <v>区域自然环境：通州大运河森林公园、凉水河；人文环境：北京环球度假区；综合评价环境状况较好</v>
      </c>
      <c r="C76" s="1141"/>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1024</v>
      </c>
      <c r="B77" s="1764"/>
      <c r="C77" s="1141"/>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1025</v>
      </c>
      <c r="B78" s="2280">
        <f>1+E80</f>
        <v>1</v>
      </c>
      <c r="C78" s="2299"/>
      <c r="D78" s="2282"/>
      <c r="E78" s="2283"/>
      <c r="F78" s="2284"/>
      <c r="G78" s="2278"/>
      <c r="H78" s="2278"/>
      <c r="I78" s="2278"/>
      <c r="J78" s="1048"/>
      <c r="K78" s="1048"/>
      <c r="L78" s="1048"/>
      <c r="M78" s="1048"/>
      <c r="N78" s="1048"/>
      <c r="AC78" s="1353"/>
      <c r="AD78" s="1352"/>
      <c r="AJ78" s="1351"/>
      <c r="AN78" s="1352"/>
    </row>
    <row r="79" spans="1:40" ht="24">
      <c r="A79" s="1049" t="s">
        <v>997</v>
      </c>
      <c r="B79" s="2263"/>
      <c r="C79" s="2285" t="s">
        <v>999</v>
      </c>
      <c r="D79" s="2286" t="s">
        <v>1000</v>
      </c>
      <c r="E79" s="2287" t="s">
        <v>1002</v>
      </c>
      <c r="F79" s="2288" t="s">
        <v>2237</v>
      </c>
      <c r="G79" s="2286" t="s">
        <v>1003</v>
      </c>
      <c r="H79" s="2269" t="s">
        <v>2398</v>
      </c>
      <c r="I79" s="2286" t="s">
        <v>1001</v>
      </c>
      <c r="J79" s="2289" t="s">
        <v>1004</v>
      </c>
      <c r="K79" s="2289" t="s">
        <v>1005</v>
      </c>
      <c r="L79" s="2289" t="s">
        <v>1006</v>
      </c>
      <c r="M79" s="2289" t="s">
        <v>1007</v>
      </c>
      <c r="N79" s="2289" t="s">
        <v>1008</v>
      </c>
      <c r="AC79" s="1353"/>
      <c r="AD79" s="1352"/>
      <c r="AJ79" s="1351"/>
      <c r="AN79" s="1352"/>
    </row>
    <row r="80" spans="1:40" ht="36">
      <c r="A80" s="1049" t="s">
        <v>1026</v>
      </c>
      <c r="B80" s="2263" t="str">
        <f>估价对象房地状况!G15</f>
        <v>估价对象位于XX开发区，园区建设成熟度XX，产业集聚程度XX</v>
      </c>
      <c r="C80" s="1037"/>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49" t="s">
        <v>1022</v>
      </c>
      <c r="B81" s="2263" t="str">
        <f>估价对象房地状况!G16</f>
        <v>估价对象周边道路状况、公共交通通达情况、停车便捷程度，综合评价交通便捷度较好</v>
      </c>
      <c r="C81" s="1037"/>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49" t="s">
        <v>1011</v>
      </c>
      <c r="B82" s="2263">
        <f>估价对象房地状况!G17</f>
        <v>0</v>
      </c>
      <c r="C82" s="1037"/>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49" t="s">
        <v>1023</v>
      </c>
      <c r="B83" s="2263">
        <f>估价对象房地状况!G22</f>
        <v>0</v>
      </c>
      <c r="C83" s="1037"/>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49" t="s">
        <v>1015</v>
      </c>
      <c r="B84" s="2264" t="str">
        <f>估价对象房地状况!G19</f>
        <v>估价对象所在区域公共配套设施齐备情况</v>
      </c>
      <c r="C84" s="1037"/>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49" t="s">
        <v>1016</v>
      </c>
      <c r="B85" s="2264" t="str">
        <f>估价对象房地状况!G20</f>
        <v>估价对象所在区域基础设施水平</v>
      </c>
      <c r="C85" s="1037"/>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49" t="s">
        <v>1014</v>
      </c>
      <c r="B86" s="2783" t="s">
        <v>2894</v>
      </c>
      <c r="C86" s="1037"/>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1027</v>
      </c>
      <c r="B87" s="2265" t="str">
        <f>估价对象房地状况!G18</f>
        <v>该园区内是否有污染型企业，绿化情况，卫生条件，整体环境状况判断</v>
      </c>
      <c r="C87" s="1037"/>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617" t="s">
        <v>1622</v>
      </c>
      <c r="B90" s="3617"/>
      <c r="C90" s="3617"/>
      <c r="D90" s="3617"/>
      <c r="E90" s="3617"/>
      <c r="F90" s="3617"/>
      <c r="G90" s="3617"/>
      <c r="H90" s="3617"/>
      <c r="I90" s="3617"/>
      <c r="J90" s="3617"/>
      <c r="K90" s="2305"/>
      <c r="L90" s="2305"/>
      <c r="M90" s="2305"/>
      <c r="N90" s="2305"/>
    </row>
    <row r="91" spans="1:40">
      <c r="A91" s="3618" t="s">
        <v>1432</v>
      </c>
      <c r="B91" s="3618" t="s">
        <v>1623</v>
      </c>
      <c r="C91" s="1122" t="s">
        <v>1624</v>
      </c>
      <c r="D91" s="1123"/>
      <c r="E91" s="1123"/>
      <c r="F91" s="1123"/>
      <c r="G91" s="1123"/>
      <c r="H91" s="1123"/>
      <c r="I91" s="1123"/>
      <c r="J91" s="1124"/>
      <c r="K91" s="1116"/>
      <c r="L91" s="1116"/>
      <c r="M91" s="1116"/>
      <c r="N91" s="1116"/>
    </row>
    <row r="92" spans="1:40">
      <c r="A92" s="3618"/>
      <c r="B92" s="3618"/>
      <c r="C92" s="2304" t="s">
        <v>896</v>
      </c>
      <c r="D92" s="2304" t="s">
        <v>874</v>
      </c>
      <c r="E92" s="2304" t="s">
        <v>875</v>
      </c>
      <c r="F92" s="2304" t="s">
        <v>899</v>
      </c>
      <c r="G92" s="2304" t="s">
        <v>877</v>
      </c>
      <c r="H92" s="2304" t="s">
        <v>878</v>
      </c>
      <c r="I92" s="2304" t="s">
        <v>879</v>
      </c>
      <c r="J92" s="2304" t="s">
        <v>880</v>
      </c>
      <c r="K92" s="2304" t="s">
        <v>904</v>
      </c>
      <c r="L92" s="2304" t="s">
        <v>882</v>
      </c>
      <c r="M92" s="2304" t="s">
        <v>883</v>
      </c>
      <c r="N92" s="2304" t="s">
        <v>907</v>
      </c>
    </row>
    <row r="93" spans="1:40">
      <c r="A93" s="3625" t="s">
        <v>2738</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626"/>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626"/>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626"/>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626"/>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626"/>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626"/>
      <c r="B99" s="1125" t="s">
        <v>1625</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627"/>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625" t="s">
        <v>1626</v>
      </c>
      <c r="B101" s="1129" t="s">
        <v>895</v>
      </c>
      <c r="C101" s="1130">
        <f>$G$3</f>
        <v>2.2000000000000002</v>
      </c>
      <c r="D101" s="1130">
        <f t="shared" ref="D101:N101" si="31">$G$3</f>
        <v>2.2000000000000002</v>
      </c>
      <c r="E101" s="1130">
        <f t="shared" si="31"/>
        <v>2.2000000000000002</v>
      </c>
      <c r="F101" s="1130">
        <f t="shared" si="31"/>
        <v>2.2000000000000002</v>
      </c>
      <c r="G101" s="1130">
        <f t="shared" si="31"/>
        <v>2.2000000000000002</v>
      </c>
      <c r="H101" s="1130">
        <f t="shared" si="31"/>
        <v>2.2000000000000002</v>
      </c>
      <c r="I101" s="1130">
        <f t="shared" si="31"/>
        <v>2.2000000000000002</v>
      </c>
      <c r="J101" s="1130">
        <f t="shared" si="31"/>
        <v>2.2000000000000002</v>
      </c>
      <c r="K101" s="1130">
        <f t="shared" si="31"/>
        <v>2.2000000000000002</v>
      </c>
      <c r="L101" s="1130">
        <f t="shared" si="31"/>
        <v>2.2000000000000002</v>
      </c>
      <c r="M101" s="1130">
        <f t="shared" si="31"/>
        <v>2.2000000000000002</v>
      </c>
      <c r="N101" s="1130">
        <f t="shared" si="31"/>
        <v>2.2000000000000002</v>
      </c>
    </row>
    <row r="102" spans="1:14">
      <c r="A102" s="3626"/>
      <c r="B102" s="1125">
        <v>1</v>
      </c>
      <c r="C102" s="1126">
        <f>1.9362/C101</f>
        <v>0.88009090909090903</v>
      </c>
      <c r="D102" s="1126">
        <f>1.9362/D101</f>
        <v>0.88009090909090903</v>
      </c>
      <c r="E102" s="1126">
        <f>1.8629/E101</f>
        <v>0.84677272727272723</v>
      </c>
      <c r="F102" s="1126">
        <f>1.8629/F101</f>
        <v>0.84677272727272723</v>
      </c>
      <c r="G102" s="1126">
        <f>1.8629/G101</f>
        <v>0.84677272727272723</v>
      </c>
      <c r="H102" s="1126">
        <f>1.8629/H101</f>
        <v>0.84677272727272723</v>
      </c>
      <c r="I102" s="1126">
        <f>1.8629/I101</f>
        <v>0.84677272727272723</v>
      </c>
      <c r="J102" s="1126">
        <f>1.942/J101</f>
        <v>0.88272727272727258</v>
      </c>
      <c r="K102" s="1126">
        <f>1.942/K101</f>
        <v>0.88272727272727258</v>
      </c>
      <c r="L102" s="1126">
        <f>1.942/L101</f>
        <v>0.88272727272727258</v>
      </c>
      <c r="M102" s="1126">
        <f>1.942/M101</f>
        <v>0.88272727272727258</v>
      </c>
      <c r="N102" s="1126">
        <f>1.942/N101</f>
        <v>0.88272727272727258</v>
      </c>
    </row>
    <row r="103" spans="1:14">
      <c r="A103" s="3626"/>
      <c r="B103" s="1125">
        <v>2</v>
      </c>
      <c r="C103" s="1126">
        <f>1.4198/C101</f>
        <v>0.64536363636363625</v>
      </c>
      <c r="D103" s="1126">
        <f>1.4198/D101</f>
        <v>0.64536363636363625</v>
      </c>
      <c r="E103" s="1126">
        <f>1.3372/E101</f>
        <v>0.6078181818181817</v>
      </c>
      <c r="F103" s="1126">
        <f>1.3372/F101</f>
        <v>0.6078181818181817</v>
      </c>
      <c r="G103" s="1126">
        <f>1.3372/G101</f>
        <v>0.6078181818181817</v>
      </c>
      <c r="H103" s="1126">
        <f>1.3372/H101</f>
        <v>0.6078181818181817</v>
      </c>
      <c r="I103" s="1126">
        <f>1.3372/I101</f>
        <v>0.6078181818181817</v>
      </c>
      <c r="J103" s="1126">
        <f>1.2799/J101</f>
        <v>0.58177272727272722</v>
      </c>
      <c r="K103" s="1126">
        <f>1.2799/K101</f>
        <v>0.58177272727272722</v>
      </c>
      <c r="L103" s="1126">
        <f>1.2799/L101</f>
        <v>0.58177272727272722</v>
      </c>
      <c r="M103" s="1126">
        <f>1.2799/M101</f>
        <v>0.58177272727272722</v>
      </c>
      <c r="N103" s="1126">
        <f>1.2799/N101</f>
        <v>0.58177272727272722</v>
      </c>
    </row>
    <row r="104" spans="1:14">
      <c r="A104" s="3626"/>
      <c r="B104" s="1125">
        <v>3</v>
      </c>
      <c r="C104" s="1126">
        <f>1.1594/C101</f>
        <v>0.52699999999999991</v>
      </c>
      <c r="D104" s="1126">
        <f>1.1594/D101</f>
        <v>0.52699999999999991</v>
      </c>
      <c r="E104" s="1126">
        <f>1.0788/E101</f>
        <v>0.49036363636363633</v>
      </c>
      <c r="F104" s="1126">
        <f>1.0788/F101</f>
        <v>0.49036363636363633</v>
      </c>
      <c r="G104" s="1126">
        <f>1.0788/G101</f>
        <v>0.49036363636363633</v>
      </c>
      <c r="H104" s="1126">
        <f>1.0788/H101</f>
        <v>0.49036363636363633</v>
      </c>
      <c r="I104" s="1126">
        <f>1.0788/I101</f>
        <v>0.49036363636363633</v>
      </c>
      <c r="J104" s="1126">
        <f>1.0072/J101</f>
        <v>0.45781818181818185</v>
      </c>
      <c r="K104" s="1126">
        <f>1.0072/K101</f>
        <v>0.45781818181818185</v>
      </c>
      <c r="L104" s="1126">
        <f>1.0072/L101</f>
        <v>0.45781818181818185</v>
      </c>
      <c r="M104" s="1126">
        <f>1.0072/M101</f>
        <v>0.45781818181818185</v>
      </c>
      <c r="N104" s="1126">
        <f>1.0072/N101</f>
        <v>0.45781818181818185</v>
      </c>
    </row>
    <row r="105" spans="1:14">
      <c r="A105" s="3626"/>
      <c r="B105" s="1125">
        <v>4</v>
      </c>
      <c r="C105" s="1126">
        <f>0.9622/C101</f>
        <v>0.43736363636363634</v>
      </c>
      <c r="D105" s="1126">
        <f>0.9622/D101</f>
        <v>0.43736363636363634</v>
      </c>
      <c r="E105" s="1126">
        <f>0.8656/E101</f>
        <v>0.39345454545454545</v>
      </c>
      <c r="F105" s="1126">
        <f>0.8656/F101</f>
        <v>0.39345454545454545</v>
      </c>
      <c r="G105" s="1126">
        <f>0.8656/G101</f>
        <v>0.39345454545454545</v>
      </c>
      <c r="H105" s="1126">
        <f>0.8656/H101</f>
        <v>0.39345454545454545</v>
      </c>
      <c r="I105" s="1126">
        <f>0.8656/I101</f>
        <v>0.39345454545454545</v>
      </c>
      <c r="J105" s="1126">
        <f>0.7525/J101</f>
        <v>0.34204545454545449</v>
      </c>
      <c r="K105" s="1126">
        <f>0.7525/K101</f>
        <v>0.34204545454545449</v>
      </c>
      <c r="L105" s="1126">
        <f>0.7525/L101</f>
        <v>0.34204545454545449</v>
      </c>
      <c r="M105" s="1126">
        <f>0.7525/M101</f>
        <v>0.34204545454545449</v>
      </c>
      <c r="N105" s="1126">
        <f>0.7525/N101</f>
        <v>0.34204545454545449</v>
      </c>
    </row>
    <row r="106" spans="1:14">
      <c r="A106" s="3626"/>
      <c r="B106" s="1125">
        <v>5</v>
      </c>
      <c r="C106" s="1126">
        <f>0.8417/C101</f>
        <v>0.38259090909090904</v>
      </c>
      <c r="D106" s="1126">
        <f>0.8417/D101</f>
        <v>0.38259090909090904</v>
      </c>
      <c r="E106" s="1126">
        <f>0.7371/E101</f>
        <v>0.33504545454545454</v>
      </c>
      <c r="F106" s="1126">
        <f>0.7371/F101</f>
        <v>0.33504545454545454</v>
      </c>
      <c r="G106" s="1126">
        <f>0.7371/G101</f>
        <v>0.33504545454545454</v>
      </c>
      <c r="H106" s="1126">
        <f>0.7371/H101</f>
        <v>0.33504545454545454</v>
      </c>
      <c r="I106" s="1126">
        <f>0.7371/I101</f>
        <v>0.33504545454545454</v>
      </c>
      <c r="J106" s="1126">
        <f>0.5659/J101</f>
        <v>0.25722727272727269</v>
      </c>
      <c r="K106" s="1126">
        <f>0.5659/K101</f>
        <v>0.25722727272727269</v>
      </c>
      <c r="L106" s="1126">
        <f>0.5659/L101</f>
        <v>0.25722727272727269</v>
      </c>
      <c r="M106" s="1126">
        <f>0.5659/M101</f>
        <v>0.25722727272727269</v>
      </c>
      <c r="N106" s="1126">
        <f>0.5659/N101</f>
        <v>0.25722727272727269</v>
      </c>
    </row>
    <row r="107" spans="1:14">
      <c r="A107" s="3626"/>
      <c r="B107" s="1125">
        <v>6</v>
      </c>
      <c r="C107" s="1126">
        <f>0.7608/C101</f>
        <v>0.3458181818181818</v>
      </c>
      <c r="D107" s="1126">
        <f>0.7608/D101</f>
        <v>0.3458181818181818</v>
      </c>
      <c r="E107" s="1126">
        <f>0.6482/E101</f>
        <v>0.29463636363636359</v>
      </c>
      <c r="F107" s="1126">
        <f>0.6482/F101</f>
        <v>0.29463636363636359</v>
      </c>
      <c r="G107" s="1126">
        <f>0.6482/G101</f>
        <v>0.29463636363636359</v>
      </c>
      <c r="H107" s="1126">
        <f>0.6482/H101</f>
        <v>0.29463636363636359</v>
      </c>
      <c r="I107" s="1126">
        <f>0.6482/I101</f>
        <v>0.29463636363636359</v>
      </c>
      <c r="J107" s="1126">
        <f>0.4525/J101</f>
        <v>0.20568181818181816</v>
      </c>
      <c r="K107" s="1126">
        <f>0.4525/K101</f>
        <v>0.20568181818181816</v>
      </c>
      <c r="L107" s="1126">
        <f>0.4525/L101</f>
        <v>0.20568181818181816</v>
      </c>
      <c r="M107" s="1126">
        <f>0.4525/M101</f>
        <v>0.20568181818181816</v>
      </c>
      <c r="N107" s="1126">
        <f>0.4525/N101</f>
        <v>0.20568181818181816</v>
      </c>
    </row>
    <row r="108" spans="1:14">
      <c r="A108" s="3626"/>
      <c r="B108" s="3628" t="s">
        <v>1627</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627"/>
      <c r="B109" s="3629"/>
      <c r="C109" s="1128">
        <f>(-0.163*(C108^2)-0.59*C108+7617)*(10^(-4))/C101</f>
        <v>0.34553854545454543</v>
      </c>
      <c r="D109" s="1128">
        <f>(-0.163*(D108^2)-0.59*D108+7617)*(10^(-4))/D101</f>
        <v>0.34553854545454543</v>
      </c>
      <c r="E109" s="1128">
        <f>(-0.161*(E108^2)-7.509*E108+6533)*(10^(-4))/E101</f>
        <v>0.29375563636363633</v>
      </c>
      <c r="F109" s="1128">
        <f>(-0.161*(F108^2)-7.509*F108+6533)*(10^(-4))/F101</f>
        <v>0.29375563636363633</v>
      </c>
      <c r="G109" s="1128">
        <f>(-0.161*(G108^2)-7.509*G108+6533)*(10^(-4))/G101</f>
        <v>0.29375563636363633</v>
      </c>
      <c r="H109" s="1128">
        <f>(-0.161*(H108^2)-7.509*H108+6533)*(10^(-4))/H101</f>
        <v>0.29375563636363633</v>
      </c>
      <c r="I109" s="1128">
        <f>(-0.161*(I108^2)-7.509*I108+6533)*(10^(-4))/I101</f>
        <v>0.29375563636363633</v>
      </c>
      <c r="J109" s="1128">
        <f>(-0.214*(J108^2)-21.991*J108+4665)*(10^(-4))/J101</f>
        <v>0.20342618181818181</v>
      </c>
      <c r="K109" s="1128">
        <f>(-0.214*(K108^2)-21.991*K108+4665)*(10^(-4))/K101</f>
        <v>0.20342618181818181</v>
      </c>
      <c r="L109" s="1128">
        <f>(-0.214*(L108^2)-21.991*L108+4665)*(10^(-4))/L101</f>
        <v>0.20342618181818181</v>
      </c>
      <c r="M109" s="1128">
        <f>(-0.214*(M108^2)-21.991*M108+4665)*(10^(-4))/M101</f>
        <v>0.20342618181818181</v>
      </c>
      <c r="N109" s="1128">
        <f>(-0.214*(N108^2)-21.991*N108+4665)*(10^(-4))/N101</f>
        <v>0.20342618181818181</v>
      </c>
    </row>
    <row r="110" spans="1:14">
      <c r="A110" s="3611" t="s">
        <v>1628</v>
      </c>
      <c r="B110" s="3611"/>
      <c r="C110" s="3611"/>
      <c r="D110" s="3611"/>
      <c r="E110" s="3611"/>
      <c r="F110" s="3611"/>
      <c r="G110" s="3611"/>
      <c r="H110" s="3611"/>
      <c r="I110" s="3611"/>
      <c r="J110" s="3611"/>
      <c r="K110" s="2303"/>
      <c r="L110" s="2303"/>
      <c r="M110" s="2303"/>
      <c r="N110" s="2303"/>
    </row>
    <row r="112" spans="1:14" ht="12.75" thickBot="1"/>
    <row r="113" spans="1:13" ht="25.5" thickBot="1">
      <c r="A113" s="1003" t="s">
        <v>885</v>
      </c>
      <c r="B113" s="2306">
        <f>G3</f>
        <v>2.2000000000000002</v>
      </c>
      <c r="C113" s="1004" t="s">
        <v>886</v>
      </c>
      <c r="D113" s="1005">
        <f>SUMPRODUCT((A115:A118=F113)*(B114:M114=H113)*B115:M118)</f>
        <v>0.65490000000000004</v>
      </c>
      <c r="E113" s="1006" t="s">
        <v>887</v>
      </c>
      <c r="F113" s="1007" t="str">
        <f>E2</f>
        <v>商业</v>
      </c>
      <c r="G113" s="1006" t="s">
        <v>888</v>
      </c>
      <c r="H113" s="1007" t="str">
        <f>G2</f>
        <v>八级</v>
      </c>
      <c r="I113" s="1006"/>
      <c r="J113" s="998"/>
      <c r="K113" s="998"/>
      <c r="L113" s="998"/>
      <c r="M113" s="998"/>
    </row>
    <row r="114" spans="1:13" ht="12.75">
      <c r="A114" s="1010"/>
      <c r="B114" s="1011" t="s">
        <v>873</v>
      </c>
      <c r="C114" s="1011" t="s">
        <v>874</v>
      </c>
      <c r="D114" s="1011" t="s">
        <v>875</v>
      </c>
      <c r="E114" s="1012" t="s">
        <v>876</v>
      </c>
      <c r="F114" s="1012" t="s">
        <v>877</v>
      </c>
      <c r="G114" s="1012" t="s">
        <v>878</v>
      </c>
      <c r="H114" s="1013" t="s">
        <v>879</v>
      </c>
      <c r="I114" s="1013" t="s">
        <v>880</v>
      </c>
      <c r="J114" s="1014" t="s">
        <v>881</v>
      </c>
      <c r="K114" s="1014" t="s">
        <v>882</v>
      </c>
      <c r="L114" s="1014" t="s">
        <v>883</v>
      </c>
      <c r="M114" s="1015" t="s">
        <v>884</v>
      </c>
    </row>
    <row r="115" spans="1:13" ht="12.75">
      <c r="A115" s="1016" t="s">
        <v>889</v>
      </c>
      <c r="B115" s="1017">
        <f>ROUND(0.9335-0.0094*B113,4)</f>
        <v>0.91279999999999994</v>
      </c>
      <c r="C115" s="1017">
        <f>B115</f>
        <v>0.91279999999999994</v>
      </c>
      <c r="D115" s="1017">
        <f>ROUND(0.8331-0.0109*B113,4)</f>
        <v>0.80910000000000004</v>
      </c>
      <c r="E115" s="1017">
        <f>D115</f>
        <v>0.80910000000000004</v>
      </c>
      <c r="F115" s="1017">
        <f>E115</f>
        <v>0.80910000000000004</v>
      </c>
      <c r="G115" s="1017">
        <f>F115</f>
        <v>0.80910000000000004</v>
      </c>
      <c r="H115" s="1017">
        <f>G115</f>
        <v>0.80910000000000004</v>
      </c>
      <c r="I115" s="1017">
        <f>ROUND(0.689-0.0155*B113,4)</f>
        <v>0.65490000000000004</v>
      </c>
      <c r="J115" s="1017">
        <f t="shared" ref="J115:M118" si="33">I115</f>
        <v>0.65490000000000004</v>
      </c>
      <c r="K115" s="1017">
        <f t="shared" si="33"/>
        <v>0.65490000000000004</v>
      </c>
      <c r="L115" s="1017">
        <f t="shared" si="33"/>
        <v>0.65490000000000004</v>
      </c>
      <c r="M115" s="1018">
        <f t="shared" si="33"/>
        <v>0.65490000000000004</v>
      </c>
    </row>
    <row r="116" spans="1:13" ht="12.75">
      <c r="A116" s="1016" t="s">
        <v>890</v>
      </c>
      <c r="B116" s="1017">
        <f>ROUND(0.949-0.012*B113,4)</f>
        <v>0.92259999999999998</v>
      </c>
      <c r="C116" s="1017">
        <f>B116</f>
        <v>0.92259999999999998</v>
      </c>
      <c r="D116" s="1017">
        <f>ROUND(0.8567-0.013*B113,4)</f>
        <v>0.82809999999999995</v>
      </c>
      <c r="E116" s="1017">
        <f t="shared" ref="E116:H117" si="34">D116</f>
        <v>0.82809999999999995</v>
      </c>
      <c r="F116" s="1017">
        <f t="shared" si="34"/>
        <v>0.82809999999999995</v>
      </c>
      <c r="G116" s="1017">
        <f t="shared" si="34"/>
        <v>0.82809999999999995</v>
      </c>
      <c r="H116" s="1017">
        <f t="shared" si="34"/>
        <v>0.82809999999999995</v>
      </c>
      <c r="I116" s="1017">
        <f>ROUND(0.7694-0.014*B113,4)</f>
        <v>0.73860000000000003</v>
      </c>
      <c r="J116" s="1017">
        <f t="shared" si="33"/>
        <v>0.73860000000000003</v>
      </c>
      <c r="K116" s="1017">
        <f t="shared" si="33"/>
        <v>0.73860000000000003</v>
      </c>
      <c r="L116" s="1017">
        <f t="shared" si="33"/>
        <v>0.73860000000000003</v>
      </c>
      <c r="M116" s="1018">
        <f t="shared" si="33"/>
        <v>0.73860000000000003</v>
      </c>
    </row>
    <row r="117" spans="1:13" ht="12.75">
      <c r="A117" s="1019" t="s">
        <v>891</v>
      </c>
      <c r="B117" s="1017">
        <f>ROUND(0.8808-0.006*B113,4)</f>
        <v>0.86760000000000004</v>
      </c>
      <c r="C117" s="1017">
        <f>B117</f>
        <v>0.86760000000000004</v>
      </c>
      <c r="D117" s="1017">
        <f>ROUND(0.8748-0.008*B113,4)</f>
        <v>0.85719999999999996</v>
      </c>
      <c r="E117" s="1017">
        <f t="shared" si="34"/>
        <v>0.85719999999999996</v>
      </c>
      <c r="F117" s="1017">
        <f t="shared" si="34"/>
        <v>0.85719999999999996</v>
      </c>
      <c r="G117" s="1017">
        <f t="shared" si="34"/>
        <v>0.85719999999999996</v>
      </c>
      <c r="H117" s="1017">
        <f t="shared" si="34"/>
        <v>0.85719999999999996</v>
      </c>
      <c r="I117" s="1017">
        <f>ROUND(0.7412-0.0095*B113,4)</f>
        <v>0.72030000000000005</v>
      </c>
      <c r="J117" s="1017">
        <f t="shared" si="33"/>
        <v>0.72030000000000005</v>
      </c>
      <c r="K117" s="1017">
        <f t="shared" si="33"/>
        <v>0.72030000000000005</v>
      </c>
      <c r="L117" s="1017">
        <f t="shared" si="33"/>
        <v>0.72030000000000005</v>
      </c>
      <c r="M117" s="1018">
        <f t="shared" si="33"/>
        <v>0.72030000000000005</v>
      </c>
    </row>
    <row r="118" spans="1:13" ht="13.5" thickBot="1">
      <c r="A118" s="1020" t="s">
        <v>892</v>
      </c>
      <c r="B118" s="1021">
        <f>ROUND(0.7275-0.01*B113,4)</f>
        <v>0.70550000000000002</v>
      </c>
      <c r="C118" s="1021">
        <f>B118</f>
        <v>0.70550000000000002</v>
      </c>
      <c r="D118" s="1021">
        <f>ROUND(0.7043-0.012*B113,4)</f>
        <v>0.67789999999999995</v>
      </c>
      <c r="E118" s="1021">
        <f>D118</f>
        <v>0.67789999999999995</v>
      </c>
      <c r="F118" s="1021">
        <f>E118</f>
        <v>0.67789999999999995</v>
      </c>
      <c r="G118" s="1021">
        <f>ROUND(0.6299-0.0122*B113,4)</f>
        <v>0.60309999999999997</v>
      </c>
      <c r="H118" s="1021">
        <f>G118</f>
        <v>0.60309999999999997</v>
      </c>
      <c r="I118" s="1021">
        <f>ROUND(0.5667-0.0136*B113,4)</f>
        <v>0.53680000000000005</v>
      </c>
      <c r="J118" s="1021">
        <f t="shared" si="33"/>
        <v>0.53680000000000005</v>
      </c>
      <c r="K118" s="1021">
        <f t="shared" si="33"/>
        <v>0.53680000000000005</v>
      </c>
      <c r="L118" s="1021">
        <f t="shared" si="33"/>
        <v>0.53680000000000005</v>
      </c>
      <c r="M118" s="1022">
        <f t="shared" si="33"/>
        <v>0.53680000000000005</v>
      </c>
    </row>
  </sheetData>
  <sheetProtection algorithmName="SHA-512" hashValue="KBOsIP73QFf0vbe8YCcJkkalFwfHAZ0qCCguFxK+nPjyX5tQr4jpaCYC4H3NM40PD7b40vJwMvH93ISb1hxBcA==" saltValue="r5hZQSqwVjqY/Sx6sRjBZg==" spinCount="100000"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44" priority="5" stopIfTrue="1" operator="notEqual">
      <formula>"——"</formula>
    </cfRule>
  </conditionalFormatting>
  <conditionalFormatting sqref="F58">
    <cfRule type="cellIs" dxfId="143" priority="4" stopIfTrue="1" operator="notEqual">
      <formula>"——"</formula>
    </cfRule>
  </conditionalFormatting>
  <conditionalFormatting sqref="F69">
    <cfRule type="cellIs" dxfId="142" priority="3" stopIfTrue="1" operator="notEqual">
      <formula>"——"</formula>
    </cfRule>
  </conditionalFormatting>
  <conditionalFormatting sqref="F80">
    <cfRule type="cellIs" dxfId="141" priority="2" stopIfTrue="1" operator="notEqual">
      <formula>"——"</formula>
    </cfRule>
  </conditionalFormatting>
  <conditionalFormatting sqref="H58:H66 H47:H55 H69:H77 H80:H87">
    <cfRule type="cellIs" dxfId="140"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1420</v>
      </c>
      <c r="B1" s="1054" t="s">
        <v>896</v>
      </c>
      <c r="C1" s="1054" t="s">
        <v>897</v>
      </c>
      <c r="D1" s="1054" t="s">
        <v>898</v>
      </c>
      <c r="E1" s="1054" t="s">
        <v>899</v>
      </c>
      <c r="F1" s="1054" t="s">
        <v>900</v>
      </c>
      <c r="G1" s="1054" t="s">
        <v>901</v>
      </c>
      <c r="H1" s="1054" t="s">
        <v>902</v>
      </c>
      <c r="I1" s="1054" t="s">
        <v>903</v>
      </c>
      <c r="J1" s="1054" t="s">
        <v>904</v>
      </c>
      <c r="K1" s="1054" t="s">
        <v>905</v>
      </c>
      <c r="L1" s="1054" t="s">
        <v>906</v>
      </c>
      <c r="M1" s="1055" t="s">
        <v>907</v>
      </c>
    </row>
    <row r="2" spans="1:13" ht="19.5" customHeight="1">
      <c r="A2" s="1089" t="s">
        <v>996</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1018</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1020</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1421</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1422</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1423</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1424</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1425</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1426</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1427</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1428</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1429</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1430</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4" t="s">
        <v>2942</v>
      </c>
      <c r="B15" s="2790">
        <f>SUM(B6:B13)</f>
        <v>375</v>
      </c>
      <c r="C15" s="2790">
        <f t="shared" ref="C15:H15" si="0">SUM(C6:C13)</f>
        <v>375</v>
      </c>
      <c r="D15" s="2790">
        <f t="shared" si="0"/>
        <v>300</v>
      </c>
      <c r="E15" s="2790">
        <f t="shared" si="0"/>
        <v>300</v>
      </c>
      <c r="F15" s="2790">
        <f t="shared" si="0"/>
        <v>300</v>
      </c>
      <c r="G15" s="2790">
        <f t="shared" si="0"/>
        <v>300</v>
      </c>
      <c r="H15" s="2790">
        <f t="shared" si="0"/>
        <v>300</v>
      </c>
      <c r="I15" s="2790">
        <f>SUM(I6:I10,I13)</f>
        <v>155</v>
      </c>
      <c r="J15" s="2790">
        <f t="shared" ref="J15:M15" si="1">SUM(J6:J10,J13)</f>
        <v>155</v>
      </c>
      <c r="K15" s="2790">
        <f t="shared" si="1"/>
        <v>155</v>
      </c>
      <c r="L15" s="2790">
        <f t="shared" si="1"/>
        <v>155</v>
      </c>
      <c r="M15" s="2790">
        <f t="shared" si="1"/>
        <v>155</v>
      </c>
    </row>
    <row r="16" spans="1:13" ht="19.5" customHeight="1">
      <c r="A16" s="1108" t="s">
        <v>1431</v>
      </c>
      <c r="B16" s="1108"/>
      <c r="C16" s="1109"/>
      <c r="D16" s="1109"/>
      <c r="E16" s="1108"/>
      <c r="F16" s="1109"/>
      <c r="G16" s="1109"/>
    </row>
    <row r="17" spans="1:9" ht="19.5" customHeight="1">
      <c r="A17" s="1050" t="s">
        <v>1432</v>
      </c>
      <c r="B17" s="1110" t="s">
        <v>1433</v>
      </c>
      <c r="C17" s="1110" t="s">
        <v>1631</v>
      </c>
      <c r="D17" s="1111"/>
      <c r="E17" s="1050" t="s">
        <v>1434</v>
      </c>
      <c r="F17" s="1112"/>
      <c r="G17" s="1112"/>
    </row>
    <row r="18" spans="1:9" s="1529" customFormat="1" ht="19.5" customHeight="1">
      <c r="A18" s="3618" t="s">
        <v>996</v>
      </c>
      <c r="B18" s="1136" t="s">
        <v>1435</v>
      </c>
      <c r="C18" s="1113" t="s">
        <v>1436</v>
      </c>
      <c r="D18" s="1114"/>
      <c r="E18" s="1136">
        <v>1</v>
      </c>
      <c r="F18" s="1115" t="s">
        <v>1437</v>
      </c>
      <c r="G18" s="1116"/>
      <c r="H18" s="1087"/>
      <c r="I18" s="1087"/>
    </row>
    <row r="19" spans="1:9" s="1529" customFormat="1" ht="19.5" customHeight="1">
      <c r="A19" s="3618"/>
      <c r="B19" s="3618" t="s">
        <v>1438</v>
      </c>
      <c r="C19" s="1113" t="s">
        <v>1439</v>
      </c>
      <c r="D19" s="1114"/>
      <c r="E19" s="1136">
        <v>0.9</v>
      </c>
      <c r="F19" s="1115" t="s">
        <v>1440</v>
      </c>
      <c r="G19" s="1116"/>
      <c r="H19" s="1087"/>
      <c r="I19" s="1087"/>
    </row>
    <row r="20" spans="1:9" s="1529" customFormat="1" ht="19.5" customHeight="1">
      <c r="A20" s="3618"/>
      <c r="B20" s="3618"/>
      <c r="C20" s="1113" t="s">
        <v>1441</v>
      </c>
      <c r="D20" s="1114"/>
      <c r="E20" s="1136">
        <v>1.1000000000000001</v>
      </c>
      <c r="F20" s="1115" t="s">
        <v>1442</v>
      </c>
      <c r="G20" s="1116"/>
      <c r="H20" s="1087"/>
      <c r="I20" s="1087"/>
    </row>
    <row r="21" spans="1:9" s="1529" customFormat="1" ht="19.5" customHeight="1">
      <c r="A21" s="3618"/>
      <c r="B21" s="3618"/>
      <c r="C21" s="1113" t="s">
        <v>1443</v>
      </c>
      <c r="D21" s="1114"/>
      <c r="E21" s="1136">
        <v>0.8</v>
      </c>
      <c r="F21" s="1115" t="s">
        <v>1444</v>
      </c>
      <c r="G21" s="1116"/>
      <c r="H21" s="1087"/>
      <c r="I21" s="1087"/>
    </row>
    <row r="22" spans="1:9" s="1529" customFormat="1" ht="19.5" customHeight="1">
      <c r="A22" s="3618"/>
      <c r="B22" s="3618"/>
      <c r="C22" s="1113" t="s">
        <v>1445</v>
      </c>
      <c r="D22" s="1114"/>
      <c r="E22" s="1136">
        <v>0.5</v>
      </c>
      <c r="F22" s="1115"/>
      <c r="G22" s="1116"/>
      <c r="H22" s="1087"/>
      <c r="I22" s="1087"/>
    </row>
    <row r="23" spans="1:9" s="1529" customFormat="1" ht="19.5" customHeight="1">
      <c r="A23" s="3618" t="s">
        <v>1018</v>
      </c>
      <c r="B23" s="1136" t="s">
        <v>1435</v>
      </c>
      <c r="C23" s="1113" t="s">
        <v>1446</v>
      </c>
      <c r="D23" s="1114"/>
      <c r="E23" s="1136">
        <v>1</v>
      </c>
      <c r="F23" s="1115" t="s">
        <v>1447</v>
      </c>
      <c r="G23" s="1116"/>
      <c r="H23" s="1087"/>
      <c r="I23" s="1087"/>
    </row>
    <row r="24" spans="1:9" s="1529" customFormat="1" ht="19.5" customHeight="1">
      <c r="A24" s="3618"/>
      <c r="B24" s="3618" t="s">
        <v>1438</v>
      </c>
      <c r="C24" s="1113" t="s">
        <v>1448</v>
      </c>
      <c r="D24" s="1114"/>
      <c r="E24" s="1136">
        <v>0.5</v>
      </c>
      <c r="F24" s="1115"/>
      <c r="G24" s="1116"/>
      <c r="H24" s="1087"/>
      <c r="I24" s="1087"/>
    </row>
    <row r="25" spans="1:9" s="1529" customFormat="1" ht="19.5" customHeight="1">
      <c r="A25" s="3618"/>
      <c r="B25" s="3618"/>
      <c r="C25" s="1113" t="s">
        <v>1449</v>
      </c>
      <c r="D25" s="1114"/>
      <c r="E25" s="1136">
        <v>1.1000000000000001</v>
      </c>
      <c r="F25" s="1115"/>
      <c r="G25" s="1116"/>
      <c r="H25" s="1087"/>
      <c r="I25" s="1087"/>
    </row>
    <row r="26" spans="1:9" s="1529" customFormat="1" ht="19.5" customHeight="1">
      <c r="A26" s="3618"/>
      <c r="B26" s="3618"/>
      <c r="C26" s="1113" t="s">
        <v>1450</v>
      </c>
      <c r="D26" s="1114"/>
      <c r="E26" s="1136">
        <v>1.1000000000000001</v>
      </c>
      <c r="F26" s="1115"/>
      <c r="G26" s="1116"/>
      <c r="H26" s="1087"/>
      <c r="I26" s="1087"/>
    </row>
    <row r="27" spans="1:9" s="1529" customFormat="1" ht="19.5" customHeight="1">
      <c r="A27" s="3618"/>
      <c r="B27" s="3618"/>
      <c r="C27" s="1113" t="s">
        <v>1451</v>
      </c>
      <c r="D27" s="1114"/>
      <c r="E27" s="1136">
        <v>0.9</v>
      </c>
      <c r="F27" s="1115" t="s">
        <v>1452</v>
      </c>
      <c r="G27" s="1116"/>
      <c r="H27" s="1087"/>
      <c r="I27" s="1087"/>
    </row>
    <row r="28" spans="1:9" s="1529" customFormat="1" ht="19.5" customHeight="1">
      <c r="A28" s="3618"/>
      <c r="B28" s="3618"/>
      <c r="C28" s="1113" t="s">
        <v>1453</v>
      </c>
      <c r="D28" s="1114"/>
      <c r="E28" s="1136">
        <v>0.9</v>
      </c>
      <c r="F28" s="1115" t="s">
        <v>1454</v>
      </c>
      <c r="G28" s="1116"/>
      <c r="H28" s="1087"/>
      <c r="I28" s="1087"/>
    </row>
    <row r="29" spans="1:9" s="1529" customFormat="1" ht="19.5" customHeight="1">
      <c r="A29" s="3618"/>
      <c r="B29" s="3618"/>
      <c r="C29" s="1113" t="s">
        <v>1455</v>
      </c>
      <c r="D29" s="1114"/>
      <c r="E29" s="1136">
        <v>0.9</v>
      </c>
      <c r="F29" s="1115" t="s">
        <v>1456</v>
      </c>
      <c r="G29" s="1116"/>
      <c r="H29" s="1087"/>
      <c r="I29" s="1087"/>
    </row>
    <row r="30" spans="1:9" s="1529" customFormat="1" ht="19.5" customHeight="1">
      <c r="A30" s="3618"/>
      <c r="B30" s="3618"/>
      <c r="C30" s="1113" t="s">
        <v>1457</v>
      </c>
      <c r="D30" s="1114"/>
      <c r="E30" s="1136">
        <v>0.9</v>
      </c>
      <c r="F30" s="1115" t="s">
        <v>1458</v>
      </c>
      <c r="G30" s="1116"/>
      <c r="H30" s="1087"/>
      <c r="I30" s="1087"/>
    </row>
    <row r="31" spans="1:9" s="1529" customFormat="1" ht="19.5" customHeight="1">
      <c r="A31" s="3618"/>
      <c r="B31" s="3618"/>
      <c r="C31" s="1113" t="s">
        <v>1459</v>
      </c>
      <c r="D31" s="1114"/>
      <c r="E31" s="1136">
        <v>0.8</v>
      </c>
      <c r="F31" s="1115" t="s">
        <v>1460</v>
      </c>
      <c r="G31" s="1116"/>
      <c r="H31" s="1087"/>
      <c r="I31" s="1087"/>
    </row>
    <row r="32" spans="1:9" s="1529" customFormat="1" ht="19.5" customHeight="1">
      <c r="A32" s="3618"/>
      <c r="B32" s="3618"/>
      <c r="C32" s="1113" t="s">
        <v>1461</v>
      </c>
      <c r="D32" s="1114"/>
      <c r="E32" s="1136">
        <v>0.8</v>
      </c>
      <c r="F32" s="1115" t="s">
        <v>1462</v>
      </c>
      <c r="G32" s="1116"/>
      <c r="H32" s="1087"/>
      <c r="I32" s="1087"/>
    </row>
    <row r="33" spans="1:9" s="1529" customFormat="1" ht="19.5" customHeight="1">
      <c r="A33" s="3618" t="s">
        <v>1463</v>
      </c>
      <c r="B33" s="1136" t="s">
        <v>1435</v>
      </c>
      <c r="C33" s="1113" t="s">
        <v>1464</v>
      </c>
      <c r="D33" s="1114"/>
      <c r="E33" s="1136">
        <v>1</v>
      </c>
      <c r="F33" s="1115" t="s">
        <v>1465</v>
      </c>
      <c r="G33" s="1116"/>
      <c r="H33" s="1087"/>
      <c r="I33" s="1087"/>
    </row>
    <row r="34" spans="1:9" s="1529" customFormat="1" ht="19.5" customHeight="1">
      <c r="A34" s="3618"/>
      <c r="B34" s="1136" t="s">
        <v>1438</v>
      </c>
      <c r="C34" s="1113" t="s">
        <v>1466</v>
      </c>
      <c r="D34" s="1114"/>
      <c r="E34" s="1136">
        <v>1.5</v>
      </c>
      <c r="F34" s="1115" t="s">
        <v>1467</v>
      </c>
      <c r="G34" s="1116"/>
      <c r="H34" s="1087"/>
      <c r="I34" s="1087"/>
    </row>
    <row r="35" spans="1:9" s="1529" customFormat="1" ht="19.5" customHeight="1">
      <c r="A35" s="3618" t="s">
        <v>1421</v>
      </c>
      <c r="B35" s="1136" t="s">
        <v>1435</v>
      </c>
      <c r="C35" s="1113" t="s">
        <v>1468</v>
      </c>
      <c r="D35" s="1114"/>
      <c r="E35" s="1136">
        <v>1</v>
      </c>
      <c r="F35" s="1115" t="s">
        <v>1469</v>
      </c>
      <c r="G35" s="1116"/>
      <c r="H35" s="1087"/>
      <c r="I35" s="1087"/>
    </row>
    <row r="36" spans="1:9" s="1529" customFormat="1" ht="19.5" customHeight="1">
      <c r="A36" s="3618"/>
      <c r="B36" s="3618" t="s">
        <v>1438</v>
      </c>
      <c r="C36" s="1113" t="s">
        <v>1470</v>
      </c>
      <c r="D36" s="1114"/>
      <c r="E36" s="1136">
        <v>1</v>
      </c>
      <c r="F36" s="1115" t="s">
        <v>1471</v>
      </c>
      <c r="G36" s="1116"/>
      <c r="H36" s="1087"/>
      <c r="I36" s="1087"/>
    </row>
    <row r="37" spans="1:9" s="1529" customFormat="1" ht="19.5" customHeight="1">
      <c r="A37" s="3618"/>
      <c r="B37" s="3618"/>
      <c r="C37" s="1113" t="s">
        <v>1472</v>
      </c>
      <c r="D37" s="1114"/>
      <c r="E37" s="1136">
        <v>1.5</v>
      </c>
      <c r="F37" s="1115" t="s">
        <v>1473</v>
      </c>
      <c r="G37" s="1116"/>
      <c r="H37" s="1087"/>
      <c r="I37" s="1087"/>
    </row>
    <row r="38" spans="1:9" s="1529" customFormat="1" ht="19.5" customHeight="1">
      <c r="A38" s="3618"/>
      <c r="B38" s="3618"/>
      <c r="C38" s="1113" t="s">
        <v>1474</v>
      </c>
      <c r="D38" s="1114"/>
      <c r="E38" s="1136">
        <v>1</v>
      </c>
      <c r="F38" s="1115" t="s">
        <v>1475</v>
      </c>
      <c r="G38" s="1116"/>
      <c r="H38" s="1087"/>
      <c r="I38" s="1087"/>
    </row>
    <row r="39" spans="1:9" s="1529" customFormat="1" ht="19.5" customHeight="1">
      <c r="A39" s="3618"/>
      <c r="B39" s="3618"/>
      <c r="C39" s="1113" t="s">
        <v>1476</v>
      </c>
      <c r="D39" s="1114"/>
      <c r="E39" s="1136">
        <v>1</v>
      </c>
      <c r="F39" s="1115" t="s">
        <v>1477</v>
      </c>
      <c r="G39" s="1116"/>
      <c r="H39" s="1087"/>
      <c r="I39" s="1087"/>
    </row>
    <row r="40" spans="1:9" s="1529" customFormat="1" ht="19.5" customHeight="1">
      <c r="A40" s="1530" t="s">
        <v>1478</v>
      </c>
      <c r="B40" s="1530"/>
      <c r="C40" s="1530"/>
      <c r="D40" s="1530"/>
      <c r="E40" s="1530"/>
      <c r="F40" s="1115"/>
      <c r="G40" s="1115"/>
      <c r="H40" s="1087"/>
      <c r="I40" s="1087"/>
    </row>
    <row r="42" spans="1:9" ht="19.5" customHeight="1">
      <c r="A42" s="1117"/>
      <c r="B42" s="1050" t="s">
        <v>1479</v>
      </c>
      <c r="C42" s="1050" t="s">
        <v>1479</v>
      </c>
      <c r="D42" s="1050" t="s">
        <v>1479</v>
      </c>
      <c r="E42" s="1135" t="s">
        <v>1479</v>
      </c>
      <c r="F42" s="1135" t="s">
        <v>1479</v>
      </c>
      <c r="G42" s="1135" t="s">
        <v>1480</v>
      </c>
      <c r="H42" s="1135" t="s">
        <v>1479</v>
      </c>
    </row>
    <row r="43" spans="1:9" ht="19.5" customHeight="1">
      <c r="A43" s="1118"/>
      <c r="B43" s="1135" t="s">
        <v>996</v>
      </c>
      <c r="C43" s="1135" t="s">
        <v>996</v>
      </c>
      <c r="D43" s="1135" t="s">
        <v>996</v>
      </c>
      <c r="E43" s="1135" t="s">
        <v>996</v>
      </c>
      <c r="F43" s="1050" t="s">
        <v>1018</v>
      </c>
      <c r="G43" s="1050" t="s">
        <v>1421</v>
      </c>
      <c r="H43" s="1050" t="s">
        <v>1481</v>
      </c>
    </row>
    <row r="44" spans="1:9" ht="19.5" customHeight="1">
      <c r="A44" s="1119"/>
      <c r="B44" s="1050">
        <v>1</v>
      </c>
      <c r="C44" s="1050">
        <v>2</v>
      </c>
      <c r="D44" s="1050">
        <v>3</v>
      </c>
      <c r="E44" s="1135">
        <v>4</v>
      </c>
      <c r="F44" s="1111" t="s">
        <v>1482</v>
      </c>
      <c r="G44" s="1111" t="s">
        <v>1482</v>
      </c>
      <c r="H44" s="1111" t="s">
        <v>1482</v>
      </c>
    </row>
    <row r="45" spans="1:9" ht="19.5" customHeight="1">
      <c r="A45" s="1134" t="s">
        <v>896</v>
      </c>
      <c r="B45" s="1050">
        <v>0.8</v>
      </c>
      <c r="C45" s="1050">
        <v>0.5</v>
      </c>
      <c r="D45" s="1050">
        <v>0.36</v>
      </c>
      <c r="E45" s="1050">
        <v>0.3</v>
      </c>
      <c r="F45" s="1111">
        <v>0.3</v>
      </c>
      <c r="G45" s="1050">
        <v>0.3</v>
      </c>
      <c r="H45" s="1050">
        <v>0.25</v>
      </c>
    </row>
    <row r="46" spans="1:9" ht="19.5" customHeight="1">
      <c r="A46" s="1134" t="s">
        <v>897</v>
      </c>
      <c r="B46" s="1050">
        <v>0.8</v>
      </c>
      <c r="C46" s="1050">
        <v>0.5</v>
      </c>
      <c r="D46" s="1050">
        <v>0.36</v>
      </c>
      <c r="E46" s="1050">
        <v>0.3</v>
      </c>
      <c r="F46" s="1050">
        <v>0.3</v>
      </c>
      <c r="G46" s="1050">
        <v>0.3</v>
      </c>
      <c r="H46" s="1050">
        <v>0.25</v>
      </c>
    </row>
    <row r="47" spans="1:9" ht="19.5" customHeight="1">
      <c r="A47" s="1134" t="s">
        <v>898</v>
      </c>
      <c r="B47" s="1050">
        <v>0.7</v>
      </c>
      <c r="C47" s="1050">
        <v>0.4</v>
      </c>
      <c r="D47" s="1050">
        <v>0.28000000000000003</v>
      </c>
      <c r="E47" s="1050">
        <v>0.25</v>
      </c>
      <c r="F47" s="1050">
        <v>0.25</v>
      </c>
      <c r="G47" s="1050">
        <v>0.25</v>
      </c>
      <c r="H47" s="1050">
        <v>0.2</v>
      </c>
    </row>
    <row r="48" spans="1:9" ht="19.5" customHeight="1">
      <c r="A48" s="1134" t="s">
        <v>899</v>
      </c>
      <c r="B48" s="1050">
        <v>0.7</v>
      </c>
      <c r="C48" s="1050">
        <v>0.4</v>
      </c>
      <c r="D48" s="1050">
        <v>0.28000000000000003</v>
      </c>
      <c r="E48" s="1050">
        <v>0.25</v>
      </c>
      <c r="F48" s="1050">
        <v>0.25</v>
      </c>
      <c r="G48" s="1050">
        <v>0.25</v>
      </c>
      <c r="H48" s="1050">
        <v>0.2</v>
      </c>
    </row>
    <row r="49" spans="1:8" s="1087" customFormat="1" ht="19.5" customHeight="1">
      <c r="A49" s="1134" t="s">
        <v>900</v>
      </c>
      <c r="B49" s="1050">
        <v>0.7</v>
      </c>
      <c r="C49" s="1050">
        <v>0.4</v>
      </c>
      <c r="D49" s="1050">
        <v>0.28000000000000003</v>
      </c>
      <c r="E49" s="1050">
        <v>0.25</v>
      </c>
      <c r="F49" s="1050">
        <v>0.25</v>
      </c>
      <c r="G49" s="1050">
        <v>0.25</v>
      </c>
      <c r="H49" s="1050">
        <v>0.2</v>
      </c>
    </row>
    <row r="50" spans="1:8" s="1087" customFormat="1" ht="19.5" customHeight="1">
      <c r="A50" s="1134" t="s">
        <v>901</v>
      </c>
      <c r="B50" s="1050">
        <v>0.7</v>
      </c>
      <c r="C50" s="1050">
        <v>0.4</v>
      </c>
      <c r="D50" s="1050">
        <v>0.28000000000000003</v>
      </c>
      <c r="E50" s="1050">
        <v>0.25</v>
      </c>
      <c r="F50" s="1050">
        <v>0.25</v>
      </c>
      <c r="G50" s="1050">
        <v>0.25</v>
      </c>
      <c r="H50" s="1050">
        <v>0.2</v>
      </c>
    </row>
    <row r="51" spans="1:8" s="1087" customFormat="1" ht="19.5" customHeight="1">
      <c r="A51" s="1134" t="s">
        <v>902</v>
      </c>
      <c r="B51" s="1050">
        <v>0.7</v>
      </c>
      <c r="C51" s="1050">
        <v>0.4</v>
      </c>
      <c r="D51" s="1050">
        <v>0.28000000000000003</v>
      </c>
      <c r="E51" s="1050">
        <v>0.25</v>
      </c>
      <c r="F51" s="1050">
        <v>0.25</v>
      </c>
      <c r="G51" s="1050">
        <v>0.25</v>
      </c>
      <c r="H51" s="1050">
        <v>0.2</v>
      </c>
    </row>
    <row r="52" spans="1:8" s="1087" customFormat="1" ht="19.5" customHeight="1">
      <c r="A52" s="1134" t="s">
        <v>903</v>
      </c>
      <c r="B52" s="1050">
        <v>0.6</v>
      </c>
      <c r="C52" s="1050">
        <v>0.3</v>
      </c>
      <c r="D52" s="1050">
        <v>0.2</v>
      </c>
      <c r="E52" s="1050">
        <v>0.2</v>
      </c>
      <c r="F52" s="1050">
        <v>0.2</v>
      </c>
      <c r="G52" s="1050">
        <v>0.2</v>
      </c>
      <c r="H52" s="1050">
        <v>0.15</v>
      </c>
    </row>
    <row r="53" spans="1:8" s="1087" customFormat="1" ht="19.5" customHeight="1">
      <c r="A53" s="1134" t="s">
        <v>904</v>
      </c>
      <c r="B53" s="1050">
        <v>0.6</v>
      </c>
      <c r="C53" s="1050">
        <v>0.3</v>
      </c>
      <c r="D53" s="1050">
        <v>0.2</v>
      </c>
      <c r="E53" s="1050">
        <v>0.2</v>
      </c>
      <c r="F53" s="1050">
        <v>0.2</v>
      </c>
      <c r="G53" s="1050">
        <v>0.2</v>
      </c>
      <c r="H53" s="1050">
        <v>0.15</v>
      </c>
    </row>
    <row r="54" spans="1:8" s="1087" customFormat="1" ht="19.5" customHeight="1">
      <c r="A54" s="1134" t="s">
        <v>905</v>
      </c>
      <c r="B54" s="1050">
        <v>0.6</v>
      </c>
      <c r="C54" s="1050">
        <v>0.3</v>
      </c>
      <c r="D54" s="1050">
        <v>0.2</v>
      </c>
      <c r="E54" s="1050">
        <v>0.2</v>
      </c>
      <c r="F54" s="1050">
        <v>0.2</v>
      </c>
      <c r="G54" s="1050">
        <v>0.2</v>
      </c>
      <c r="H54" s="1050">
        <v>0.15</v>
      </c>
    </row>
    <row r="55" spans="1:8" s="1087" customFormat="1" ht="19.5" customHeight="1">
      <c r="A55" s="1134" t="s">
        <v>906</v>
      </c>
      <c r="B55" s="1050">
        <v>0.6</v>
      </c>
      <c r="C55" s="1050">
        <v>0.3</v>
      </c>
      <c r="D55" s="1050">
        <v>0.2</v>
      </c>
      <c r="E55" s="1050">
        <v>0.2</v>
      </c>
      <c r="F55" s="1050">
        <v>0.2</v>
      </c>
      <c r="G55" s="1050">
        <v>0.2</v>
      </c>
      <c r="H55" s="1050">
        <v>0.15</v>
      </c>
    </row>
    <row r="56" spans="1:8" s="1087" customFormat="1" ht="19.5" customHeight="1">
      <c r="A56" s="1134" t="s">
        <v>907</v>
      </c>
      <c r="B56" s="1050">
        <v>0.6</v>
      </c>
      <c r="C56" s="1050">
        <v>0.3</v>
      </c>
      <c r="D56" s="1050">
        <v>0.2</v>
      </c>
      <c r="E56" s="1050">
        <v>0.2</v>
      </c>
      <c r="F56" s="1050">
        <v>0.2</v>
      </c>
      <c r="G56" s="1050">
        <v>0.2</v>
      </c>
      <c r="H56" s="1050">
        <v>0.15</v>
      </c>
    </row>
    <row r="58" spans="1:8" s="1087" customFormat="1" ht="19.5" customHeight="1">
      <c r="A58" s="1120"/>
      <c r="B58" s="1108"/>
      <c r="C58" s="1108"/>
      <c r="D58" s="1108" t="s">
        <v>1483</v>
      </c>
      <c r="E58" s="1108"/>
      <c r="F58" s="1108"/>
    </row>
    <row r="59" spans="1:8" s="1087" customFormat="1" ht="19.5" customHeight="1">
      <c r="A59" s="1136" t="s">
        <v>1484</v>
      </c>
      <c r="B59" s="1136" t="s">
        <v>1485</v>
      </c>
      <c r="C59" s="1136" t="s">
        <v>1486</v>
      </c>
      <c r="D59" s="1136" t="s">
        <v>1487</v>
      </c>
      <c r="E59" s="1136" t="s">
        <v>1488</v>
      </c>
      <c r="F59" s="1136" t="s">
        <v>1489</v>
      </c>
    </row>
    <row r="60" spans="1:8" s="1087" customFormat="1" ht="19.5" customHeight="1">
      <c r="A60" s="1136"/>
      <c r="B60" s="1136"/>
      <c r="C60" s="1136" t="s">
        <v>1621</v>
      </c>
      <c r="D60" s="1136"/>
      <c r="E60" s="1121" t="s">
        <v>1430</v>
      </c>
      <c r="F60" s="1136" t="s">
        <v>1430</v>
      </c>
    </row>
    <row r="61" spans="1:8" s="1087" customFormat="1" ht="24">
      <c r="A61" s="1136">
        <v>1</v>
      </c>
      <c r="B61" s="3618" t="s">
        <v>1490</v>
      </c>
      <c r="C61" s="1050" t="s">
        <v>1491</v>
      </c>
      <c r="D61" s="1050" t="s">
        <v>1492</v>
      </c>
      <c r="E61" s="1121">
        <v>0.5</v>
      </c>
      <c r="F61" s="1136">
        <v>80</v>
      </c>
      <c r="H61" s="1087">
        <f>SUMIF(C59:C119,'基准地价-商'!C8,E59:E119)</f>
        <v>0</v>
      </c>
    </row>
    <row r="62" spans="1:8" s="1087" customFormat="1" ht="24">
      <c r="A62" s="1136">
        <v>2</v>
      </c>
      <c r="B62" s="3618"/>
      <c r="C62" s="1050" t="s">
        <v>1493</v>
      </c>
      <c r="D62" s="1050" t="s">
        <v>1494</v>
      </c>
      <c r="E62" s="1121">
        <v>0.5</v>
      </c>
      <c r="F62" s="1136">
        <v>80</v>
      </c>
    </row>
    <row r="63" spans="1:8" s="1087" customFormat="1" ht="36">
      <c r="A63" s="1136">
        <v>3</v>
      </c>
      <c r="B63" s="3618"/>
      <c r="C63" s="1050" t="s">
        <v>1495</v>
      </c>
      <c r="D63" s="1050" t="s">
        <v>1496</v>
      </c>
      <c r="E63" s="1121">
        <v>0.5</v>
      </c>
      <c r="F63" s="1136">
        <v>80</v>
      </c>
    </row>
    <row r="64" spans="1:8" s="1087" customFormat="1" ht="36">
      <c r="A64" s="1136">
        <v>4</v>
      </c>
      <c r="B64" s="3618"/>
      <c r="C64" s="1050" t="s">
        <v>1497</v>
      </c>
      <c r="D64" s="1050" t="s">
        <v>1498</v>
      </c>
      <c r="E64" s="1121">
        <v>0.4</v>
      </c>
      <c r="F64" s="1136">
        <v>60</v>
      </c>
    </row>
    <row r="65" spans="1:6" s="1087" customFormat="1" ht="36">
      <c r="A65" s="1136">
        <v>5</v>
      </c>
      <c r="B65" s="3618"/>
      <c r="C65" s="1050" t="s">
        <v>1499</v>
      </c>
      <c r="D65" s="1050" t="s">
        <v>1500</v>
      </c>
      <c r="E65" s="1121">
        <v>0.2</v>
      </c>
      <c r="F65" s="1136">
        <v>30</v>
      </c>
    </row>
    <row r="66" spans="1:6" s="1087" customFormat="1" ht="36">
      <c r="A66" s="1136">
        <v>6</v>
      </c>
      <c r="B66" s="3618"/>
      <c r="C66" s="1050" t="s">
        <v>1501</v>
      </c>
      <c r="D66" s="1050" t="s">
        <v>1502</v>
      </c>
      <c r="E66" s="1121">
        <v>0.3</v>
      </c>
      <c r="F66" s="1136">
        <v>50</v>
      </c>
    </row>
    <row r="67" spans="1:6" s="1087" customFormat="1" ht="36">
      <c r="A67" s="1136">
        <v>7</v>
      </c>
      <c r="B67" s="3618"/>
      <c r="C67" s="1050" t="s">
        <v>1503</v>
      </c>
      <c r="D67" s="1050" t="s">
        <v>1504</v>
      </c>
      <c r="E67" s="1121">
        <v>0.2</v>
      </c>
      <c r="F67" s="1136">
        <v>30</v>
      </c>
    </row>
    <row r="68" spans="1:6" s="1087" customFormat="1" ht="36">
      <c r="A68" s="1136">
        <v>8</v>
      </c>
      <c r="B68" s="3618"/>
      <c r="C68" s="1050" t="s">
        <v>1505</v>
      </c>
      <c r="D68" s="1050" t="s">
        <v>1506</v>
      </c>
      <c r="E68" s="1121">
        <v>0.2</v>
      </c>
      <c r="F68" s="1136">
        <v>30</v>
      </c>
    </row>
    <row r="69" spans="1:6" s="1087" customFormat="1" ht="36">
      <c r="A69" s="1136">
        <v>9</v>
      </c>
      <c r="B69" s="3618"/>
      <c r="C69" s="1050" t="s">
        <v>1507</v>
      </c>
      <c r="D69" s="1050" t="s">
        <v>1508</v>
      </c>
      <c r="E69" s="1121">
        <v>0.2</v>
      </c>
      <c r="F69" s="1136">
        <v>30</v>
      </c>
    </row>
    <row r="70" spans="1:6" s="1087" customFormat="1" ht="48">
      <c r="A70" s="1136">
        <v>10</v>
      </c>
      <c r="B70" s="3618"/>
      <c r="C70" s="1050" t="s">
        <v>1509</v>
      </c>
      <c r="D70" s="1050" t="s">
        <v>1510</v>
      </c>
      <c r="E70" s="1121">
        <v>0.2</v>
      </c>
      <c r="F70" s="1136">
        <v>30</v>
      </c>
    </row>
    <row r="71" spans="1:6" s="1087" customFormat="1" ht="48">
      <c r="A71" s="1136">
        <v>11</v>
      </c>
      <c r="B71" s="3618"/>
      <c r="C71" s="1050" t="s">
        <v>1511</v>
      </c>
      <c r="D71" s="1050" t="s">
        <v>1512</v>
      </c>
      <c r="E71" s="1121">
        <v>0.2</v>
      </c>
      <c r="F71" s="1136">
        <v>30</v>
      </c>
    </row>
    <row r="72" spans="1:6" s="1087" customFormat="1" ht="36">
      <c r="A72" s="1136">
        <v>12</v>
      </c>
      <c r="B72" s="3618"/>
      <c r="C72" s="1050" t="s">
        <v>1513</v>
      </c>
      <c r="D72" s="1050" t="s">
        <v>1514</v>
      </c>
      <c r="E72" s="1121">
        <v>0.5</v>
      </c>
      <c r="F72" s="1136">
        <v>80</v>
      </c>
    </row>
    <row r="73" spans="1:6" s="1087" customFormat="1" ht="24">
      <c r="A73" s="1136">
        <v>13</v>
      </c>
      <c r="B73" s="3618"/>
      <c r="C73" s="1050" t="s">
        <v>1515</v>
      </c>
      <c r="D73" s="1050" t="s">
        <v>1516</v>
      </c>
      <c r="E73" s="1121">
        <v>0.4</v>
      </c>
      <c r="F73" s="1136">
        <v>60</v>
      </c>
    </row>
    <row r="74" spans="1:6" s="1087" customFormat="1" ht="24">
      <c r="A74" s="1136">
        <v>14</v>
      </c>
      <c r="B74" s="3618"/>
      <c r="C74" s="1050" t="s">
        <v>1517</v>
      </c>
      <c r="D74" s="1050" t="s">
        <v>1518</v>
      </c>
      <c r="E74" s="1121">
        <v>0.2</v>
      </c>
      <c r="F74" s="1136">
        <v>30</v>
      </c>
    </row>
    <row r="75" spans="1:6" s="1087" customFormat="1" ht="24">
      <c r="A75" s="1136">
        <v>15</v>
      </c>
      <c r="B75" s="3618"/>
      <c r="C75" s="1050" t="s">
        <v>1519</v>
      </c>
      <c r="D75" s="1050" t="s">
        <v>1520</v>
      </c>
      <c r="E75" s="1121">
        <v>0.2</v>
      </c>
      <c r="F75" s="1136">
        <v>30</v>
      </c>
    </row>
    <row r="76" spans="1:6" s="1087" customFormat="1" ht="24">
      <c r="A76" s="1136">
        <v>16</v>
      </c>
      <c r="B76" s="3618" t="s">
        <v>1521</v>
      </c>
      <c r="C76" s="1050" t="s">
        <v>1522</v>
      </c>
      <c r="D76" s="1050" t="s">
        <v>1523</v>
      </c>
      <c r="E76" s="1121">
        <v>0.5</v>
      </c>
      <c r="F76" s="1136">
        <v>80</v>
      </c>
    </row>
    <row r="77" spans="1:6" s="1087" customFormat="1" ht="24">
      <c r="A77" s="1136">
        <v>17</v>
      </c>
      <c r="B77" s="3618"/>
      <c r="C77" s="1050" t="s">
        <v>1524</v>
      </c>
      <c r="D77" s="1050" t="s">
        <v>1525</v>
      </c>
      <c r="E77" s="1121">
        <v>0.5</v>
      </c>
      <c r="F77" s="1136">
        <v>80</v>
      </c>
    </row>
    <row r="78" spans="1:6" s="1087" customFormat="1" ht="24">
      <c r="A78" s="1136">
        <v>18</v>
      </c>
      <c r="B78" s="3618"/>
      <c r="C78" s="1050" t="s">
        <v>1526</v>
      </c>
      <c r="D78" s="1050" t="s">
        <v>1527</v>
      </c>
      <c r="E78" s="1121">
        <v>0.2</v>
      </c>
      <c r="F78" s="1136">
        <v>30</v>
      </c>
    </row>
    <row r="79" spans="1:6" s="1087" customFormat="1" ht="24">
      <c r="A79" s="1136">
        <v>19</v>
      </c>
      <c r="B79" s="3618"/>
      <c r="C79" s="1050" t="s">
        <v>1528</v>
      </c>
      <c r="D79" s="1050" t="s">
        <v>1529</v>
      </c>
      <c r="E79" s="1121">
        <v>0.5</v>
      </c>
      <c r="F79" s="1136">
        <v>80</v>
      </c>
    </row>
    <row r="80" spans="1:6" s="1087" customFormat="1" ht="36">
      <c r="A80" s="1136">
        <v>20</v>
      </c>
      <c r="B80" s="3618"/>
      <c r="C80" s="1050" t="s">
        <v>1530</v>
      </c>
      <c r="D80" s="1050" t="s">
        <v>1531</v>
      </c>
      <c r="E80" s="1121">
        <v>0.2</v>
      </c>
      <c r="F80" s="1136">
        <v>30</v>
      </c>
    </row>
    <row r="81" spans="1:6" s="1087" customFormat="1" ht="36">
      <c r="A81" s="1136">
        <v>21</v>
      </c>
      <c r="B81" s="3618"/>
      <c r="C81" s="1050" t="s">
        <v>1532</v>
      </c>
      <c r="D81" s="1050" t="s">
        <v>1533</v>
      </c>
      <c r="E81" s="1121">
        <v>0.2</v>
      </c>
      <c r="F81" s="1136">
        <v>30</v>
      </c>
    </row>
    <row r="82" spans="1:6" s="1087" customFormat="1" ht="48">
      <c r="A82" s="1136">
        <v>22</v>
      </c>
      <c r="B82" s="3618"/>
      <c r="C82" s="1050" t="s">
        <v>1534</v>
      </c>
      <c r="D82" s="1050" t="s">
        <v>1535</v>
      </c>
      <c r="E82" s="1121">
        <v>0.2</v>
      </c>
      <c r="F82" s="1136">
        <v>30</v>
      </c>
    </row>
    <row r="83" spans="1:6" s="1087" customFormat="1" ht="48">
      <c r="A83" s="1136">
        <v>23</v>
      </c>
      <c r="B83" s="3618"/>
      <c r="C83" s="1050" t="s">
        <v>1536</v>
      </c>
      <c r="D83" s="1050" t="s">
        <v>1537</v>
      </c>
      <c r="E83" s="1121">
        <v>0.2</v>
      </c>
      <c r="F83" s="1136">
        <v>30</v>
      </c>
    </row>
    <row r="84" spans="1:6" s="1087" customFormat="1" ht="36">
      <c r="A84" s="1136">
        <v>24</v>
      </c>
      <c r="B84" s="3618"/>
      <c r="C84" s="1050" t="s">
        <v>1538</v>
      </c>
      <c r="D84" s="1050" t="s">
        <v>1539</v>
      </c>
      <c r="E84" s="1121">
        <v>0.2</v>
      </c>
      <c r="F84" s="1136">
        <v>30</v>
      </c>
    </row>
    <row r="85" spans="1:6" s="1087" customFormat="1" ht="36">
      <c r="A85" s="1136">
        <v>25</v>
      </c>
      <c r="B85" s="3618"/>
      <c r="C85" s="1050" t="s">
        <v>1540</v>
      </c>
      <c r="D85" s="1050" t="s">
        <v>1541</v>
      </c>
      <c r="E85" s="1121">
        <v>0.5</v>
      </c>
      <c r="F85" s="1136">
        <v>80</v>
      </c>
    </row>
    <row r="86" spans="1:6" s="1087" customFormat="1" ht="36">
      <c r="A86" s="1136">
        <v>26</v>
      </c>
      <c r="B86" s="3618"/>
      <c r="C86" s="1050" t="s">
        <v>1542</v>
      </c>
      <c r="D86" s="1050" t="s">
        <v>1543</v>
      </c>
      <c r="E86" s="1121">
        <v>0.2</v>
      </c>
      <c r="F86" s="1136">
        <v>30</v>
      </c>
    </row>
    <row r="87" spans="1:6" s="1087" customFormat="1" ht="36">
      <c r="A87" s="1136">
        <v>27</v>
      </c>
      <c r="B87" s="3618"/>
      <c r="C87" s="1050" t="s">
        <v>1544</v>
      </c>
      <c r="D87" s="1050" t="s">
        <v>1545</v>
      </c>
      <c r="E87" s="1121">
        <v>0.2</v>
      </c>
      <c r="F87" s="1136">
        <v>30</v>
      </c>
    </row>
    <row r="88" spans="1:6" s="1087" customFormat="1" ht="36">
      <c r="A88" s="1136">
        <v>28</v>
      </c>
      <c r="B88" s="3618"/>
      <c r="C88" s="1050" t="s">
        <v>1546</v>
      </c>
      <c r="D88" s="1050" t="s">
        <v>1547</v>
      </c>
      <c r="E88" s="1121">
        <v>0.2</v>
      </c>
      <c r="F88" s="1136">
        <v>30</v>
      </c>
    </row>
    <row r="89" spans="1:6" s="1087" customFormat="1" ht="24">
      <c r="A89" s="1136">
        <v>29</v>
      </c>
      <c r="B89" s="3618"/>
      <c r="C89" s="1050" t="s">
        <v>1548</v>
      </c>
      <c r="D89" s="1050" t="s">
        <v>1549</v>
      </c>
      <c r="E89" s="1121">
        <v>0.2</v>
      </c>
      <c r="F89" s="1136">
        <v>30</v>
      </c>
    </row>
    <row r="90" spans="1:6" s="1087" customFormat="1" ht="24">
      <c r="A90" s="1136">
        <v>30</v>
      </c>
      <c r="B90" s="3618"/>
      <c r="C90" s="1050" t="s">
        <v>1550</v>
      </c>
      <c r="D90" s="1050" t="s">
        <v>1551</v>
      </c>
      <c r="E90" s="1121">
        <v>0.2</v>
      </c>
      <c r="F90" s="1136">
        <v>30</v>
      </c>
    </row>
    <row r="91" spans="1:6" s="1087" customFormat="1" ht="36">
      <c r="A91" s="1136">
        <v>31</v>
      </c>
      <c r="B91" s="3618"/>
      <c r="C91" s="1050" t="s">
        <v>1552</v>
      </c>
      <c r="D91" s="1050" t="s">
        <v>1553</v>
      </c>
      <c r="E91" s="1121">
        <v>0.2</v>
      </c>
      <c r="F91" s="1136">
        <v>30</v>
      </c>
    </row>
    <row r="92" spans="1:6" s="1087" customFormat="1" ht="24">
      <c r="A92" s="1136">
        <v>32</v>
      </c>
      <c r="B92" s="3618" t="s">
        <v>1554</v>
      </c>
      <c r="C92" s="1136" t="s">
        <v>1555</v>
      </c>
      <c r="D92" s="1050" t="s">
        <v>1556</v>
      </c>
      <c r="E92" s="1121">
        <v>0.2</v>
      </c>
      <c r="F92" s="1136">
        <v>30</v>
      </c>
    </row>
    <row r="93" spans="1:6" s="1087" customFormat="1" ht="36">
      <c r="A93" s="1136">
        <v>33</v>
      </c>
      <c r="B93" s="3618"/>
      <c r="C93" s="1136" t="s">
        <v>1557</v>
      </c>
      <c r="D93" s="1050" t="s">
        <v>1558</v>
      </c>
      <c r="E93" s="1121">
        <v>0.2</v>
      </c>
      <c r="F93" s="1136">
        <v>30</v>
      </c>
    </row>
    <row r="94" spans="1:6" s="1087" customFormat="1" ht="48">
      <c r="A94" s="1136">
        <v>34</v>
      </c>
      <c r="B94" s="3618"/>
      <c r="C94" s="1136" t="s">
        <v>1559</v>
      </c>
      <c r="D94" s="1050" t="s">
        <v>1560</v>
      </c>
      <c r="E94" s="1121">
        <v>0.2</v>
      </c>
      <c r="F94" s="1136">
        <v>30</v>
      </c>
    </row>
    <row r="95" spans="1:6" s="1087" customFormat="1" ht="36">
      <c r="A95" s="1136">
        <v>35</v>
      </c>
      <c r="B95" s="3618"/>
      <c r="C95" s="1136" t="s">
        <v>1561</v>
      </c>
      <c r="D95" s="1050" t="s">
        <v>1562</v>
      </c>
      <c r="E95" s="1121">
        <v>0.2</v>
      </c>
      <c r="F95" s="1136">
        <v>30</v>
      </c>
    </row>
    <row r="96" spans="1:6" s="1087" customFormat="1" ht="48">
      <c r="A96" s="1136">
        <v>36</v>
      </c>
      <c r="B96" s="3618"/>
      <c r="C96" s="1050" t="s">
        <v>1563</v>
      </c>
      <c r="D96" s="1050" t="s">
        <v>1564</v>
      </c>
      <c r="E96" s="1121">
        <v>0.2</v>
      </c>
      <c r="F96" s="1136">
        <v>30</v>
      </c>
    </row>
    <row r="97" spans="1:6" s="1087" customFormat="1" ht="36">
      <c r="A97" s="1136">
        <v>37</v>
      </c>
      <c r="B97" s="3618"/>
      <c r="C97" s="1136" t="s">
        <v>1565</v>
      </c>
      <c r="D97" s="1050" t="s">
        <v>1566</v>
      </c>
      <c r="E97" s="1121">
        <v>0.2</v>
      </c>
      <c r="F97" s="1136">
        <v>30</v>
      </c>
    </row>
    <row r="98" spans="1:6" s="1087" customFormat="1" ht="36">
      <c r="A98" s="1136">
        <v>38</v>
      </c>
      <c r="B98" s="3618"/>
      <c r="C98" s="1136" t="s">
        <v>1567</v>
      </c>
      <c r="D98" s="1050" t="s">
        <v>1568</v>
      </c>
      <c r="E98" s="1121">
        <v>0.2</v>
      </c>
      <c r="F98" s="1136">
        <v>30</v>
      </c>
    </row>
    <row r="99" spans="1:6" s="1087" customFormat="1" ht="36">
      <c r="A99" s="1136">
        <v>39</v>
      </c>
      <c r="B99" s="3618" t="s">
        <v>1569</v>
      </c>
      <c r="C99" s="1136" t="s">
        <v>1570</v>
      </c>
      <c r="D99" s="1050" t="s">
        <v>1571</v>
      </c>
      <c r="E99" s="1121">
        <v>0.3</v>
      </c>
      <c r="F99" s="1136">
        <v>50</v>
      </c>
    </row>
    <row r="100" spans="1:6" s="1087" customFormat="1" ht="24">
      <c r="A100" s="1136">
        <v>40</v>
      </c>
      <c r="B100" s="3618"/>
      <c r="C100" s="1136" t="s">
        <v>1572</v>
      </c>
      <c r="D100" s="1050" t="s">
        <v>1573</v>
      </c>
      <c r="E100" s="1121">
        <v>0.2</v>
      </c>
      <c r="F100" s="1136">
        <v>30</v>
      </c>
    </row>
    <row r="101" spans="1:6" s="1087" customFormat="1" ht="36">
      <c r="A101" s="1136">
        <v>41</v>
      </c>
      <c r="B101" s="3618"/>
      <c r="C101" s="1136" t="s">
        <v>1574</v>
      </c>
      <c r="D101" s="1050" t="s">
        <v>1571</v>
      </c>
      <c r="E101" s="1121">
        <v>0.2</v>
      </c>
      <c r="F101" s="1136">
        <v>30</v>
      </c>
    </row>
    <row r="102" spans="1:6" s="1087" customFormat="1" ht="48">
      <c r="A102" s="1136">
        <v>42</v>
      </c>
      <c r="B102" s="1136" t="s">
        <v>1575</v>
      </c>
      <c r="C102" s="1050" t="s">
        <v>1576</v>
      </c>
      <c r="D102" s="1050" t="s">
        <v>1577</v>
      </c>
      <c r="E102" s="1121">
        <v>0.2</v>
      </c>
      <c r="F102" s="1136">
        <v>30</v>
      </c>
    </row>
    <row r="103" spans="1:6" s="1087" customFormat="1" ht="24">
      <c r="A103" s="1136">
        <v>43</v>
      </c>
      <c r="B103" s="1136" t="s">
        <v>1578</v>
      </c>
      <c r="C103" s="1136" t="s">
        <v>1579</v>
      </c>
      <c r="D103" s="1050" t="s">
        <v>1580</v>
      </c>
      <c r="E103" s="1121">
        <v>0.2</v>
      </c>
      <c r="F103" s="1136">
        <v>30</v>
      </c>
    </row>
    <row r="104" spans="1:6" s="1087" customFormat="1" ht="36">
      <c r="A104" s="1136">
        <v>44</v>
      </c>
      <c r="B104" s="1136" t="s">
        <v>1581</v>
      </c>
      <c r="C104" s="1136" t="s">
        <v>1582</v>
      </c>
      <c r="D104" s="1050" t="s">
        <v>1583</v>
      </c>
      <c r="E104" s="1121">
        <v>0.2</v>
      </c>
      <c r="F104" s="1136">
        <v>30</v>
      </c>
    </row>
    <row r="105" spans="1:6" s="1087" customFormat="1" ht="36">
      <c r="A105" s="1136">
        <v>45</v>
      </c>
      <c r="B105" s="3618" t="s">
        <v>1584</v>
      </c>
      <c r="C105" s="1136" t="s">
        <v>1585</v>
      </c>
      <c r="D105" s="1050" t="s">
        <v>1586</v>
      </c>
      <c r="E105" s="1121">
        <v>0.2</v>
      </c>
      <c r="F105" s="1136">
        <v>30</v>
      </c>
    </row>
    <row r="106" spans="1:6" s="1087" customFormat="1" ht="36">
      <c r="A106" s="1136">
        <v>46</v>
      </c>
      <c r="B106" s="3618"/>
      <c r="C106" s="1136" t="s">
        <v>1587</v>
      </c>
      <c r="D106" s="1050" t="s">
        <v>1588</v>
      </c>
      <c r="E106" s="1121">
        <v>0.2</v>
      </c>
      <c r="F106" s="1136">
        <v>30</v>
      </c>
    </row>
    <row r="107" spans="1:6" s="1087" customFormat="1" ht="36">
      <c r="A107" s="1136">
        <v>47</v>
      </c>
      <c r="B107" s="3618" t="s">
        <v>1589</v>
      </c>
      <c r="C107" s="1136" t="s">
        <v>1590</v>
      </c>
      <c r="D107" s="1050" t="s">
        <v>1591</v>
      </c>
      <c r="E107" s="1121">
        <v>0.3</v>
      </c>
      <c r="F107" s="1136">
        <v>50</v>
      </c>
    </row>
    <row r="108" spans="1:6" s="1087" customFormat="1" ht="36">
      <c r="A108" s="1136">
        <v>48</v>
      </c>
      <c r="B108" s="3618"/>
      <c r="C108" s="1136" t="s">
        <v>1592</v>
      </c>
      <c r="D108" s="1050" t="s">
        <v>1593</v>
      </c>
      <c r="E108" s="1121">
        <v>0.2</v>
      </c>
      <c r="F108" s="1136">
        <v>30</v>
      </c>
    </row>
    <row r="109" spans="1:6" s="1087" customFormat="1" ht="36">
      <c r="A109" s="1136">
        <v>49</v>
      </c>
      <c r="B109" s="1136" t="s">
        <v>1594</v>
      </c>
      <c r="C109" s="1136" t="s">
        <v>1595</v>
      </c>
      <c r="D109" s="1050" t="s">
        <v>1596</v>
      </c>
      <c r="E109" s="1121">
        <v>0.2</v>
      </c>
      <c r="F109" s="1136">
        <v>30</v>
      </c>
    </row>
    <row r="110" spans="1:6" s="1087" customFormat="1" ht="36">
      <c r="A110" s="1136">
        <v>50</v>
      </c>
      <c r="B110" s="1136" t="s">
        <v>1597</v>
      </c>
      <c r="C110" s="1136" t="s">
        <v>1598</v>
      </c>
      <c r="D110" s="1050" t="s">
        <v>1599</v>
      </c>
      <c r="E110" s="1121">
        <v>0.2</v>
      </c>
      <c r="F110" s="1136">
        <v>30</v>
      </c>
    </row>
    <row r="111" spans="1:6" s="1087" customFormat="1" ht="36">
      <c r="A111" s="1136">
        <v>51</v>
      </c>
      <c r="B111" s="3618" t="s">
        <v>1600</v>
      </c>
      <c r="C111" s="1136" t="s">
        <v>1601</v>
      </c>
      <c r="D111" s="1050" t="s">
        <v>1602</v>
      </c>
      <c r="E111" s="1121">
        <v>0.2</v>
      </c>
      <c r="F111" s="1136">
        <v>30</v>
      </c>
    </row>
    <row r="112" spans="1:6" s="1087" customFormat="1" ht="24">
      <c r="A112" s="1136">
        <v>52</v>
      </c>
      <c r="B112" s="3618"/>
      <c r="C112" s="1136" t="s">
        <v>1603</v>
      </c>
      <c r="D112" s="1050" t="s">
        <v>1604</v>
      </c>
      <c r="E112" s="1121">
        <v>0.2</v>
      </c>
      <c r="F112" s="1136">
        <v>30</v>
      </c>
    </row>
    <row r="113" spans="1:14" s="1087" customFormat="1" ht="24">
      <c r="A113" s="1136">
        <v>53</v>
      </c>
      <c r="B113" s="3618"/>
      <c r="C113" s="1136" t="s">
        <v>1605</v>
      </c>
      <c r="D113" s="1050" t="s">
        <v>1606</v>
      </c>
      <c r="E113" s="1121">
        <v>0.2</v>
      </c>
      <c r="F113" s="1136">
        <v>30</v>
      </c>
    </row>
    <row r="114" spans="1:14" ht="36">
      <c r="A114" s="1136">
        <v>54</v>
      </c>
      <c r="B114" s="1136" t="s">
        <v>1607</v>
      </c>
      <c r="C114" s="1136" t="s">
        <v>1608</v>
      </c>
      <c r="D114" s="1050" t="s">
        <v>1609</v>
      </c>
      <c r="E114" s="1121">
        <v>0.2</v>
      </c>
      <c r="F114" s="1136">
        <v>30</v>
      </c>
    </row>
    <row r="115" spans="1:14" ht="24">
      <c r="A115" s="1136">
        <v>55</v>
      </c>
      <c r="B115" s="1136" t="s">
        <v>1610</v>
      </c>
      <c r="C115" s="1136" t="s">
        <v>1611</v>
      </c>
      <c r="D115" s="1050" t="s">
        <v>1612</v>
      </c>
      <c r="E115" s="1121">
        <v>0.2</v>
      </c>
      <c r="F115" s="1136">
        <v>30</v>
      </c>
    </row>
    <row r="116" spans="1:14" ht="24">
      <c r="A116" s="1136">
        <v>56</v>
      </c>
      <c r="B116" s="3618" t="s">
        <v>1613</v>
      </c>
      <c r="C116" s="1136" t="s">
        <v>1614</v>
      </c>
      <c r="D116" s="1050" t="s">
        <v>1615</v>
      </c>
      <c r="E116" s="1121">
        <v>0.2</v>
      </c>
      <c r="F116" s="1136">
        <v>30</v>
      </c>
    </row>
    <row r="117" spans="1:14" ht="36">
      <c r="A117" s="1136">
        <v>57</v>
      </c>
      <c r="B117" s="3618"/>
      <c r="C117" s="1136" t="s">
        <v>1616</v>
      </c>
      <c r="D117" s="1050" t="s">
        <v>1617</v>
      </c>
      <c r="E117" s="1121">
        <v>0.2</v>
      </c>
      <c r="F117" s="1136">
        <v>30</v>
      </c>
    </row>
    <row r="118" spans="1:14" ht="36">
      <c r="A118" s="1136">
        <v>58</v>
      </c>
      <c r="B118" s="1136" t="s">
        <v>1618</v>
      </c>
      <c r="C118" s="1136" t="s">
        <v>1619</v>
      </c>
      <c r="D118" s="1050" t="s">
        <v>1620</v>
      </c>
      <c r="E118" s="1121">
        <v>0.2</v>
      </c>
      <c r="F118" s="1136">
        <v>30</v>
      </c>
    </row>
    <row r="119" spans="1:14" ht="13.5">
      <c r="A119" s="1136"/>
      <c r="B119" s="1136"/>
      <c r="C119" s="1136"/>
      <c r="D119" s="1136"/>
      <c r="E119" s="1121"/>
      <c r="F119" s="1136"/>
    </row>
    <row r="121" spans="1:14" ht="19.5" customHeight="1">
      <c r="A121" s="3617" t="s">
        <v>1622</v>
      </c>
      <c r="B121" s="3617"/>
      <c r="C121" s="3617"/>
      <c r="D121" s="3617"/>
      <c r="E121" s="3617"/>
      <c r="F121" s="3617"/>
      <c r="G121" s="3617"/>
      <c r="H121" s="3617"/>
      <c r="I121" s="3617"/>
      <c r="J121" s="3617"/>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632" t="s">
        <v>1028</v>
      </c>
      <c r="B1" s="3632"/>
      <c r="C1" s="3632"/>
      <c r="D1" s="3632"/>
      <c r="E1" s="3632"/>
      <c r="F1" s="3632"/>
      <c r="H1" s="1052"/>
      <c r="I1" s="1053" t="s">
        <v>1029</v>
      </c>
      <c r="J1" s="1054" t="s">
        <v>1030</v>
      </c>
      <c r="K1" s="1054" t="s">
        <v>1031</v>
      </c>
      <c r="L1" s="1054" t="s">
        <v>1032</v>
      </c>
      <c r="M1" s="1054" t="s">
        <v>1033</v>
      </c>
      <c r="N1" s="1054" t="s">
        <v>1034</v>
      </c>
      <c r="O1" s="1054" t="s">
        <v>1035</v>
      </c>
      <c r="P1" s="1054" t="s">
        <v>1036</v>
      </c>
      <c r="Q1" s="1054" t="s">
        <v>1037</v>
      </c>
      <c r="R1" s="1054" t="s">
        <v>1038</v>
      </c>
      <c r="S1" s="1054" t="s">
        <v>1039</v>
      </c>
      <c r="T1" s="1055" t="s">
        <v>1040</v>
      </c>
    </row>
    <row r="2" spans="1:20" ht="14.25" thickBot="1">
      <c r="A2" s="3633" t="s">
        <v>1041</v>
      </c>
      <c r="B2" s="3633"/>
      <c r="C2" s="3633"/>
      <c r="D2" s="3633"/>
      <c r="E2" s="3633"/>
      <c r="F2" s="3633"/>
      <c r="I2" s="1056" t="s">
        <v>1042</v>
      </c>
      <c r="J2" s="1057" t="s">
        <v>1043</v>
      </c>
      <c r="K2" s="1057" t="s">
        <v>1044</v>
      </c>
      <c r="L2" s="1057" t="s">
        <v>1045</v>
      </c>
      <c r="M2" s="1057" t="s">
        <v>1046</v>
      </c>
      <c r="N2" s="1057" t="s">
        <v>1047</v>
      </c>
      <c r="O2" s="1057" t="s">
        <v>1048</v>
      </c>
      <c r="P2" s="1057" t="s">
        <v>1049</v>
      </c>
      <c r="Q2" s="1057" t="s">
        <v>1050</v>
      </c>
      <c r="R2" s="1057" t="s">
        <v>1051</v>
      </c>
      <c r="S2" s="1057" t="s">
        <v>1052</v>
      </c>
      <c r="T2" s="1057" t="s">
        <v>1053</v>
      </c>
    </row>
    <row r="3" spans="1:20" s="1052" customFormat="1" ht="19.5" customHeight="1">
      <c r="A3" s="3634" t="s">
        <v>1054</v>
      </c>
      <c r="B3" s="1058"/>
      <c r="C3" s="1059" t="s">
        <v>1055</v>
      </c>
      <c r="D3" s="1059" t="s">
        <v>1056</v>
      </c>
      <c r="E3" s="1059" t="s">
        <v>1057</v>
      </c>
      <c r="F3" s="1059" t="s">
        <v>1058</v>
      </c>
      <c r="G3" s="1060"/>
      <c r="I3" s="1056" t="s">
        <v>1059</v>
      </c>
      <c r="J3" s="1057" t="s">
        <v>1060</v>
      </c>
      <c r="K3" s="1057" t="s">
        <v>1061</v>
      </c>
      <c r="L3" s="1057" t="s">
        <v>1062</v>
      </c>
      <c r="M3" s="1057" t="s">
        <v>1063</v>
      </c>
      <c r="N3" s="1057" t="s">
        <v>1064</v>
      </c>
      <c r="O3" s="1057" t="s">
        <v>1065</v>
      </c>
      <c r="P3" s="1057" t="s">
        <v>1066</v>
      </c>
      <c r="Q3" s="1057" t="s">
        <v>1067</v>
      </c>
      <c r="R3" s="1057" t="s">
        <v>1068</v>
      </c>
      <c r="S3" s="1057" t="s">
        <v>1069</v>
      </c>
      <c r="T3" s="1057" t="s">
        <v>1070</v>
      </c>
    </row>
    <row r="4" spans="1:20" s="1052" customFormat="1" ht="19.5" customHeight="1" thickBot="1">
      <c r="A4" s="3635"/>
      <c r="B4" s="1061" t="s">
        <v>1071</v>
      </c>
      <c r="C4" s="1061" t="s">
        <v>1072</v>
      </c>
      <c r="D4" s="1061" t="s">
        <v>1072</v>
      </c>
      <c r="E4" s="1061" t="s">
        <v>1072</v>
      </c>
      <c r="F4" s="1062" t="s">
        <v>1072</v>
      </c>
      <c r="G4" s="1060"/>
      <c r="I4" s="1056" t="s">
        <v>1073</v>
      </c>
      <c r="J4" s="1057" t="s">
        <v>1074</v>
      </c>
      <c r="K4" s="1057" t="s">
        <v>1075</v>
      </c>
      <c r="L4" s="1057" t="s">
        <v>1076</v>
      </c>
      <c r="M4" s="1057" t="s">
        <v>1077</v>
      </c>
      <c r="N4" s="1057" t="s">
        <v>1078</v>
      </c>
      <c r="O4" s="1057" t="s">
        <v>1079</v>
      </c>
      <c r="P4" s="1057" t="s">
        <v>1080</v>
      </c>
      <c r="Q4" s="1057" t="s">
        <v>1081</v>
      </c>
      <c r="R4" s="1057" t="s">
        <v>1082</v>
      </c>
      <c r="S4" s="1057" t="s">
        <v>1083</v>
      </c>
      <c r="T4" s="1057" t="s">
        <v>1084</v>
      </c>
    </row>
    <row r="5" spans="1:20" ht="14.25" customHeight="1" thickBot="1">
      <c r="A5" s="1063" t="s">
        <v>1085</v>
      </c>
      <c r="B5" s="1064" t="s">
        <v>1042</v>
      </c>
      <c r="C5" s="1064">
        <v>29530</v>
      </c>
      <c r="D5" s="1064">
        <v>28130</v>
      </c>
      <c r="E5" s="1064">
        <v>27930</v>
      </c>
      <c r="F5" s="1065">
        <v>11300</v>
      </c>
      <c r="G5" s="1066" t="s">
        <v>1029</v>
      </c>
      <c r="H5" s="1067">
        <f>SUMPRODUCT((B5:B9='基准地价-商'!I2)*(C3:F3='基准地价-商'!E2)*(C5:F9))</f>
        <v>0</v>
      </c>
      <c r="I5" s="1056" t="s">
        <v>1086</v>
      </c>
      <c r="J5" s="1057" t="s">
        <v>1087</v>
      </c>
      <c r="K5" s="1057" t="s">
        <v>1088</v>
      </c>
      <c r="L5" s="1057" t="s">
        <v>1089</v>
      </c>
      <c r="M5" s="1057" t="s">
        <v>1090</v>
      </c>
      <c r="N5" s="1057" t="s">
        <v>1091</v>
      </c>
      <c r="O5" s="1057" t="s">
        <v>1092</v>
      </c>
      <c r="P5" s="1057" t="s">
        <v>1093</v>
      </c>
      <c r="Q5" s="1057" t="s">
        <v>1094</v>
      </c>
      <c r="R5" s="1057" t="s">
        <v>1095</v>
      </c>
      <c r="S5" s="1057" t="s">
        <v>1096</v>
      </c>
      <c r="T5" s="1057" t="s">
        <v>1097</v>
      </c>
    </row>
    <row r="6" spans="1:20" ht="14.25" customHeight="1" thickBot="1">
      <c r="A6" s="1063" t="s">
        <v>1085</v>
      </c>
      <c r="B6" s="1057" t="s">
        <v>1098</v>
      </c>
      <c r="C6" s="1057">
        <v>30290</v>
      </c>
      <c r="D6" s="1057">
        <v>29210</v>
      </c>
      <c r="E6" s="1057">
        <v>28860</v>
      </c>
      <c r="F6" s="1068">
        <v>12600</v>
      </c>
      <c r="G6" s="1069" t="s">
        <v>1099</v>
      </c>
      <c r="H6" s="1070">
        <f>SUMPRODUCT((B10:B28='基准地价-商'!I2)*(C3:F3='基准地价-商'!E2)*(C10:F28))</f>
        <v>0</v>
      </c>
      <c r="I6" s="1056" t="s">
        <v>1100</v>
      </c>
      <c r="J6" s="1057" t="s">
        <v>1101</v>
      </c>
      <c r="K6" s="1057" t="s">
        <v>1102</v>
      </c>
      <c r="L6" s="1057" t="s">
        <v>1103</v>
      </c>
      <c r="M6" s="1057" t="s">
        <v>1104</v>
      </c>
      <c r="N6" s="1057" t="s">
        <v>1105</v>
      </c>
      <c r="O6" s="1057" t="s">
        <v>1106</v>
      </c>
      <c r="P6" s="1057" t="s">
        <v>1107</v>
      </c>
      <c r="Q6" s="1057" t="s">
        <v>1108</v>
      </c>
      <c r="R6" s="1057" t="s">
        <v>1109</v>
      </c>
      <c r="S6" s="1057" t="s">
        <v>1110</v>
      </c>
      <c r="T6" s="1057" t="s">
        <v>1111</v>
      </c>
    </row>
    <row r="7" spans="1:20" ht="14.25" customHeight="1" thickBot="1">
      <c r="A7" s="1063" t="s">
        <v>1085</v>
      </c>
      <c r="B7" s="1071" t="s">
        <v>1073</v>
      </c>
      <c r="C7" s="1057">
        <v>29350</v>
      </c>
      <c r="D7" s="1057">
        <v>28410</v>
      </c>
      <c r="E7" s="1057">
        <v>27990</v>
      </c>
      <c r="F7" s="1068">
        <v>12300</v>
      </c>
      <c r="G7" s="1069" t="s">
        <v>898</v>
      </c>
      <c r="H7" s="1070">
        <f>SUMPRODUCT((B29:B48='基准地价-商'!I2)*(C3:F3='基准地价-商'!E2)*(C29:F48))</f>
        <v>0</v>
      </c>
      <c r="J7" s="1057" t="s">
        <v>1112</v>
      </c>
      <c r="K7" s="1057" t="s">
        <v>1113</v>
      </c>
      <c r="L7" s="1057" t="s">
        <v>1114</v>
      </c>
      <c r="M7" s="1057" t="s">
        <v>1115</v>
      </c>
      <c r="N7" s="1057" t="s">
        <v>1116</v>
      </c>
      <c r="O7" s="1057" t="s">
        <v>1117</v>
      </c>
      <c r="P7" s="1057" t="s">
        <v>1118</v>
      </c>
      <c r="Q7" s="1057" t="s">
        <v>1119</v>
      </c>
      <c r="R7" s="1057" t="s">
        <v>1120</v>
      </c>
      <c r="S7" s="1057" t="s">
        <v>1121</v>
      </c>
      <c r="T7" s="1071" t="s">
        <v>1122</v>
      </c>
    </row>
    <row r="8" spans="1:20" ht="14.25" customHeight="1" thickBot="1">
      <c r="A8" s="1063" t="s">
        <v>1085</v>
      </c>
      <c r="B8" s="1057" t="s">
        <v>1086</v>
      </c>
      <c r="C8" s="1057">
        <v>30890</v>
      </c>
      <c r="D8" s="1057">
        <v>29780</v>
      </c>
      <c r="E8" s="1057">
        <v>29270</v>
      </c>
      <c r="F8" s="1068">
        <v>11600</v>
      </c>
      <c r="G8" s="1069" t="s">
        <v>899</v>
      </c>
      <c r="H8" s="1070">
        <f>SUMPRODUCT((B49:B75='基准地价-商'!I2)*(C3:F3='基准地价-商'!E2)*(C49:F75))</f>
        <v>0</v>
      </c>
      <c r="J8" s="1057" t="s">
        <v>1123</v>
      </c>
      <c r="K8" s="1057" t="s">
        <v>1124</v>
      </c>
      <c r="L8" s="1057" t="s">
        <v>1125</v>
      </c>
      <c r="M8" s="1057" t="s">
        <v>1126</v>
      </c>
      <c r="N8" s="1057" t="s">
        <v>1127</v>
      </c>
      <c r="O8" s="1057" t="s">
        <v>1128</v>
      </c>
      <c r="P8" s="1057" t="s">
        <v>1129</v>
      </c>
      <c r="Q8" s="1057" t="s">
        <v>1130</v>
      </c>
      <c r="R8" s="1057" t="s">
        <v>1131</v>
      </c>
      <c r="S8" s="1057" t="s">
        <v>1132</v>
      </c>
      <c r="T8" s="1057" t="s">
        <v>1133</v>
      </c>
    </row>
    <row r="9" spans="1:20" ht="14.25" customHeight="1" thickBot="1">
      <c r="A9" s="1063" t="s">
        <v>1085</v>
      </c>
      <c r="B9" s="1072" t="s">
        <v>1100</v>
      </c>
      <c r="C9" s="1073">
        <v>28140</v>
      </c>
      <c r="D9" s="1073"/>
      <c r="E9" s="1073"/>
      <c r="F9" s="1074"/>
      <c r="G9" s="1069" t="s">
        <v>900</v>
      </c>
      <c r="H9" s="1070">
        <f>SUMPRODUCT((B76:B109='基准地价-商'!I2)*(C3:F3='基准地价-商'!E2)*(C76:F109))</f>
        <v>0</v>
      </c>
      <c r="J9" s="1057" t="s">
        <v>1134</v>
      </c>
      <c r="K9" s="1057" t="s">
        <v>1135</v>
      </c>
      <c r="L9" s="1057" t="s">
        <v>1136</v>
      </c>
      <c r="M9" s="1057" t="s">
        <v>1137</v>
      </c>
      <c r="N9" s="1057" t="s">
        <v>1138</v>
      </c>
      <c r="O9" s="1057" t="s">
        <v>1139</v>
      </c>
      <c r="P9" s="1057" t="s">
        <v>1140</v>
      </c>
      <c r="Q9" s="1057" t="s">
        <v>1141</v>
      </c>
      <c r="R9" s="1057" t="s">
        <v>1142</v>
      </c>
      <c r="S9" s="1057" t="s">
        <v>1143</v>
      </c>
    </row>
    <row r="10" spans="1:20" ht="14.25" customHeight="1" thickBot="1">
      <c r="A10" s="1063" t="s">
        <v>1144</v>
      </c>
      <c r="B10" s="1064" t="s">
        <v>1145</v>
      </c>
      <c r="C10" s="1064">
        <v>27450</v>
      </c>
      <c r="D10" s="1064">
        <v>26180</v>
      </c>
      <c r="E10" s="1064">
        <v>25980</v>
      </c>
      <c r="F10" s="1065">
        <v>8910</v>
      </c>
      <c r="G10" s="1069" t="s">
        <v>901</v>
      </c>
      <c r="H10" s="1070">
        <f>SUMPRODUCT((B110:B157='基准地价-商'!I2)*(C3:F3='基准地价-商'!E2)*(C110:F157))</f>
        <v>0</v>
      </c>
      <c r="J10" s="1057" t="s">
        <v>1146</v>
      </c>
      <c r="K10" s="1057" t="s">
        <v>1147</v>
      </c>
      <c r="L10" s="1057" t="s">
        <v>1148</v>
      </c>
      <c r="M10" s="1057" t="s">
        <v>1149</v>
      </c>
      <c r="N10" s="1057" t="s">
        <v>1150</v>
      </c>
      <c r="O10" s="1057" t="s">
        <v>1151</v>
      </c>
      <c r="P10" s="1057" t="s">
        <v>1152</v>
      </c>
      <c r="Q10" s="1057" t="s">
        <v>1153</v>
      </c>
      <c r="R10" s="1057" t="s">
        <v>1154</v>
      </c>
      <c r="S10" s="1057" t="s">
        <v>1155</v>
      </c>
    </row>
    <row r="11" spans="1:20" ht="14.25" customHeight="1" thickBot="1">
      <c r="A11" s="1063" t="s">
        <v>1144</v>
      </c>
      <c r="B11" s="1071" t="s">
        <v>1060</v>
      </c>
      <c r="C11" s="1057">
        <v>22950</v>
      </c>
      <c r="D11" s="1057">
        <v>22630</v>
      </c>
      <c r="E11" s="1057">
        <v>22030</v>
      </c>
      <c r="F11" s="1075">
        <v>8330</v>
      </c>
      <c r="G11" s="1069" t="s">
        <v>902</v>
      </c>
      <c r="H11" s="1070">
        <f>SUMPRODUCT((B158:B205='基准地价-商'!I2)*(C3:F3='基准地价-商'!E2)*(C158:F205))</f>
        <v>0</v>
      </c>
      <c r="J11" s="1057" t="s">
        <v>1156</v>
      </c>
      <c r="K11" s="1057" t="s">
        <v>1157</v>
      </c>
      <c r="L11" s="1057" t="s">
        <v>1158</v>
      </c>
      <c r="M11" s="1057" t="s">
        <v>1159</v>
      </c>
      <c r="N11" s="1057" t="s">
        <v>1160</v>
      </c>
      <c r="O11" s="1057" t="s">
        <v>1161</v>
      </c>
      <c r="P11" s="1057" t="s">
        <v>1162</v>
      </c>
      <c r="Q11" s="1057" t="s">
        <v>1163</v>
      </c>
      <c r="R11" s="1057" t="s">
        <v>1164</v>
      </c>
      <c r="S11" s="1057" t="s">
        <v>1165</v>
      </c>
    </row>
    <row r="12" spans="1:20" ht="14.25" customHeight="1" thickBot="1">
      <c r="A12" s="1063" t="s">
        <v>1144</v>
      </c>
      <c r="B12" s="1071" t="s">
        <v>1074</v>
      </c>
      <c r="C12" s="1057">
        <v>24940</v>
      </c>
      <c r="D12" s="1057">
        <v>23180</v>
      </c>
      <c r="E12" s="1057">
        <v>22910</v>
      </c>
      <c r="F12" s="1075">
        <v>7180</v>
      </c>
      <c r="G12" s="1069" t="s">
        <v>903</v>
      </c>
      <c r="H12" s="1070">
        <f>SUMPRODUCT((B206:B244='基准地价-商'!I2)*(C3:F3='基准地价-商'!E2)*(C206:F244))</f>
        <v>5280</v>
      </c>
      <c r="J12" s="1057" t="s">
        <v>1166</v>
      </c>
      <c r="K12" s="1057" t="s">
        <v>1167</v>
      </c>
      <c r="L12" s="1057" t="s">
        <v>1168</v>
      </c>
      <c r="M12" s="1057" t="s">
        <v>1169</v>
      </c>
      <c r="N12" s="1057" t="s">
        <v>1170</v>
      </c>
      <c r="O12" s="1057" t="s">
        <v>1171</v>
      </c>
      <c r="P12" s="1057" t="s">
        <v>1172</v>
      </c>
      <c r="Q12" s="1057" t="s">
        <v>1173</v>
      </c>
      <c r="R12" s="1057" t="s">
        <v>1174</v>
      </c>
      <c r="S12" s="1057" t="s">
        <v>1175</v>
      </c>
    </row>
    <row r="13" spans="1:20" ht="14.25" customHeight="1" thickBot="1">
      <c r="A13" s="1063" t="s">
        <v>1144</v>
      </c>
      <c r="B13" s="1071" t="s">
        <v>1087</v>
      </c>
      <c r="C13" s="1057">
        <v>24140</v>
      </c>
      <c r="D13" s="1057">
        <v>22270</v>
      </c>
      <c r="E13" s="1057">
        <v>21950</v>
      </c>
      <c r="F13" s="1075">
        <v>7600</v>
      </c>
      <c r="G13" s="1069" t="s">
        <v>904</v>
      </c>
      <c r="H13" s="1070">
        <f>SUMPRODUCT((B245:B289='基准地价-商'!I2)*(C3:F3='基准地价-商'!E2)*(C245:F289))</f>
        <v>0</v>
      </c>
      <c r="J13" s="1057" t="s">
        <v>1176</v>
      </c>
      <c r="K13" s="1057" t="s">
        <v>1177</v>
      </c>
      <c r="L13" s="1057" t="s">
        <v>1178</v>
      </c>
      <c r="M13" s="1057" t="s">
        <v>1179</v>
      </c>
      <c r="N13" s="1057" t="s">
        <v>1180</v>
      </c>
      <c r="O13" s="1057" t="s">
        <v>1181</v>
      </c>
      <c r="P13" s="1057" t="s">
        <v>1182</v>
      </c>
      <c r="Q13" s="1057" t="s">
        <v>1183</v>
      </c>
      <c r="R13" s="1057" t="s">
        <v>1184</v>
      </c>
      <c r="S13" s="1057" t="s">
        <v>1185</v>
      </c>
    </row>
    <row r="14" spans="1:20" ht="14.25" customHeight="1" thickBot="1">
      <c r="A14" s="1063" t="s">
        <v>1144</v>
      </c>
      <c r="B14" s="1071" t="s">
        <v>1101</v>
      </c>
      <c r="C14" s="1057">
        <v>25600</v>
      </c>
      <c r="D14" s="1057">
        <v>22260</v>
      </c>
      <c r="E14" s="1057">
        <v>22110</v>
      </c>
      <c r="F14" s="1075">
        <v>7630</v>
      </c>
      <c r="G14" s="1069" t="s">
        <v>905</v>
      </c>
      <c r="H14" s="1070">
        <f>SUMPRODUCT((B290:B316='基准地价-商'!I2)*(C3:F3='基准地价-商'!E2)*(C290:F316))</f>
        <v>0</v>
      </c>
      <c r="J14" s="1057" t="s">
        <v>1186</v>
      </c>
      <c r="K14" s="1057" t="s">
        <v>1187</v>
      </c>
      <c r="L14" s="1057" t="s">
        <v>1188</v>
      </c>
      <c r="M14" s="1057" t="s">
        <v>1189</v>
      </c>
      <c r="N14" s="1057" t="s">
        <v>1190</v>
      </c>
      <c r="O14" s="1057" t="s">
        <v>1191</v>
      </c>
      <c r="P14" s="1057" t="s">
        <v>1192</v>
      </c>
      <c r="Q14" s="1057" t="s">
        <v>1193</v>
      </c>
      <c r="R14" s="1057" t="s">
        <v>1194</v>
      </c>
      <c r="S14" s="1057" t="s">
        <v>1195</v>
      </c>
    </row>
    <row r="15" spans="1:20" ht="14.25" customHeight="1" thickBot="1">
      <c r="A15" s="1063" t="s">
        <v>1144</v>
      </c>
      <c r="B15" s="1071" t="s">
        <v>1112</v>
      </c>
      <c r="C15" s="1057">
        <v>24760</v>
      </c>
      <c r="D15" s="1057">
        <v>24440</v>
      </c>
      <c r="E15" s="1057">
        <v>24130</v>
      </c>
      <c r="F15" s="1075">
        <v>9480</v>
      </c>
      <c r="G15" s="1069" t="s">
        <v>906</v>
      </c>
      <c r="H15" s="1070">
        <f>SUMPRODUCT((B317:B337='基准地价-商'!I2)*(C3:F3='基准地价-商'!E2)*(C317:F337))</f>
        <v>0</v>
      </c>
      <c r="J15" s="1057" t="s">
        <v>1196</v>
      </c>
      <c r="K15" s="1057" t="s">
        <v>1197</v>
      </c>
      <c r="L15" s="1057" t="s">
        <v>1198</v>
      </c>
      <c r="M15" s="1057" t="s">
        <v>1199</v>
      </c>
      <c r="N15" s="1057" t="s">
        <v>1200</v>
      </c>
      <c r="O15" s="1057" t="s">
        <v>1201</v>
      </c>
      <c r="P15" s="1057" t="s">
        <v>1202</v>
      </c>
      <c r="Q15" s="1057" t="s">
        <v>1203</v>
      </c>
      <c r="R15" s="1057" t="s">
        <v>1204</v>
      </c>
      <c r="S15" s="1057" t="s">
        <v>1205</v>
      </c>
    </row>
    <row r="16" spans="1:20" ht="14.25" customHeight="1" thickBot="1">
      <c r="A16" s="1063" t="s">
        <v>1144</v>
      </c>
      <c r="B16" s="1071" t="s">
        <v>1123</v>
      </c>
      <c r="C16" s="1057">
        <v>22220</v>
      </c>
      <c r="D16" s="1057">
        <v>22310</v>
      </c>
      <c r="E16" s="1057">
        <v>22000</v>
      </c>
      <c r="F16" s="1075">
        <v>8900</v>
      </c>
      <c r="G16" s="1076" t="s">
        <v>907</v>
      </c>
      <c r="H16" s="1077">
        <f>SUMPRODUCT((B338:B344='基准地价-商'!I2)*(C3:F3='基准地价-商'!E2)*(C338:F344))</f>
        <v>0</v>
      </c>
      <c r="J16" s="1057" t="s">
        <v>1206</v>
      </c>
      <c r="K16" s="1057" t="s">
        <v>1207</v>
      </c>
      <c r="L16" s="1057" t="s">
        <v>1208</v>
      </c>
      <c r="M16" s="1057" t="s">
        <v>1209</v>
      </c>
      <c r="N16" s="1057" t="s">
        <v>1210</v>
      </c>
      <c r="O16" s="1057" t="s">
        <v>1211</v>
      </c>
      <c r="P16" s="1057" t="s">
        <v>1212</v>
      </c>
      <c r="Q16" s="1057" t="s">
        <v>1213</v>
      </c>
      <c r="R16" s="1057" t="s">
        <v>1214</v>
      </c>
      <c r="S16" s="1057" t="s">
        <v>1215</v>
      </c>
    </row>
    <row r="17" spans="1:19" ht="14.25" customHeight="1" thickBot="1">
      <c r="A17" s="1063" t="s">
        <v>1144</v>
      </c>
      <c r="B17" s="1071" t="s">
        <v>1134</v>
      </c>
      <c r="C17" s="1057">
        <v>24700</v>
      </c>
      <c r="D17" s="1057">
        <v>25150</v>
      </c>
      <c r="E17" s="1057">
        <v>24700</v>
      </c>
      <c r="F17" s="1078"/>
      <c r="H17" s="1079"/>
      <c r="J17" s="1057" t="s">
        <v>1216</v>
      </c>
      <c r="K17" s="1057" t="s">
        <v>1217</v>
      </c>
      <c r="L17" s="1057" t="s">
        <v>1218</v>
      </c>
      <c r="M17" s="1057" t="s">
        <v>1219</v>
      </c>
      <c r="N17" s="1057" t="s">
        <v>1220</v>
      </c>
      <c r="O17" s="1057" t="s">
        <v>1221</v>
      </c>
      <c r="P17" s="1057" t="s">
        <v>1222</v>
      </c>
      <c r="Q17" s="1057" t="s">
        <v>1223</v>
      </c>
      <c r="R17" s="1057" t="s">
        <v>1224</v>
      </c>
      <c r="S17" s="1057" t="s">
        <v>1225</v>
      </c>
    </row>
    <row r="18" spans="1:19" ht="14.25" customHeight="1" thickBot="1">
      <c r="A18" s="1063" t="s">
        <v>1144</v>
      </c>
      <c r="B18" s="1071" t="s">
        <v>1146</v>
      </c>
      <c r="C18" s="1057">
        <v>22350</v>
      </c>
      <c r="D18" s="1057">
        <v>24340</v>
      </c>
      <c r="E18" s="1057">
        <v>24100</v>
      </c>
      <c r="F18" s="1078"/>
      <c r="H18" s="1079"/>
      <c r="J18" s="1057" t="s">
        <v>1226</v>
      </c>
      <c r="K18" s="1057" t="s">
        <v>1227</v>
      </c>
      <c r="L18" s="1057" t="s">
        <v>1228</v>
      </c>
      <c r="M18" s="1057" t="s">
        <v>1229</v>
      </c>
      <c r="N18" s="1057" t="s">
        <v>1230</v>
      </c>
      <c r="O18" s="1057" t="s">
        <v>1231</v>
      </c>
      <c r="P18" s="1057" t="s">
        <v>1232</v>
      </c>
      <c r="Q18" s="1057" t="s">
        <v>1233</v>
      </c>
      <c r="R18" s="1057" t="s">
        <v>1234</v>
      </c>
      <c r="S18" s="1057" t="s">
        <v>1235</v>
      </c>
    </row>
    <row r="19" spans="1:19" ht="14.25" customHeight="1" thickBot="1">
      <c r="A19" s="1063" t="s">
        <v>1144</v>
      </c>
      <c r="B19" s="1071" t="s">
        <v>1156</v>
      </c>
      <c r="C19" s="1057">
        <v>23430</v>
      </c>
      <c r="D19" s="1057">
        <v>21580</v>
      </c>
      <c r="E19" s="1057">
        <v>21350</v>
      </c>
      <c r="F19" s="1078"/>
      <c r="H19" s="1079"/>
      <c r="J19" s="1057" t="s">
        <v>1236</v>
      </c>
      <c r="K19" s="1057" t="s">
        <v>1237</v>
      </c>
      <c r="L19" s="1057" t="s">
        <v>1238</v>
      </c>
      <c r="M19" s="1057" t="s">
        <v>1239</v>
      </c>
      <c r="N19" s="1057" t="s">
        <v>1240</v>
      </c>
      <c r="O19" s="1057" t="s">
        <v>1241</v>
      </c>
      <c r="P19" s="1057" t="s">
        <v>1242</v>
      </c>
      <c r="Q19" s="1057" t="s">
        <v>1243</v>
      </c>
      <c r="R19" s="1057" t="s">
        <v>1244</v>
      </c>
      <c r="S19" s="1057" t="s">
        <v>1245</v>
      </c>
    </row>
    <row r="20" spans="1:19" ht="14.25" customHeight="1" thickBot="1">
      <c r="A20" s="1063" t="s">
        <v>1144</v>
      </c>
      <c r="B20" s="1071" t="s">
        <v>1166</v>
      </c>
      <c r="C20" s="1057">
        <v>27660</v>
      </c>
      <c r="D20" s="1057">
        <v>24240</v>
      </c>
      <c r="E20" s="1057">
        <v>24020</v>
      </c>
      <c r="F20" s="1078"/>
      <c r="J20" s="1057" t="s">
        <v>1246</v>
      </c>
      <c r="K20" s="1057" t="s">
        <v>1247</v>
      </c>
      <c r="L20" s="1057" t="s">
        <v>1248</v>
      </c>
      <c r="M20" s="1057" t="s">
        <v>1249</v>
      </c>
      <c r="N20" s="1057" t="s">
        <v>1250</v>
      </c>
      <c r="O20" s="1057" t="s">
        <v>1251</v>
      </c>
      <c r="P20" s="1057" t="s">
        <v>1252</v>
      </c>
      <c r="Q20" s="1057" t="s">
        <v>1253</v>
      </c>
      <c r="R20" s="1057" t="s">
        <v>1254</v>
      </c>
      <c r="S20" s="1057" t="s">
        <v>1255</v>
      </c>
    </row>
    <row r="21" spans="1:19" ht="14.25" customHeight="1" thickBot="1">
      <c r="A21" s="1063" t="s">
        <v>1144</v>
      </c>
      <c r="B21" s="1071" t="s">
        <v>1176</v>
      </c>
      <c r="C21" s="1057">
        <v>24720</v>
      </c>
      <c r="D21" s="1057">
        <v>21670</v>
      </c>
      <c r="E21" s="1057">
        <v>21510</v>
      </c>
      <c r="F21" s="1078"/>
      <c r="K21" s="1057" t="s">
        <v>1256</v>
      </c>
      <c r="L21" s="1057" t="s">
        <v>1257</v>
      </c>
      <c r="M21" s="1057" t="s">
        <v>1258</v>
      </c>
      <c r="N21" s="1057" t="s">
        <v>1259</v>
      </c>
      <c r="O21" s="1057" t="s">
        <v>1260</v>
      </c>
      <c r="P21" s="1057" t="s">
        <v>1261</v>
      </c>
      <c r="Q21" s="1057" t="s">
        <v>1262</v>
      </c>
      <c r="R21" s="1057" t="s">
        <v>1263</v>
      </c>
      <c r="S21" s="1057" t="s">
        <v>1264</v>
      </c>
    </row>
    <row r="22" spans="1:19" ht="14.25" customHeight="1" thickBot="1">
      <c r="A22" s="1063" t="s">
        <v>1144</v>
      </c>
      <c r="B22" s="1071" t="s">
        <v>1265</v>
      </c>
      <c r="C22" s="1057">
        <v>26530</v>
      </c>
      <c r="D22" s="1057">
        <v>22980</v>
      </c>
      <c r="E22" s="1057">
        <v>22650</v>
      </c>
      <c r="F22" s="1078"/>
      <c r="L22" s="1057" t="s">
        <v>1266</v>
      </c>
      <c r="M22" s="1057" t="s">
        <v>1267</v>
      </c>
      <c r="N22" s="1057" t="s">
        <v>1268</v>
      </c>
      <c r="O22" s="1057" t="s">
        <v>1269</v>
      </c>
      <c r="P22" s="1057" t="s">
        <v>1270</v>
      </c>
      <c r="Q22" s="1057" t="s">
        <v>1271</v>
      </c>
      <c r="R22" s="1057" t="s">
        <v>1272</v>
      </c>
      <c r="S22" s="1071" t="s">
        <v>1273</v>
      </c>
    </row>
    <row r="23" spans="1:19" ht="14.25" customHeight="1" thickBot="1">
      <c r="A23" s="1063" t="s">
        <v>1144</v>
      </c>
      <c r="B23" s="1071" t="s">
        <v>1196</v>
      </c>
      <c r="C23" s="1057">
        <v>24700</v>
      </c>
      <c r="D23" s="1057">
        <v>27290</v>
      </c>
      <c r="E23" s="1057">
        <v>26710</v>
      </c>
      <c r="F23" s="1078"/>
      <c r="L23" s="1057" t="s">
        <v>1274</v>
      </c>
      <c r="M23" s="1057" t="s">
        <v>1275</v>
      </c>
      <c r="N23" s="1057" t="s">
        <v>1276</v>
      </c>
      <c r="O23" s="1057" t="s">
        <v>1277</v>
      </c>
      <c r="P23" s="1057" t="s">
        <v>1278</v>
      </c>
      <c r="Q23" s="1057" t="s">
        <v>1279</v>
      </c>
      <c r="R23" s="1057" t="s">
        <v>1280</v>
      </c>
    </row>
    <row r="24" spans="1:19" ht="14.25" customHeight="1" thickBot="1">
      <c r="A24" s="1063" t="s">
        <v>1144</v>
      </c>
      <c r="B24" s="1071" t="s">
        <v>1206</v>
      </c>
      <c r="C24" s="1057">
        <v>23070</v>
      </c>
      <c r="D24" s="1057">
        <v>24130</v>
      </c>
      <c r="E24" s="1057">
        <v>23860</v>
      </c>
      <c r="F24" s="1078"/>
      <c r="L24" s="1057" t="s">
        <v>1281</v>
      </c>
      <c r="M24" s="1057" t="s">
        <v>1282</v>
      </c>
      <c r="N24" s="1057" t="s">
        <v>1283</v>
      </c>
      <c r="O24" s="1057" t="s">
        <v>1284</v>
      </c>
      <c r="P24" s="1057" t="s">
        <v>1285</v>
      </c>
      <c r="Q24" s="1057" t="s">
        <v>1286</v>
      </c>
      <c r="R24" s="1057" t="s">
        <v>1287</v>
      </c>
    </row>
    <row r="25" spans="1:19" ht="14.25" customHeight="1" thickBot="1">
      <c r="A25" s="1063" t="s">
        <v>1144</v>
      </c>
      <c r="B25" s="1071" t="s">
        <v>1216</v>
      </c>
      <c r="C25" s="1057">
        <v>27550</v>
      </c>
      <c r="D25" s="1057">
        <v>25850</v>
      </c>
      <c r="E25" s="1057">
        <v>25340</v>
      </c>
      <c r="F25" s="1078"/>
      <c r="L25" s="1057" t="s">
        <v>1288</v>
      </c>
      <c r="M25" s="1057" t="s">
        <v>1289</v>
      </c>
      <c r="N25" s="1057" t="s">
        <v>1290</v>
      </c>
      <c r="O25" s="1057" t="s">
        <v>1291</v>
      </c>
      <c r="P25" s="1057" t="s">
        <v>1292</v>
      </c>
      <c r="Q25" s="1057" t="s">
        <v>1293</v>
      </c>
      <c r="R25" s="1057" t="s">
        <v>1294</v>
      </c>
    </row>
    <row r="26" spans="1:19" ht="14.25" customHeight="1" thickBot="1">
      <c r="A26" s="1063" t="s">
        <v>1144</v>
      </c>
      <c r="B26" s="1071" t="s">
        <v>1226</v>
      </c>
      <c r="C26" s="1057"/>
      <c r="D26" s="1057">
        <v>23900</v>
      </c>
      <c r="E26" s="1057">
        <v>23590</v>
      </c>
      <c r="F26" s="1078"/>
      <c r="L26" s="1057" t="s">
        <v>1295</v>
      </c>
      <c r="M26" s="1057" t="s">
        <v>1296</v>
      </c>
      <c r="N26" s="1057" t="s">
        <v>1297</v>
      </c>
      <c r="O26" s="1057" t="s">
        <v>1298</v>
      </c>
      <c r="P26" s="1057" t="s">
        <v>1299</v>
      </c>
      <c r="Q26" s="1057" t="s">
        <v>1300</v>
      </c>
      <c r="R26" s="1057" t="s">
        <v>1301</v>
      </c>
    </row>
    <row r="27" spans="1:19" ht="14.25" customHeight="1" thickBot="1">
      <c r="A27" s="1063" t="s">
        <v>1144</v>
      </c>
      <c r="B27" s="1071" t="s">
        <v>1236</v>
      </c>
      <c r="C27" s="1057"/>
      <c r="D27" s="1057">
        <v>22850</v>
      </c>
      <c r="E27" s="1057">
        <v>21920</v>
      </c>
      <c r="F27" s="1078"/>
      <c r="L27" s="1057" t="s">
        <v>1302</v>
      </c>
      <c r="M27" s="1057" t="s">
        <v>1303</v>
      </c>
      <c r="N27" s="1057" t="s">
        <v>1304</v>
      </c>
      <c r="O27" s="1057" t="s">
        <v>1305</v>
      </c>
      <c r="P27" s="1057" t="s">
        <v>1306</v>
      </c>
      <c r="Q27" s="1057" t="s">
        <v>1307</v>
      </c>
      <c r="R27" s="1057" t="s">
        <v>1308</v>
      </c>
    </row>
    <row r="28" spans="1:19" ht="14.25" customHeight="1" thickBot="1">
      <c r="A28" s="1080" t="s">
        <v>1144</v>
      </c>
      <c r="B28" s="1072" t="s">
        <v>1246</v>
      </c>
      <c r="C28" s="1073"/>
      <c r="D28" s="1073">
        <v>26610</v>
      </c>
      <c r="E28" s="1073">
        <v>26370</v>
      </c>
      <c r="F28" s="1074"/>
      <c r="L28" s="1057" t="s">
        <v>1309</v>
      </c>
      <c r="M28" s="1057" t="s">
        <v>1310</v>
      </c>
      <c r="N28" s="1057" t="s">
        <v>1311</v>
      </c>
      <c r="O28" s="1057" t="s">
        <v>1312</v>
      </c>
      <c r="P28" s="1057" t="s">
        <v>1313</v>
      </c>
      <c r="Q28" s="1057" t="s">
        <v>1314</v>
      </c>
    </row>
    <row r="29" spans="1:19" ht="14.25" customHeight="1" thickBot="1">
      <c r="A29" s="1063" t="s">
        <v>1315</v>
      </c>
      <c r="B29" s="1064" t="s">
        <v>1316</v>
      </c>
      <c r="C29" s="1064">
        <v>22090</v>
      </c>
      <c r="D29" s="1064">
        <v>21860</v>
      </c>
      <c r="E29" s="1064">
        <v>19380</v>
      </c>
      <c r="F29" s="1065">
        <v>6610</v>
      </c>
      <c r="M29" s="1057" t="s">
        <v>1317</v>
      </c>
      <c r="N29" s="1057" t="s">
        <v>1318</v>
      </c>
      <c r="O29" s="1057" t="s">
        <v>1319</v>
      </c>
      <c r="P29" s="1057" t="s">
        <v>1320</v>
      </c>
      <c r="Q29" s="1057" t="s">
        <v>1321</v>
      </c>
    </row>
    <row r="30" spans="1:19" ht="14.25" customHeight="1" thickBot="1">
      <c r="A30" s="1063" t="s">
        <v>1315</v>
      </c>
      <c r="B30" s="1071" t="s">
        <v>1061</v>
      </c>
      <c r="C30" s="1057">
        <v>21380</v>
      </c>
      <c r="D30" s="1057">
        <v>19930</v>
      </c>
      <c r="E30" s="1057">
        <v>19860</v>
      </c>
      <c r="F30" s="1075">
        <v>6010</v>
      </c>
      <c r="H30" s="1079"/>
      <c r="M30" s="1057" t="s">
        <v>1322</v>
      </c>
      <c r="N30" s="1057" t="s">
        <v>1323</v>
      </c>
      <c r="O30" s="1057" t="s">
        <v>1324</v>
      </c>
      <c r="P30" s="1057" t="s">
        <v>2402</v>
      </c>
      <c r="Q30" s="1057" t="s">
        <v>1325</v>
      </c>
    </row>
    <row r="31" spans="1:19" ht="14.25" customHeight="1" thickBot="1">
      <c r="A31" s="1063" t="s">
        <v>1315</v>
      </c>
      <c r="B31" s="1071" t="s">
        <v>1075</v>
      </c>
      <c r="C31" s="1057">
        <v>21670</v>
      </c>
      <c r="D31" s="1057">
        <v>20660</v>
      </c>
      <c r="E31" s="1057">
        <v>20290</v>
      </c>
      <c r="F31" s="1075">
        <v>5840</v>
      </c>
      <c r="H31" s="1079"/>
      <c r="M31" s="1057" t="s">
        <v>1326</v>
      </c>
      <c r="N31" s="1057" t="s">
        <v>1327</v>
      </c>
      <c r="O31" s="1057" t="s">
        <v>1328</v>
      </c>
      <c r="P31" s="1057" t="s">
        <v>1329</v>
      </c>
      <c r="Q31" s="1057" t="s">
        <v>1330</v>
      </c>
    </row>
    <row r="32" spans="1:19" ht="14.25" customHeight="1" thickBot="1">
      <c r="A32" s="1063" t="s">
        <v>1315</v>
      </c>
      <c r="B32" s="1071" t="s">
        <v>1088</v>
      </c>
      <c r="C32" s="1057">
        <v>22280</v>
      </c>
      <c r="D32" s="1057">
        <v>21800</v>
      </c>
      <c r="E32" s="1057">
        <v>17650</v>
      </c>
      <c r="F32" s="1075">
        <v>4690</v>
      </c>
      <c r="H32" s="1079"/>
      <c r="M32" s="1057" t="s">
        <v>1331</v>
      </c>
      <c r="N32" s="1057" t="s">
        <v>1332</v>
      </c>
      <c r="O32" s="1057" t="s">
        <v>1333</v>
      </c>
      <c r="P32" s="1057" t="s">
        <v>1334</v>
      </c>
      <c r="Q32" s="1057" t="s">
        <v>1335</v>
      </c>
    </row>
    <row r="33" spans="1:17" ht="14.25" customHeight="1" thickBot="1">
      <c r="A33" s="1063" t="s">
        <v>1315</v>
      </c>
      <c r="B33" s="1071" t="s">
        <v>1102</v>
      </c>
      <c r="C33" s="1057">
        <v>22130</v>
      </c>
      <c r="D33" s="1057">
        <v>20460</v>
      </c>
      <c r="E33" s="1057">
        <v>18500</v>
      </c>
      <c r="F33" s="1075">
        <v>5340</v>
      </c>
      <c r="H33" s="1079"/>
      <c r="M33" s="1057" t="s">
        <v>1336</v>
      </c>
      <c r="N33" s="1057" t="s">
        <v>1337</v>
      </c>
      <c r="O33" s="1057" t="s">
        <v>1338</v>
      </c>
      <c r="P33" s="1057" t="s">
        <v>1339</v>
      </c>
      <c r="Q33" s="1057" t="s">
        <v>1340</v>
      </c>
    </row>
    <row r="34" spans="1:17" ht="14.25" customHeight="1" thickBot="1">
      <c r="A34" s="1063" t="s">
        <v>1315</v>
      </c>
      <c r="B34" s="1071" t="s">
        <v>1113</v>
      </c>
      <c r="C34" s="1057">
        <v>22070</v>
      </c>
      <c r="D34" s="1057">
        <v>20110</v>
      </c>
      <c r="E34" s="1057">
        <v>18830</v>
      </c>
      <c r="F34" s="1075">
        <v>5190</v>
      </c>
      <c r="H34" s="1079"/>
      <c r="M34" s="1057" t="s">
        <v>1341</v>
      </c>
      <c r="N34" s="1057" t="s">
        <v>1342</v>
      </c>
      <c r="O34" s="1057" t="s">
        <v>1343</v>
      </c>
      <c r="P34" s="1057" t="s">
        <v>1344</v>
      </c>
      <c r="Q34" s="1057" t="s">
        <v>1345</v>
      </c>
    </row>
    <row r="35" spans="1:17" ht="14.25" customHeight="1" thickBot="1">
      <c r="A35" s="1063" t="s">
        <v>1315</v>
      </c>
      <c r="B35" s="1071" t="s">
        <v>1124</v>
      </c>
      <c r="C35" s="1057">
        <v>22240</v>
      </c>
      <c r="D35" s="1057">
        <v>19550</v>
      </c>
      <c r="E35" s="1057">
        <v>19220</v>
      </c>
      <c r="F35" s="1075">
        <v>5800</v>
      </c>
      <c r="H35" s="1079"/>
      <c r="M35" s="1057" t="s">
        <v>1346</v>
      </c>
      <c r="N35" s="1057" t="s">
        <v>1347</v>
      </c>
      <c r="O35" s="1057" t="s">
        <v>1348</v>
      </c>
      <c r="P35" s="1057" t="s">
        <v>1349</v>
      </c>
      <c r="Q35" s="1057" t="s">
        <v>1350</v>
      </c>
    </row>
    <row r="36" spans="1:17" ht="14.25" customHeight="1" thickBot="1">
      <c r="A36" s="1063" t="s">
        <v>1315</v>
      </c>
      <c r="B36" s="1071" t="s">
        <v>1135</v>
      </c>
      <c r="C36" s="1057">
        <v>19750</v>
      </c>
      <c r="D36" s="1057">
        <v>19790</v>
      </c>
      <c r="E36" s="1057">
        <v>18510</v>
      </c>
      <c r="F36" s="1075">
        <v>6520</v>
      </c>
      <c r="H36" s="1079"/>
      <c r="N36" s="1057" t="s">
        <v>1351</v>
      </c>
      <c r="O36" s="1057" t="s">
        <v>1352</v>
      </c>
      <c r="P36" s="1057" t="s">
        <v>1353</v>
      </c>
      <c r="Q36" s="1057" t="s">
        <v>1354</v>
      </c>
    </row>
    <row r="37" spans="1:17" ht="14.25" customHeight="1" thickBot="1">
      <c r="A37" s="1063" t="s">
        <v>1315</v>
      </c>
      <c r="B37" s="1071" t="s">
        <v>1147</v>
      </c>
      <c r="C37" s="1057">
        <v>22380</v>
      </c>
      <c r="D37" s="1057">
        <v>18530</v>
      </c>
      <c r="E37" s="1057">
        <v>17930</v>
      </c>
      <c r="F37" s="1075">
        <v>6270</v>
      </c>
      <c r="H37" s="1081"/>
      <c r="N37" s="1057" t="s">
        <v>1355</v>
      </c>
      <c r="O37" s="1057" t="s">
        <v>1356</v>
      </c>
      <c r="P37" s="1057" t="s">
        <v>1357</v>
      </c>
      <c r="Q37" s="1057" t="s">
        <v>1358</v>
      </c>
    </row>
    <row r="38" spans="1:17" ht="14.25" customHeight="1" thickBot="1">
      <c r="A38" s="1063" t="s">
        <v>1315</v>
      </c>
      <c r="B38" s="1071" t="s">
        <v>1157</v>
      </c>
      <c r="C38" s="1057">
        <v>20200</v>
      </c>
      <c r="D38" s="1057">
        <v>20070</v>
      </c>
      <c r="E38" s="1057">
        <v>19950</v>
      </c>
      <c r="F38" s="1075"/>
      <c r="H38" s="1082"/>
      <c r="N38" s="1057" t="s">
        <v>1359</v>
      </c>
      <c r="O38" s="1057" t="s">
        <v>1360</v>
      </c>
      <c r="P38" s="1057" t="s">
        <v>1361</v>
      </c>
      <c r="Q38" s="1057" t="s">
        <v>1362</v>
      </c>
    </row>
    <row r="39" spans="1:17" ht="14.25" customHeight="1" thickBot="1">
      <c r="A39" s="1063" t="s">
        <v>1315</v>
      </c>
      <c r="B39" s="1071" t="s">
        <v>1167</v>
      </c>
      <c r="C39" s="1057">
        <v>19300</v>
      </c>
      <c r="D39" s="1057">
        <v>20360</v>
      </c>
      <c r="E39" s="1057">
        <v>20230</v>
      </c>
      <c r="F39" s="1075"/>
      <c r="H39" s="1082"/>
      <c r="N39" s="1057" t="s">
        <v>1363</v>
      </c>
      <c r="O39" s="1057" t="s">
        <v>1364</v>
      </c>
      <c r="P39" s="1057" t="s">
        <v>1365</v>
      </c>
      <c r="Q39" s="1057" t="s">
        <v>1366</v>
      </c>
    </row>
    <row r="40" spans="1:17" ht="14.25" customHeight="1" thickBot="1">
      <c r="A40" s="1063" t="s">
        <v>1315</v>
      </c>
      <c r="B40" s="1071" t="s">
        <v>1177</v>
      </c>
      <c r="C40" s="1057">
        <v>20210</v>
      </c>
      <c r="D40" s="1057">
        <v>19060</v>
      </c>
      <c r="E40" s="1057">
        <v>18890</v>
      </c>
      <c r="F40" s="1075"/>
      <c r="H40" s="1082"/>
      <c r="N40" s="1057" t="s">
        <v>1367</v>
      </c>
      <c r="O40" s="1057" t="s">
        <v>1368</v>
      </c>
      <c r="P40" s="1057" t="s">
        <v>1369</v>
      </c>
      <c r="Q40" s="1057" t="s">
        <v>1370</v>
      </c>
    </row>
    <row r="41" spans="1:17" ht="14.25" customHeight="1" thickBot="1">
      <c r="A41" s="1063" t="s">
        <v>1315</v>
      </c>
      <c r="B41" s="1071" t="s">
        <v>1187</v>
      </c>
      <c r="C41" s="1057">
        <v>20560</v>
      </c>
      <c r="D41" s="1057">
        <v>21040</v>
      </c>
      <c r="E41" s="1057">
        <v>20740</v>
      </c>
      <c r="F41" s="1075"/>
      <c r="H41" s="1082"/>
      <c r="N41" s="1071" t="s">
        <v>1371</v>
      </c>
      <c r="O41" s="1071" t="s">
        <v>1372</v>
      </c>
      <c r="Q41" s="1071" t="s">
        <v>1373</v>
      </c>
    </row>
    <row r="42" spans="1:17" ht="14.25" customHeight="1" thickBot="1">
      <c r="A42" s="1063" t="s">
        <v>1315</v>
      </c>
      <c r="B42" s="1071" t="s">
        <v>1197</v>
      </c>
      <c r="C42" s="1057">
        <v>19280</v>
      </c>
      <c r="D42" s="1057">
        <v>22940</v>
      </c>
      <c r="E42" s="1057">
        <v>22500</v>
      </c>
      <c r="F42" s="1075"/>
      <c r="H42" s="1082"/>
      <c r="N42" s="1057" t="s">
        <v>1374</v>
      </c>
      <c r="O42" s="1057" t="s">
        <v>1375</v>
      </c>
      <c r="Q42" s="1057" t="s">
        <v>1376</v>
      </c>
    </row>
    <row r="43" spans="1:17" ht="14.25" customHeight="1" thickBot="1">
      <c r="A43" s="1063" t="s">
        <v>1315</v>
      </c>
      <c r="B43" s="1071" t="s">
        <v>1207</v>
      </c>
      <c r="C43" s="1057">
        <v>21520</v>
      </c>
      <c r="D43" s="1057">
        <v>19230</v>
      </c>
      <c r="E43" s="1057">
        <v>18540</v>
      </c>
      <c r="F43" s="1075"/>
      <c r="H43" s="1082"/>
      <c r="N43" s="1057" t="s">
        <v>1377</v>
      </c>
      <c r="O43" s="1057" t="s">
        <v>1378</v>
      </c>
      <c r="Q43" s="1057" t="s">
        <v>1379</v>
      </c>
    </row>
    <row r="44" spans="1:17" ht="14.25" customHeight="1" thickBot="1">
      <c r="A44" s="1063" t="s">
        <v>1315</v>
      </c>
      <c r="B44" s="1071" t="s">
        <v>1217</v>
      </c>
      <c r="C44" s="1057">
        <v>23260</v>
      </c>
      <c r="D44" s="1057">
        <v>21180</v>
      </c>
      <c r="E44" s="1057">
        <v>20730</v>
      </c>
      <c r="F44" s="1075"/>
      <c r="H44" s="1082"/>
      <c r="N44" s="1057" t="s">
        <v>1380</v>
      </c>
      <c r="O44" s="1057" t="s">
        <v>1381</v>
      </c>
      <c r="Q44" s="1057" t="s">
        <v>1382</v>
      </c>
    </row>
    <row r="45" spans="1:17" ht="14.25" customHeight="1" thickBot="1">
      <c r="A45" s="1063" t="s">
        <v>1315</v>
      </c>
      <c r="B45" s="1071" t="s">
        <v>1227</v>
      </c>
      <c r="C45" s="1057">
        <v>19610</v>
      </c>
      <c r="D45" s="1057">
        <v>18090</v>
      </c>
      <c r="E45" s="1057">
        <v>17970</v>
      </c>
      <c r="F45" s="1075"/>
      <c r="H45" s="1079"/>
      <c r="N45" s="1057" t="s">
        <v>1383</v>
      </c>
      <c r="O45" s="1057" t="s">
        <v>1384</v>
      </c>
      <c r="Q45" s="1057" t="s">
        <v>1385</v>
      </c>
    </row>
    <row r="46" spans="1:17" ht="14.25" customHeight="1" thickBot="1">
      <c r="A46" s="1063" t="s">
        <v>1315</v>
      </c>
      <c r="B46" s="1071" t="s">
        <v>1237</v>
      </c>
      <c r="C46" s="1057">
        <v>21660</v>
      </c>
      <c r="D46" s="1057">
        <v>19190</v>
      </c>
      <c r="E46" s="1057">
        <v>19790</v>
      </c>
      <c r="F46" s="1075"/>
      <c r="H46" s="1082"/>
      <c r="N46" s="1057" t="s">
        <v>1386</v>
      </c>
      <c r="O46" s="1057" t="s">
        <v>1387</v>
      </c>
      <c r="Q46" s="1057" t="s">
        <v>1388</v>
      </c>
    </row>
    <row r="47" spans="1:17" ht="14.25" customHeight="1" thickBot="1">
      <c r="A47" s="1063" t="s">
        <v>1315</v>
      </c>
      <c r="B47" s="1071" t="s">
        <v>1247</v>
      </c>
      <c r="C47" s="1057">
        <v>18220</v>
      </c>
      <c r="D47" s="1057"/>
      <c r="E47" s="1057">
        <v>17220</v>
      </c>
      <c r="F47" s="1075"/>
      <c r="H47" s="1082"/>
      <c r="N47" s="1057" t="s">
        <v>1389</v>
      </c>
      <c r="O47" s="1057" t="s">
        <v>1390</v>
      </c>
    </row>
    <row r="48" spans="1:17" ht="14.25" customHeight="1" thickBot="1">
      <c r="A48" s="1063" t="s">
        <v>1315</v>
      </c>
      <c r="B48" s="1072" t="s">
        <v>1256</v>
      </c>
      <c r="C48" s="1073">
        <v>19430</v>
      </c>
      <c r="D48" s="1073"/>
      <c r="E48" s="1073">
        <v>17830</v>
      </c>
      <c r="F48" s="1083"/>
      <c r="H48" s="1079"/>
      <c r="N48" s="1057" t="s">
        <v>1391</v>
      </c>
      <c r="O48" s="1057" t="s">
        <v>1392</v>
      </c>
    </row>
    <row r="49" spans="1:15" ht="14.25" customHeight="1" thickBot="1">
      <c r="A49" s="1063" t="s">
        <v>914</v>
      </c>
      <c r="B49" s="1064" t="s">
        <v>1393</v>
      </c>
      <c r="C49" s="1064">
        <v>17090</v>
      </c>
      <c r="D49" s="1064">
        <v>16950</v>
      </c>
      <c r="E49" s="1064">
        <v>16310</v>
      </c>
      <c r="F49" s="1065">
        <v>4540</v>
      </c>
      <c r="H49" s="1082"/>
      <c r="N49" s="1057" t="s">
        <v>1394</v>
      </c>
      <c r="O49" s="1057" t="s">
        <v>1395</v>
      </c>
    </row>
    <row r="50" spans="1:15" ht="14.25" customHeight="1" thickBot="1">
      <c r="A50" s="1063" t="s">
        <v>914</v>
      </c>
      <c r="B50" s="1057" t="s">
        <v>1062</v>
      </c>
      <c r="C50" s="1057">
        <v>19040</v>
      </c>
      <c r="D50" s="1057">
        <v>16960</v>
      </c>
      <c r="E50" s="1057">
        <v>14800</v>
      </c>
      <c r="F50" s="1075">
        <v>3940</v>
      </c>
      <c r="H50" s="1082"/>
    </row>
    <row r="51" spans="1:15" ht="14.25" customHeight="1" thickBot="1">
      <c r="A51" s="1063" t="s">
        <v>914</v>
      </c>
      <c r="B51" s="1057" t="s">
        <v>1076</v>
      </c>
      <c r="C51" s="1057">
        <v>17040</v>
      </c>
      <c r="D51" s="1057">
        <v>16930</v>
      </c>
      <c r="E51" s="1057">
        <v>15030</v>
      </c>
      <c r="F51" s="1075">
        <v>4120</v>
      </c>
      <c r="H51" s="1082"/>
    </row>
    <row r="52" spans="1:15" ht="14.25" customHeight="1" thickBot="1">
      <c r="A52" s="1063" t="s">
        <v>914</v>
      </c>
      <c r="B52" s="1057" t="s">
        <v>1089</v>
      </c>
      <c r="C52" s="1057">
        <v>17110</v>
      </c>
      <c r="D52" s="1057">
        <v>17750</v>
      </c>
      <c r="E52" s="1057">
        <v>17310</v>
      </c>
      <c r="F52" s="1075">
        <v>3220</v>
      </c>
      <c r="H52" s="1082"/>
    </row>
    <row r="53" spans="1:15" ht="14.25" customHeight="1" thickBot="1">
      <c r="A53" s="1063" t="s">
        <v>914</v>
      </c>
      <c r="B53" s="1057" t="s">
        <v>1103</v>
      </c>
      <c r="C53" s="1057">
        <v>17810</v>
      </c>
      <c r="D53" s="1057">
        <v>17260</v>
      </c>
      <c r="E53" s="1057">
        <v>17090</v>
      </c>
      <c r="F53" s="1075">
        <v>3520</v>
      </c>
      <c r="H53" s="1082"/>
    </row>
    <row r="54" spans="1:15" ht="14.25" customHeight="1" thickBot="1">
      <c r="A54" s="1063" t="s">
        <v>914</v>
      </c>
      <c r="B54" s="1057" t="s">
        <v>1114</v>
      </c>
      <c r="C54" s="1057">
        <v>17410</v>
      </c>
      <c r="D54" s="1057">
        <v>16780</v>
      </c>
      <c r="E54" s="1057">
        <v>16370</v>
      </c>
      <c r="F54" s="1075">
        <v>3410</v>
      </c>
      <c r="H54" s="1082"/>
    </row>
    <row r="55" spans="1:15" ht="14.25" customHeight="1" thickBot="1">
      <c r="A55" s="1063" t="s">
        <v>914</v>
      </c>
      <c r="B55" s="1057" t="s">
        <v>1125</v>
      </c>
      <c r="C55" s="1057">
        <v>16930</v>
      </c>
      <c r="D55" s="1057">
        <v>14720</v>
      </c>
      <c r="E55" s="1057">
        <v>15000</v>
      </c>
      <c r="F55" s="1075">
        <v>3710</v>
      </c>
      <c r="H55" s="1082"/>
    </row>
    <row r="56" spans="1:15" ht="14.25" customHeight="1" thickBot="1">
      <c r="A56" s="1063" t="s">
        <v>914</v>
      </c>
      <c r="B56" s="1057" t="s">
        <v>1136</v>
      </c>
      <c r="C56" s="1057">
        <v>14930</v>
      </c>
      <c r="D56" s="1057">
        <v>15850</v>
      </c>
      <c r="E56" s="1057">
        <v>14320</v>
      </c>
      <c r="F56" s="1075">
        <v>3960</v>
      </c>
      <c r="H56" s="1082"/>
    </row>
    <row r="57" spans="1:15" ht="14.25" customHeight="1" thickBot="1">
      <c r="A57" s="1063" t="s">
        <v>914</v>
      </c>
      <c r="B57" s="1057" t="s">
        <v>1148</v>
      </c>
      <c r="C57" s="1057">
        <v>16160</v>
      </c>
      <c r="D57" s="1057">
        <v>16190</v>
      </c>
      <c r="E57" s="1057">
        <v>15650</v>
      </c>
      <c r="F57" s="1075">
        <v>4200</v>
      </c>
      <c r="H57" s="1082"/>
    </row>
    <row r="58" spans="1:15" ht="14.25" customHeight="1" thickBot="1">
      <c r="A58" s="1063" t="s">
        <v>914</v>
      </c>
      <c r="B58" s="1057" t="s">
        <v>1158</v>
      </c>
      <c r="C58" s="1057">
        <v>16360</v>
      </c>
      <c r="D58" s="1057">
        <v>14050</v>
      </c>
      <c r="E58" s="1057">
        <v>16070</v>
      </c>
      <c r="F58" s="1075">
        <v>3990</v>
      </c>
      <c r="H58" s="1082"/>
    </row>
    <row r="59" spans="1:15" ht="14.25" customHeight="1" thickBot="1">
      <c r="A59" s="1063" t="s">
        <v>914</v>
      </c>
      <c r="B59" s="1057" t="s">
        <v>1168</v>
      </c>
      <c r="C59" s="1057">
        <v>14160</v>
      </c>
      <c r="D59" s="1057">
        <v>16620</v>
      </c>
      <c r="E59" s="1057">
        <v>13940</v>
      </c>
      <c r="F59" s="1075">
        <v>4260</v>
      </c>
      <c r="H59" s="1082"/>
    </row>
    <row r="60" spans="1:15" ht="14.25" customHeight="1" thickBot="1">
      <c r="A60" s="1063" t="s">
        <v>914</v>
      </c>
      <c r="B60" s="1057" t="s">
        <v>1178</v>
      </c>
      <c r="C60" s="1057">
        <v>16750</v>
      </c>
      <c r="D60" s="1057">
        <v>13910</v>
      </c>
      <c r="E60" s="1057">
        <v>16550</v>
      </c>
      <c r="F60" s="1075">
        <v>4550</v>
      </c>
      <c r="H60" s="1082"/>
    </row>
    <row r="61" spans="1:15" ht="14.25" customHeight="1" thickBot="1">
      <c r="A61" s="1063" t="s">
        <v>914</v>
      </c>
      <c r="B61" s="1057" t="s">
        <v>1188</v>
      </c>
      <c r="C61" s="1057">
        <v>14000</v>
      </c>
      <c r="D61" s="1057">
        <v>14550</v>
      </c>
      <c r="E61" s="1057">
        <v>13860</v>
      </c>
      <c r="F61" s="1084"/>
      <c r="H61" s="1082"/>
    </row>
    <row r="62" spans="1:15" ht="14.25" customHeight="1" thickBot="1">
      <c r="A62" s="1063" t="s">
        <v>914</v>
      </c>
      <c r="B62" s="1057" t="s">
        <v>1198</v>
      </c>
      <c r="C62" s="1057">
        <v>14660</v>
      </c>
      <c r="D62" s="1057">
        <v>17450</v>
      </c>
      <c r="E62" s="1057">
        <v>14470</v>
      </c>
      <c r="F62" s="1084"/>
      <c r="H62" s="1082"/>
    </row>
    <row r="63" spans="1:15" ht="14.25" customHeight="1" thickBot="1">
      <c r="A63" s="1063" t="s">
        <v>914</v>
      </c>
      <c r="B63" s="1057" t="s">
        <v>1208</v>
      </c>
      <c r="C63" s="1057">
        <v>17610</v>
      </c>
      <c r="D63" s="1057">
        <v>16500</v>
      </c>
      <c r="E63" s="1057">
        <v>17330</v>
      </c>
      <c r="F63" s="1084"/>
      <c r="H63" s="1082"/>
    </row>
    <row r="64" spans="1:15" ht="14.25" customHeight="1" thickBot="1">
      <c r="A64" s="1063" t="s">
        <v>914</v>
      </c>
      <c r="B64" s="1057" t="s">
        <v>1218</v>
      </c>
      <c r="C64" s="1057">
        <v>16590</v>
      </c>
      <c r="D64" s="1057">
        <v>15130</v>
      </c>
      <c r="E64" s="1057">
        <v>16420</v>
      </c>
      <c r="F64" s="1084"/>
      <c r="H64" s="1082"/>
    </row>
    <row r="65" spans="1:8" s="1051" customFormat="1" ht="14.25" customHeight="1" thickBot="1">
      <c r="A65" s="1063" t="s">
        <v>914</v>
      </c>
      <c r="B65" s="1057" t="s">
        <v>1228</v>
      </c>
      <c r="C65" s="1057">
        <v>15220</v>
      </c>
      <c r="D65" s="1057">
        <v>14660</v>
      </c>
      <c r="E65" s="1057">
        <v>15060</v>
      </c>
      <c r="F65" s="1075"/>
      <c r="H65" s="1082"/>
    </row>
    <row r="66" spans="1:8" s="1051" customFormat="1" ht="14.25" customHeight="1" thickBot="1">
      <c r="A66" s="1063" t="s">
        <v>914</v>
      </c>
      <c r="B66" s="1057" t="s">
        <v>1238</v>
      </c>
      <c r="C66" s="1057">
        <v>14720</v>
      </c>
      <c r="D66" s="1057">
        <v>15970</v>
      </c>
      <c r="E66" s="1057">
        <v>14610</v>
      </c>
      <c r="F66" s="1075"/>
      <c r="H66" s="1082"/>
    </row>
    <row r="67" spans="1:8" s="1051" customFormat="1" ht="14.25" customHeight="1" thickBot="1">
      <c r="A67" s="1063" t="s">
        <v>914</v>
      </c>
      <c r="B67" s="1057" t="s">
        <v>1248</v>
      </c>
      <c r="C67" s="1057">
        <v>16080</v>
      </c>
      <c r="D67" s="1057">
        <v>14840</v>
      </c>
      <c r="E67" s="1057">
        <v>15630</v>
      </c>
      <c r="F67" s="1075"/>
      <c r="H67" s="1082"/>
    </row>
    <row r="68" spans="1:8" s="1051" customFormat="1" ht="14.25" customHeight="1" thickBot="1">
      <c r="A68" s="1063" t="s">
        <v>914</v>
      </c>
      <c r="B68" s="1057" t="s">
        <v>1257</v>
      </c>
      <c r="C68" s="1057">
        <v>14940</v>
      </c>
      <c r="D68" s="1057">
        <v>18000</v>
      </c>
      <c r="E68" s="1057">
        <v>14040</v>
      </c>
      <c r="F68" s="1075"/>
      <c r="H68" s="1082"/>
    </row>
    <row r="69" spans="1:8" s="1051" customFormat="1" ht="14.25" customHeight="1" thickBot="1">
      <c r="A69" s="1063" t="s">
        <v>914</v>
      </c>
      <c r="B69" s="1057" t="s">
        <v>1266</v>
      </c>
      <c r="C69" s="1057">
        <v>18810</v>
      </c>
      <c r="D69" s="1057">
        <v>15100</v>
      </c>
      <c r="E69" s="1057">
        <v>14710</v>
      </c>
      <c r="F69" s="1075"/>
      <c r="H69" s="1082"/>
    </row>
    <row r="70" spans="1:8" s="1051" customFormat="1" ht="14.25" customHeight="1" thickBot="1">
      <c r="A70" s="1063" t="s">
        <v>914</v>
      </c>
      <c r="B70" s="1057" t="s">
        <v>1274</v>
      </c>
      <c r="C70" s="1057">
        <v>18270</v>
      </c>
      <c r="D70" s="1057"/>
      <c r="E70" s="1057"/>
      <c r="F70" s="1075"/>
      <c r="H70" s="1082"/>
    </row>
    <row r="71" spans="1:8" s="1051" customFormat="1" ht="14.25" customHeight="1" thickBot="1">
      <c r="A71" s="1063" t="s">
        <v>914</v>
      </c>
      <c r="B71" s="1057" t="s">
        <v>1281</v>
      </c>
      <c r="C71" s="1057">
        <v>15230</v>
      </c>
      <c r="D71" s="1057"/>
      <c r="E71" s="1057"/>
      <c r="F71" s="1075"/>
      <c r="H71" s="1082"/>
    </row>
    <row r="72" spans="1:8" s="1051" customFormat="1" ht="14.25" customHeight="1" thickBot="1">
      <c r="A72" s="1063" t="s">
        <v>914</v>
      </c>
      <c r="B72" s="1057" t="s">
        <v>1288</v>
      </c>
      <c r="C72" s="1057"/>
      <c r="D72" s="1057"/>
      <c r="E72" s="1057"/>
      <c r="F72" s="1075">
        <v>4120</v>
      </c>
      <c r="H72" s="1082"/>
    </row>
    <row r="73" spans="1:8" s="1051" customFormat="1" ht="14.25" customHeight="1" thickBot="1">
      <c r="A73" s="1063" t="s">
        <v>914</v>
      </c>
      <c r="B73" s="1057" t="s">
        <v>1295</v>
      </c>
      <c r="C73" s="1057"/>
      <c r="D73" s="1057"/>
      <c r="E73" s="1057"/>
      <c r="F73" s="1075">
        <v>3930</v>
      </c>
      <c r="H73" s="1082"/>
    </row>
    <row r="74" spans="1:8" s="1051" customFormat="1" ht="14.25" customHeight="1" thickBot="1">
      <c r="A74" s="1063" t="s">
        <v>914</v>
      </c>
      <c r="B74" s="1057" t="s">
        <v>1302</v>
      </c>
      <c r="C74" s="1057"/>
      <c r="D74" s="1057"/>
      <c r="E74" s="1057"/>
      <c r="F74" s="1075">
        <v>4060</v>
      </c>
      <c r="H74" s="1082"/>
    </row>
    <row r="75" spans="1:8" s="1051" customFormat="1" ht="14.25" customHeight="1" thickBot="1">
      <c r="A75" s="1063" t="s">
        <v>914</v>
      </c>
      <c r="B75" s="1073" t="s">
        <v>1309</v>
      </c>
      <c r="C75" s="1073"/>
      <c r="D75" s="1073"/>
      <c r="E75" s="1073"/>
      <c r="F75" s="1083">
        <v>3750</v>
      </c>
      <c r="H75" s="1082"/>
    </row>
    <row r="76" spans="1:8" s="1051" customFormat="1" ht="14.25" customHeight="1" thickBot="1">
      <c r="A76" s="1063" t="s">
        <v>1396</v>
      </c>
      <c r="B76" s="1064" t="s">
        <v>1397</v>
      </c>
      <c r="C76" s="1064">
        <v>14690</v>
      </c>
      <c r="D76" s="1064">
        <v>14640</v>
      </c>
      <c r="E76" s="1064">
        <v>14590</v>
      </c>
      <c r="F76" s="1065">
        <v>3060</v>
      </c>
      <c r="H76" s="1082"/>
    </row>
    <row r="77" spans="1:8" s="1051" customFormat="1" ht="14.25" customHeight="1" thickBot="1">
      <c r="A77" s="1063" t="s">
        <v>1396</v>
      </c>
      <c r="B77" s="1057" t="s">
        <v>1063</v>
      </c>
      <c r="C77" s="1057">
        <v>12550</v>
      </c>
      <c r="D77" s="1057">
        <v>12480</v>
      </c>
      <c r="E77" s="1057">
        <v>12450</v>
      </c>
      <c r="F77" s="1075">
        <v>2590</v>
      </c>
      <c r="H77" s="1082"/>
    </row>
    <row r="78" spans="1:8" s="1051" customFormat="1" ht="14.25" customHeight="1" thickBot="1">
      <c r="A78" s="1063" t="s">
        <v>1396</v>
      </c>
      <c r="B78" s="1057" t="s">
        <v>1077</v>
      </c>
      <c r="C78" s="1057">
        <v>14360</v>
      </c>
      <c r="D78" s="1057">
        <v>14320</v>
      </c>
      <c r="E78" s="1057">
        <v>12510</v>
      </c>
      <c r="F78" s="1075">
        <v>2700</v>
      </c>
      <c r="H78" s="1082"/>
    </row>
    <row r="79" spans="1:8" s="1051" customFormat="1" ht="14.25" customHeight="1" thickBot="1">
      <c r="A79" s="1063" t="s">
        <v>1396</v>
      </c>
      <c r="B79" s="1057" t="s">
        <v>1090</v>
      </c>
      <c r="C79" s="1057">
        <v>12590</v>
      </c>
      <c r="D79" s="1057">
        <v>12540</v>
      </c>
      <c r="E79" s="1057">
        <v>12350</v>
      </c>
      <c r="F79" s="1075">
        <v>2740</v>
      </c>
      <c r="H79" s="1082"/>
    </row>
    <row r="80" spans="1:8" s="1051" customFormat="1" ht="14.25" customHeight="1" thickBot="1">
      <c r="A80" s="1063" t="s">
        <v>1396</v>
      </c>
      <c r="B80" s="1057" t="s">
        <v>1104</v>
      </c>
      <c r="C80" s="1057">
        <v>12450</v>
      </c>
      <c r="D80" s="1057">
        <v>12370</v>
      </c>
      <c r="E80" s="1057">
        <v>10790</v>
      </c>
      <c r="F80" s="1075">
        <v>2290</v>
      </c>
      <c r="H80" s="1082"/>
    </row>
    <row r="81" spans="1:8" s="1051" customFormat="1" ht="14.25" customHeight="1" thickBot="1">
      <c r="A81" s="1063" t="s">
        <v>1396</v>
      </c>
      <c r="B81" s="1057" t="s">
        <v>1115</v>
      </c>
      <c r="C81" s="1057">
        <v>14210</v>
      </c>
      <c r="D81" s="1057">
        <v>14150</v>
      </c>
      <c r="E81" s="1057">
        <v>12730</v>
      </c>
      <c r="F81" s="1075">
        <v>2240</v>
      </c>
      <c r="H81" s="1082"/>
    </row>
    <row r="82" spans="1:8" s="1051" customFormat="1" ht="14.25" customHeight="1" thickBot="1">
      <c r="A82" s="1063" t="s">
        <v>1396</v>
      </c>
      <c r="B82" s="1057" t="s">
        <v>1126</v>
      </c>
      <c r="C82" s="1057">
        <v>10860</v>
      </c>
      <c r="D82" s="1057">
        <v>10820</v>
      </c>
      <c r="E82" s="1057">
        <v>14720</v>
      </c>
      <c r="F82" s="1075">
        <v>2490</v>
      </c>
      <c r="H82" s="1082"/>
    </row>
    <row r="83" spans="1:8" s="1051" customFormat="1" ht="14.25" customHeight="1" thickBot="1">
      <c r="A83" s="1063" t="s">
        <v>1396</v>
      </c>
      <c r="B83" s="1057" t="s">
        <v>1137</v>
      </c>
      <c r="C83" s="1057">
        <v>12810</v>
      </c>
      <c r="D83" s="1057">
        <v>12760</v>
      </c>
      <c r="E83" s="1057">
        <v>14830</v>
      </c>
      <c r="F83" s="1075">
        <v>2450</v>
      </c>
      <c r="H83" s="1082"/>
    </row>
    <row r="84" spans="1:8" s="1051" customFormat="1" ht="14.25" customHeight="1" thickBot="1">
      <c r="A84" s="1063" t="s">
        <v>1396</v>
      </c>
      <c r="B84" s="1057" t="s">
        <v>1149</v>
      </c>
      <c r="C84" s="1057">
        <v>14950</v>
      </c>
      <c r="D84" s="1057">
        <v>14810</v>
      </c>
      <c r="E84" s="1057">
        <v>12590</v>
      </c>
      <c r="F84" s="1075">
        <v>2540</v>
      </c>
      <c r="H84" s="1082"/>
    </row>
    <row r="85" spans="1:8" s="1051" customFormat="1" ht="14.25" customHeight="1" thickBot="1">
      <c r="A85" s="1063" t="s">
        <v>1396</v>
      </c>
      <c r="B85" s="1057" t="s">
        <v>1159</v>
      </c>
      <c r="C85" s="1057">
        <v>14960</v>
      </c>
      <c r="D85" s="1057">
        <v>14890</v>
      </c>
      <c r="E85" s="1057">
        <v>12840</v>
      </c>
      <c r="F85" s="1075">
        <v>2840</v>
      </c>
      <c r="H85" s="1082"/>
    </row>
    <row r="86" spans="1:8" s="1051" customFormat="1" ht="14.25" customHeight="1" thickBot="1">
      <c r="A86" s="1063" t="s">
        <v>1396</v>
      </c>
      <c r="B86" s="1057" t="s">
        <v>1169</v>
      </c>
      <c r="C86" s="1057">
        <v>12730</v>
      </c>
      <c r="D86" s="1057">
        <v>12660</v>
      </c>
      <c r="E86" s="1057">
        <v>13310</v>
      </c>
      <c r="F86" s="1075">
        <v>3140</v>
      </c>
      <c r="H86" s="1082"/>
    </row>
    <row r="87" spans="1:8" s="1051" customFormat="1" ht="14.25" customHeight="1" thickBot="1">
      <c r="A87" s="1063" t="s">
        <v>1396</v>
      </c>
      <c r="B87" s="1057" t="s">
        <v>1179</v>
      </c>
      <c r="C87" s="1057">
        <v>12940</v>
      </c>
      <c r="D87" s="1057">
        <v>12890</v>
      </c>
      <c r="E87" s="1057">
        <v>11580</v>
      </c>
      <c r="F87" s="1084"/>
      <c r="H87" s="1082"/>
    </row>
    <row r="88" spans="1:8" s="1051" customFormat="1" ht="14.25" customHeight="1" thickBot="1">
      <c r="A88" s="1063" t="s">
        <v>1396</v>
      </c>
      <c r="B88" s="1057" t="s">
        <v>1189</v>
      </c>
      <c r="C88" s="1057">
        <v>13430</v>
      </c>
      <c r="D88" s="1057">
        <v>13360</v>
      </c>
      <c r="E88" s="1057">
        <v>12790</v>
      </c>
      <c r="F88" s="1084"/>
      <c r="H88" s="1082"/>
    </row>
    <row r="89" spans="1:8" s="1051" customFormat="1" ht="14.25" customHeight="1" thickBot="1">
      <c r="A89" s="1063" t="s">
        <v>1396</v>
      </c>
      <c r="B89" s="1057" t="s">
        <v>1199</v>
      </c>
      <c r="C89" s="1057">
        <v>11680</v>
      </c>
      <c r="D89" s="1057">
        <v>11630</v>
      </c>
      <c r="E89" s="1057">
        <v>11320</v>
      </c>
      <c r="F89" s="1084"/>
      <c r="H89" s="1082"/>
    </row>
    <row r="90" spans="1:8" s="1051" customFormat="1" ht="14.25" customHeight="1" thickBot="1">
      <c r="A90" s="1063" t="s">
        <v>1396</v>
      </c>
      <c r="B90" s="1057" t="s">
        <v>1209</v>
      </c>
      <c r="C90" s="1057">
        <v>12890</v>
      </c>
      <c r="D90" s="1057">
        <v>12820</v>
      </c>
      <c r="E90" s="1057">
        <v>12710</v>
      </c>
      <c r="F90" s="1084"/>
      <c r="H90" s="1082"/>
    </row>
    <row r="91" spans="1:8" s="1051" customFormat="1" ht="14.25" customHeight="1" thickBot="1">
      <c r="A91" s="1063" t="s">
        <v>1396</v>
      </c>
      <c r="B91" s="1057" t="s">
        <v>1219</v>
      </c>
      <c r="C91" s="1057">
        <v>11410</v>
      </c>
      <c r="D91" s="1057">
        <v>11360</v>
      </c>
      <c r="E91" s="1057">
        <v>12670</v>
      </c>
      <c r="F91" s="1084"/>
      <c r="H91" s="1082"/>
    </row>
    <row r="92" spans="1:8" s="1051" customFormat="1" ht="14.25" customHeight="1" thickBot="1">
      <c r="A92" s="1063" t="s">
        <v>1396</v>
      </c>
      <c r="B92" s="1057" t="s">
        <v>1229</v>
      </c>
      <c r="C92" s="1057">
        <v>12770</v>
      </c>
      <c r="D92" s="1057">
        <v>12740</v>
      </c>
      <c r="E92" s="1057">
        <v>11970</v>
      </c>
      <c r="F92" s="1084"/>
      <c r="H92" s="1082"/>
    </row>
    <row r="93" spans="1:8" s="1051" customFormat="1" ht="14.25" customHeight="1" thickBot="1">
      <c r="A93" s="1063" t="s">
        <v>1396</v>
      </c>
      <c r="B93" s="1057" t="s">
        <v>1239</v>
      </c>
      <c r="C93" s="1057">
        <v>12740</v>
      </c>
      <c r="D93" s="1057">
        <v>12700</v>
      </c>
      <c r="E93" s="1057">
        <v>12540</v>
      </c>
      <c r="F93" s="1084"/>
      <c r="H93" s="1082"/>
    </row>
    <row r="94" spans="1:8" s="1051" customFormat="1" ht="14.25" customHeight="1" thickBot="1">
      <c r="A94" s="1063" t="s">
        <v>1396</v>
      </c>
      <c r="B94" s="1057" t="s">
        <v>1249</v>
      </c>
      <c r="C94" s="1057">
        <v>12020</v>
      </c>
      <c r="D94" s="1057">
        <v>11990</v>
      </c>
      <c r="E94" s="1057">
        <v>13110</v>
      </c>
      <c r="F94" s="1084"/>
      <c r="H94" s="1082"/>
    </row>
    <row r="95" spans="1:8" s="1051" customFormat="1" ht="14.25" customHeight="1" thickBot="1">
      <c r="A95" s="1063" t="s">
        <v>1396</v>
      </c>
      <c r="B95" s="1057" t="s">
        <v>1258</v>
      </c>
      <c r="C95" s="1057">
        <v>12620</v>
      </c>
      <c r="D95" s="1057">
        <v>12580</v>
      </c>
      <c r="E95" s="1057">
        <v>13160</v>
      </c>
      <c r="F95" s="1075"/>
      <c r="H95" s="1082"/>
    </row>
    <row r="96" spans="1:8" s="1051" customFormat="1" ht="14.25" customHeight="1" thickBot="1">
      <c r="A96" s="1063" t="s">
        <v>1396</v>
      </c>
      <c r="B96" s="1057" t="s">
        <v>1267</v>
      </c>
      <c r="C96" s="1057">
        <v>13200</v>
      </c>
      <c r="D96" s="1057">
        <v>13150</v>
      </c>
      <c r="E96" s="1057">
        <v>12900</v>
      </c>
      <c r="F96" s="1075"/>
      <c r="H96" s="1082"/>
    </row>
    <row r="97" spans="1:8" s="1051" customFormat="1" ht="14.25" customHeight="1" thickBot="1">
      <c r="A97" s="1063" t="s">
        <v>1396</v>
      </c>
      <c r="B97" s="1057" t="s">
        <v>1275</v>
      </c>
      <c r="C97" s="1057">
        <v>13270</v>
      </c>
      <c r="D97" s="1057">
        <v>13210</v>
      </c>
      <c r="E97" s="1057">
        <v>11080</v>
      </c>
      <c r="F97" s="1075"/>
      <c r="H97" s="1082"/>
    </row>
    <row r="98" spans="1:8" s="1051" customFormat="1" ht="14.25" customHeight="1" thickBot="1">
      <c r="A98" s="1063" t="s">
        <v>1396</v>
      </c>
      <c r="B98" s="1057" t="s">
        <v>1282</v>
      </c>
      <c r="C98" s="1057">
        <v>13010</v>
      </c>
      <c r="D98" s="1057">
        <v>12930</v>
      </c>
      <c r="E98" s="1057">
        <v>12840</v>
      </c>
      <c r="F98" s="1075"/>
      <c r="H98" s="1082"/>
    </row>
    <row r="99" spans="1:8" s="1051" customFormat="1" ht="14.25" customHeight="1" thickBot="1">
      <c r="A99" s="1063" t="s">
        <v>1396</v>
      </c>
      <c r="B99" s="1057" t="s">
        <v>1289</v>
      </c>
      <c r="C99" s="1057">
        <v>11190</v>
      </c>
      <c r="D99" s="1057">
        <v>11130</v>
      </c>
      <c r="E99" s="1057"/>
      <c r="F99" s="1075"/>
      <c r="H99" s="1082"/>
    </row>
    <row r="100" spans="1:8" s="1051" customFormat="1" ht="14.25" customHeight="1" thickBot="1">
      <c r="A100" s="1063" t="s">
        <v>1396</v>
      </c>
      <c r="B100" s="1057" t="s">
        <v>1296</v>
      </c>
      <c r="C100" s="1057">
        <v>14280</v>
      </c>
      <c r="D100" s="1057">
        <v>14180</v>
      </c>
      <c r="E100" s="1057"/>
      <c r="F100" s="1075"/>
      <c r="H100" s="1082"/>
    </row>
    <row r="101" spans="1:8" s="1051" customFormat="1" ht="14.25" customHeight="1" thickBot="1">
      <c r="A101" s="1063" t="s">
        <v>1396</v>
      </c>
      <c r="B101" s="1057" t="s">
        <v>1303</v>
      </c>
      <c r="C101" s="1057">
        <v>12960</v>
      </c>
      <c r="D101" s="1057">
        <v>12890</v>
      </c>
      <c r="E101" s="1057"/>
      <c r="F101" s="1075"/>
      <c r="H101" s="1082"/>
    </row>
    <row r="102" spans="1:8" s="1051" customFormat="1" ht="14.25" customHeight="1" thickBot="1">
      <c r="A102" s="1063" t="s">
        <v>1396</v>
      </c>
      <c r="B102" s="1057" t="s">
        <v>1310</v>
      </c>
      <c r="C102" s="1057"/>
      <c r="D102" s="1057"/>
      <c r="E102" s="1057"/>
      <c r="F102" s="1075">
        <v>3100</v>
      </c>
      <c r="H102" s="1082"/>
    </row>
    <row r="103" spans="1:8" s="1051" customFormat="1" ht="14.25" customHeight="1" thickBot="1">
      <c r="A103" s="1063" t="s">
        <v>1396</v>
      </c>
      <c r="B103" s="1057" t="s">
        <v>1317</v>
      </c>
      <c r="C103" s="1057"/>
      <c r="D103" s="1057"/>
      <c r="E103" s="1057"/>
      <c r="F103" s="1075">
        <v>2320</v>
      </c>
      <c r="H103" s="1082"/>
    </row>
    <row r="104" spans="1:8" s="1051" customFormat="1" ht="14.25" customHeight="1" thickBot="1">
      <c r="A104" s="1063" t="s">
        <v>1396</v>
      </c>
      <c r="B104" s="1057" t="s">
        <v>1322</v>
      </c>
      <c r="C104" s="1057"/>
      <c r="D104" s="1057"/>
      <c r="E104" s="1057"/>
      <c r="F104" s="1075">
        <v>2320</v>
      </c>
      <c r="H104" s="1082"/>
    </row>
    <row r="105" spans="1:8" s="1051" customFormat="1" ht="14.25" customHeight="1" thickBot="1">
      <c r="A105" s="1063" t="s">
        <v>1396</v>
      </c>
      <c r="B105" s="1057" t="s">
        <v>1326</v>
      </c>
      <c r="C105" s="1057"/>
      <c r="D105" s="1057"/>
      <c r="E105" s="1057"/>
      <c r="F105" s="1075">
        <v>2320</v>
      </c>
      <c r="H105" s="1082"/>
    </row>
    <row r="106" spans="1:8" s="1051" customFormat="1" ht="14.25" customHeight="1" thickBot="1">
      <c r="A106" s="1063" t="s">
        <v>1396</v>
      </c>
      <c r="B106" s="1057" t="s">
        <v>1331</v>
      </c>
      <c r="C106" s="1057"/>
      <c r="D106" s="1057"/>
      <c r="E106" s="1057"/>
      <c r="F106" s="1075">
        <v>2320</v>
      </c>
      <c r="H106" s="1082"/>
    </row>
    <row r="107" spans="1:8" s="1051" customFormat="1" ht="14.25" customHeight="1" thickBot="1">
      <c r="A107" s="1063" t="s">
        <v>1396</v>
      </c>
      <c r="B107" s="1057" t="s">
        <v>1336</v>
      </c>
      <c r="C107" s="1057"/>
      <c r="D107" s="1057"/>
      <c r="E107" s="1057"/>
      <c r="F107" s="1075">
        <v>2280</v>
      </c>
      <c r="H107" s="1082"/>
    </row>
    <row r="108" spans="1:8" s="1051" customFormat="1" ht="14.25" customHeight="1" thickBot="1">
      <c r="A108" s="1063" t="s">
        <v>1396</v>
      </c>
      <c r="B108" s="1057" t="s">
        <v>1341</v>
      </c>
      <c r="C108" s="1057"/>
      <c r="D108" s="1057"/>
      <c r="E108" s="1057"/>
      <c r="F108" s="1075">
        <v>2280</v>
      </c>
      <c r="H108" s="1082"/>
    </row>
    <row r="109" spans="1:8" s="1051" customFormat="1" ht="14.25" customHeight="1" thickBot="1">
      <c r="A109" s="1063" t="s">
        <v>1396</v>
      </c>
      <c r="B109" s="1073" t="s">
        <v>1346</v>
      </c>
      <c r="C109" s="1073"/>
      <c r="D109" s="1073"/>
      <c r="E109" s="1073"/>
      <c r="F109" s="1083">
        <v>2280</v>
      </c>
      <c r="H109" s="1082"/>
    </row>
    <row r="110" spans="1:8" s="1051" customFormat="1" ht="14.25" customHeight="1" thickBot="1">
      <c r="A110" s="1063" t="s">
        <v>1398</v>
      </c>
      <c r="B110" s="1064" t="s">
        <v>1399</v>
      </c>
      <c r="C110" s="1064">
        <v>10520</v>
      </c>
      <c r="D110" s="1064">
        <v>10490</v>
      </c>
      <c r="E110" s="1064">
        <v>10760</v>
      </c>
      <c r="F110" s="1065">
        <v>2160</v>
      </c>
      <c r="H110" s="1082"/>
    </row>
    <row r="111" spans="1:8" s="1051" customFormat="1" ht="14.25" customHeight="1" thickBot="1">
      <c r="A111" s="1063" t="s">
        <v>1398</v>
      </c>
      <c r="B111" s="1057" t="s">
        <v>1064</v>
      </c>
      <c r="C111" s="1057">
        <v>10090</v>
      </c>
      <c r="D111" s="1057">
        <v>10060</v>
      </c>
      <c r="E111" s="1057">
        <v>10300</v>
      </c>
      <c r="F111" s="1075">
        <v>2010</v>
      </c>
      <c r="H111" s="1082"/>
    </row>
    <row r="112" spans="1:8" s="1051" customFormat="1" ht="14.25" customHeight="1" thickBot="1">
      <c r="A112" s="1063" t="s">
        <v>1398</v>
      </c>
      <c r="B112" s="1057" t="s">
        <v>1078</v>
      </c>
      <c r="C112" s="1057">
        <v>9910</v>
      </c>
      <c r="D112" s="1057">
        <v>9850</v>
      </c>
      <c r="E112" s="1057">
        <v>9960</v>
      </c>
      <c r="F112" s="1075">
        <v>2090</v>
      </c>
      <c r="H112" s="1082"/>
    </row>
    <row r="113" spans="1:8" s="1051" customFormat="1" ht="14.25" customHeight="1" thickBot="1">
      <c r="A113" s="1063" t="s">
        <v>1398</v>
      </c>
      <c r="B113" s="1057" t="s">
        <v>1091</v>
      </c>
      <c r="C113" s="1057">
        <v>11430</v>
      </c>
      <c r="D113" s="1057">
        <v>11400</v>
      </c>
      <c r="E113" s="1057">
        <v>11710</v>
      </c>
      <c r="F113" s="1075">
        <v>2050</v>
      </c>
      <c r="H113" s="1082"/>
    </row>
    <row r="114" spans="1:8" s="1051" customFormat="1" ht="14.25" customHeight="1" thickBot="1">
      <c r="A114" s="1063" t="s">
        <v>1398</v>
      </c>
      <c r="B114" s="1057" t="s">
        <v>1105</v>
      </c>
      <c r="C114" s="1057">
        <v>11390</v>
      </c>
      <c r="D114" s="1057">
        <v>11350</v>
      </c>
      <c r="E114" s="1057">
        <v>11640</v>
      </c>
      <c r="F114" s="1075">
        <v>1620</v>
      </c>
      <c r="H114" s="1082"/>
    </row>
    <row r="115" spans="1:8" s="1051" customFormat="1" ht="14.25" customHeight="1" thickBot="1">
      <c r="A115" s="1063" t="s">
        <v>1398</v>
      </c>
      <c r="B115" s="1057" t="s">
        <v>1116</v>
      </c>
      <c r="C115" s="1057">
        <v>9930</v>
      </c>
      <c r="D115" s="1057">
        <v>9900</v>
      </c>
      <c r="E115" s="1057">
        <v>10160</v>
      </c>
      <c r="F115" s="1075">
        <v>1580</v>
      </c>
      <c r="H115" s="1082"/>
    </row>
    <row r="116" spans="1:8" s="1051" customFormat="1" ht="14.25" customHeight="1" thickBot="1">
      <c r="A116" s="1063" t="s">
        <v>1398</v>
      </c>
      <c r="B116" s="1057" t="s">
        <v>1127</v>
      </c>
      <c r="C116" s="1057">
        <v>9150</v>
      </c>
      <c r="D116" s="1057">
        <v>9120</v>
      </c>
      <c r="E116" s="1057">
        <v>9380</v>
      </c>
      <c r="F116" s="1075">
        <v>1750</v>
      </c>
      <c r="H116" s="1082"/>
    </row>
    <row r="117" spans="1:8" s="1051" customFormat="1" ht="14.25" customHeight="1" thickBot="1">
      <c r="A117" s="1063" t="s">
        <v>1398</v>
      </c>
      <c r="B117" s="1057" t="s">
        <v>1138</v>
      </c>
      <c r="C117" s="1057">
        <v>10680</v>
      </c>
      <c r="D117" s="1057">
        <v>10650</v>
      </c>
      <c r="E117" s="1057">
        <v>10970</v>
      </c>
      <c r="F117" s="1075">
        <v>1730</v>
      </c>
      <c r="H117" s="1082"/>
    </row>
    <row r="118" spans="1:8" s="1051" customFormat="1" ht="14.25" customHeight="1" thickBot="1">
      <c r="A118" s="1063" t="s">
        <v>1398</v>
      </c>
      <c r="B118" s="1057" t="s">
        <v>1150</v>
      </c>
      <c r="C118" s="1057">
        <v>10080</v>
      </c>
      <c r="D118" s="1057">
        <v>10050</v>
      </c>
      <c r="E118" s="1057">
        <v>10350</v>
      </c>
      <c r="F118" s="1075">
        <v>1920</v>
      </c>
      <c r="H118" s="1082"/>
    </row>
    <row r="119" spans="1:8" s="1051" customFormat="1" ht="14.25" customHeight="1" thickBot="1">
      <c r="A119" s="1063" t="s">
        <v>1398</v>
      </c>
      <c r="B119" s="1057" t="s">
        <v>1160</v>
      </c>
      <c r="C119" s="1057">
        <v>9450</v>
      </c>
      <c r="D119" s="1057">
        <v>9410</v>
      </c>
      <c r="E119" s="1057">
        <v>9680</v>
      </c>
      <c r="F119" s="1075">
        <v>1880</v>
      </c>
      <c r="H119" s="1082"/>
    </row>
    <row r="120" spans="1:8" s="1051" customFormat="1" ht="14.25" customHeight="1" thickBot="1">
      <c r="A120" s="1063" t="s">
        <v>1398</v>
      </c>
      <c r="B120" s="1057" t="s">
        <v>1170</v>
      </c>
      <c r="C120" s="1057">
        <v>8730</v>
      </c>
      <c r="D120" s="1057">
        <v>8700</v>
      </c>
      <c r="E120" s="1057">
        <v>8950</v>
      </c>
      <c r="F120" s="1075">
        <v>1830</v>
      </c>
      <c r="H120" s="1082"/>
    </row>
    <row r="121" spans="1:8" s="1051" customFormat="1" ht="14.25" customHeight="1" thickBot="1">
      <c r="A121" s="1063" t="s">
        <v>1398</v>
      </c>
      <c r="B121" s="1057" t="s">
        <v>1180</v>
      </c>
      <c r="C121" s="1057">
        <v>10070</v>
      </c>
      <c r="D121" s="1057">
        <v>10040</v>
      </c>
      <c r="E121" s="1057">
        <v>10270</v>
      </c>
      <c r="F121" s="1075">
        <v>1960</v>
      </c>
      <c r="H121" s="1082"/>
    </row>
    <row r="122" spans="1:8" s="1051" customFormat="1" ht="14.25" customHeight="1" thickBot="1">
      <c r="A122" s="1063" t="s">
        <v>1398</v>
      </c>
      <c r="B122" s="1057" t="s">
        <v>1190</v>
      </c>
      <c r="C122" s="1057">
        <v>10500</v>
      </c>
      <c r="D122" s="1057">
        <v>10470</v>
      </c>
      <c r="E122" s="1057">
        <v>10780</v>
      </c>
      <c r="F122" s="1075">
        <v>2180</v>
      </c>
      <c r="H122" s="1082"/>
    </row>
    <row r="123" spans="1:8" s="1051" customFormat="1" ht="14.25" customHeight="1" thickBot="1">
      <c r="A123" s="1063" t="s">
        <v>1398</v>
      </c>
      <c r="B123" s="1057" t="s">
        <v>1200</v>
      </c>
      <c r="C123" s="1057">
        <v>10390</v>
      </c>
      <c r="D123" s="1057">
        <v>10360</v>
      </c>
      <c r="E123" s="1057">
        <v>10660</v>
      </c>
      <c r="F123" s="1075">
        <v>2040</v>
      </c>
      <c r="H123" s="1082"/>
    </row>
    <row r="124" spans="1:8" s="1051" customFormat="1" ht="14.25" customHeight="1" thickBot="1">
      <c r="A124" s="1063" t="s">
        <v>1398</v>
      </c>
      <c r="B124" s="1057" t="s">
        <v>1210</v>
      </c>
      <c r="C124" s="1057">
        <v>10390</v>
      </c>
      <c r="D124" s="1057">
        <v>10360</v>
      </c>
      <c r="E124" s="1057">
        <v>10680</v>
      </c>
      <c r="F124" s="1084"/>
      <c r="H124" s="1082"/>
    </row>
    <row r="125" spans="1:8" s="1051" customFormat="1" ht="14.25" customHeight="1" thickBot="1">
      <c r="A125" s="1063" t="s">
        <v>1398</v>
      </c>
      <c r="B125" s="1057" t="s">
        <v>1220</v>
      </c>
      <c r="C125" s="1057">
        <v>10440</v>
      </c>
      <c r="D125" s="1057">
        <v>10410</v>
      </c>
      <c r="E125" s="1057">
        <v>10710</v>
      </c>
      <c r="F125" s="1084"/>
      <c r="H125" s="1082"/>
    </row>
    <row r="126" spans="1:8" s="1051" customFormat="1" ht="14.25" customHeight="1" thickBot="1">
      <c r="A126" s="1063" t="s">
        <v>1398</v>
      </c>
      <c r="B126" s="1057" t="s">
        <v>1230</v>
      </c>
      <c r="C126" s="1057">
        <v>10780</v>
      </c>
      <c r="D126" s="1057">
        <v>10750</v>
      </c>
      <c r="E126" s="1057">
        <v>11080</v>
      </c>
      <c r="F126" s="1084"/>
      <c r="H126" s="1082"/>
    </row>
    <row r="127" spans="1:8" s="1051" customFormat="1" ht="14.25" customHeight="1" thickBot="1">
      <c r="A127" s="1063" t="s">
        <v>1398</v>
      </c>
      <c r="B127" s="1057" t="s">
        <v>1240</v>
      </c>
      <c r="C127" s="1057">
        <v>10100</v>
      </c>
      <c r="D127" s="1057">
        <v>10070</v>
      </c>
      <c r="E127" s="1057">
        <v>10350</v>
      </c>
      <c r="F127" s="1084"/>
      <c r="H127" s="1082"/>
    </row>
    <row r="128" spans="1:8" s="1051" customFormat="1" ht="14.25" customHeight="1" thickBot="1">
      <c r="A128" s="1063" t="s">
        <v>1398</v>
      </c>
      <c r="B128" s="1057" t="s">
        <v>1250</v>
      </c>
      <c r="C128" s="1057">
        <v>9200</v>
      </c>
      <c r="D128" s="1057">
        <v>9160</v>
      </c>
      <c r="E128" s="1057">
        <v>9660</v>
      </c>
      <c r="F128" s="1084"/>
      <c r="H128" s="1082"/>
    </row>
    <row r="129" spans="1:8" s="1051" customFormat="1" ht="14.25" customHeight="1" thickBot="1">
      <c r="A129" s="1063" t="s">
        <v>1398</v>
      </c>
      <c r="B129" s="1057" t="s">
        <v>1259</v>
      </c>
      <c r="C129" s="1057">
        <v>10340</v>
      </c>
      <c r="D129" s="1057">
        <v>10310</v>
      </c>
      <c r="E129" s="1057">
        <v>10580</v>
      </c>
      <c r="F129" s="1084"/>
      <c r="H129" s="1082"/>
    </row>
    <row r="130" spans="1:8" s="1051" customFormat="1" ht="14.25" customHeight="1" thickBot="1">
      <c r="A130" s="1063" t="s">
        <v>1398</v>
      </c>
      <c r="B130" s="1057" t="s">
        <v>1268</v>
      </c>
      <c r="C130" s="1057">
        <v>9680</v>
      </c>
      <c r="D130" s="1057">
        <v>9660</v>
      </c>
      <c r="E130" s="1057">
        <v>9950</v>
      </c>
      <c r="F130" s="1084"/>
      <c r="H130" s="1082"/>
    </row>
    <row r="131" spans="1:8" s="1051" customFormat="1" ht="14.25" customHeight="1" thickBot="1">
      <c r="A131" s="1063" t="s">
        <v>1398</v>
      </c>
      <c r="B131" s="1057" t="s">
        <v>1276</v>
      </c>
      <c r="C131" s="1057">
        <v>9540</v>
      </c>
      <c r="D131" s="1057">
        <v>9510</v>
      </c>
      <c r="E131" s="1057">
        <v>9790</v>
      </c>
      <c r="F131" s="1084"/>
      <c r="H131" s="1082"/>
    </row>
    <row r="132" spans="1:8" s="1051" customFormat="1" ht="14.25" customHeight="1" thickBot="1">
      <c r="A132" s="1063" t="s">
        <v>1398</v>
      </c>
      <c r="B132" s="1057" t="s">
        <v>1283</v>
      </c>
      <c r="C132" s="1057">
        <v>9320</v>
      </c>
      <c r="D132" s="1057">
        <v>9290</v>
      </c>
      <c r="E132" s="1057">
        <v>9570</v>
      </c>
      <c r="F132" s="1084"/>
      <c r="H132" s="1082"/>
    </row>
    <row r="133" spans="1:8" s="1051" customFormat="1" ht="14.25" customHeight="1" thickBot="1">
      <c r="A133" s="1063" t="s">
        <v>1398</v>
      </c>
      <c r="B133" s="1057" t="s">
        <v>1290</v>
      </c>
      <c r="C133" s="1057">
        <v>10310</v>
      </c>
      <c r="D133" s="1057">
        <v>10280</v>
      </c>
      <c r="E133" s="1057">
        <v>10530</v>
      </c>
      <c r="F133" s="1084"/>
      <c r="H133" s="1082"/>
    </row>
    <row r="134" spans="1:8" s="1051" customFormat="1" ht="14.25" customHeight="1" thickBot="1">
      <c r="A134" s="1063" t="s">
        <v>1398</v>
      </c>
      <c r="B134" s="1057" t="s">
        <v>1297</v>
      </c>
      <c r="C134" s="1057">
        <v>10370</v>
      </c>
      <c r="D134" s="1057">
        <v>10310</v>
      </c>
      <c r="E134" s="1057">
        <v>10240</v>
      </c>
      <c r="F134" s="1075">
        <v>2060</v>
      </c>
      <c r="H134" s="1082"/>
    </row>
    <row r="135" spans="1:8" s="1051" customFormat="1" ht="14.25" customHeight="1" thickBot="1">
      <c r="A135" s="1063" t="s">
        <v>1398</v>
      </c>
      <c r="B135" s="1057" t="s">
        <v>1304</v>
      </c>
      <c r="C135" s="1057">
        <v>9300</v>
      </c>
      <c r="D135" s="1057">
        <v>9270</v>
      </c>
      <c r="E135" s="1057">
        <v>9350</v>
      </c>
      <c r="F135" s="1084"/>
      <c r="H135" s="1082"/>
    </row>
    <row r="136" spans="1:8" s="1051" customFormat="1" ht="14.25" customHeight="1" thickBot="1">
      <c r="A136" s="1063" t="s">
        <v>1398</v>
      </c>
      <c r="B136" s="1057" t="s">
        <v>1311</v>
      </c>
      <c r="C136" s="1057">
        <v>10160</v>
      </c>
      <c r="D136" s="1057">
        <v>10110</v>
      </c>
      <c r="E136" s="1057">
        <v>10080</v>
      </c>
      <c r="F136" s="1084"/>
      <c r="H136" s="1082"/>
    </row>
    <row r="137" spans="1:8" s="1051" customFormat="1" ht="14.25" customHeight="1" thickBot="1">
      <c r="A137" s="1063" t="s">
        <v>1398</v>
      </c>
      <c r="B137" s="1057" t="s">
        <v>1318</v>
      </c>
      <c r="C137" s="1057">
        <v>9200</v>
      </c>
      <c r="D137" s="1057">
        <v>9170</v>
      </c>
      <c r="E137" s="1057">
        <v>9450</v>
      </c>
      <c r="F137" s="1084"/>
      <c r="H137" s="1082"/>
    </row>
    <row r="138" spans="1:8" s="1051" customFormat="1" ht="14.25" customHeight="1" thickBot="1">
      <c r="A138" s="1063" t="s">
        <v>1398</v>
      </c>
      <c r="B138" s="1057" t="s">
        <v>1323</v>
      </c>
      <c r="C138" s="1057">
        <v>9690</v>
      </c>
      <c r="D138" s="1057">
        <v>9660</v>
      </c>
      <c r="E138" s="1057">
        <v>9840</v>
      </c>
      <c r="F138" s="1084"/>
      <c r="H138" s="1082"/>
    </row>
    <row r="139" spans="1:8" s="1051" customFormat="1" ht="14.25" customHeight="1" thickBot="1">
      <c r="A139" s="1063" t="s">
        <v>1398</v>
      </c>
      <c r="B139" s="1057" t="s">
        <v>1327</v>
      </c>
      <c r="C139" s="1057">
        <v>10290</v>
      </c>
      <c r="D139" s="1057">
        <v>10260</v>
      </c>
      <c r="E139" s="1057">
        <v>10550</v>
      </c>
      <c r="F139" s="1075">
        <v>1700</v>
      </c>
      <c r="H139" s="1082"/>
    </row>
    <row r="140" spans="1:8" s="1051" customFormat="1" ht="14.25" customHeight="1" thickBot="1">
      <c r="A140" s="1063" t="s">
        <v>1398</v>
      </c>
      <c r="B140" s="1057" t="s">
        <v>1332</v>
      </c>
      <c r="C140" s="1057">
        <v>9740</v>
      </c>
      <c r="D140" s="1057">
        <v>9710</v>
      </c>
      <c r="E140" s="1057">
        <v>10000</v>
      </c>
      <c r="F140" s="1075">
        <v>2000</v>
      </c>
      <c r="H140" s="1082"/>
    </row>
    <row r="141" spans="1:8" s="1051" customFormat="1" ht="14.25" customHeight="1" thickBot="1">
      <c r="A141" s="1063" t="s">
        <v>1398</v>
      </c>
      <c r="B141" s="1057" t="s">
        <v>1337</v>
      </c>
      <c r="C141" s="1057">
        <v>9810</v>
      </c>
      <c r="D141" s="1057">
        <v>9770</v>
      </c>
      <c r="E141" s="1057">
        <v>10060</v>
      </c>
      <c r="F141" s="1084"/>
      <c r="H141" s="1082"/>
    </row>
    <row r="142" spans="1:8" s="1051" customFormat="1" ht="14.25" customHeight="1" thickBot="1">
      <c r="A142" s="1063" t="s">
        <v>1398</v>
      </c>
      <c r="B142" s="1057" t="s">
        <v>1342</v>
      </c>
      <c r="C142" s="1057">
        <v>9300</v>
      </c>
      <c r="D142" s="1057">
        <v>9270</v>
      </c>
      <c r="E142" s="1057">
        <v>9530</v>
      </c>
      <c r="F142" s="1084"/>
      <c r="H142" s="1082"/>
    </row>
    <row r="143" spans="1:8" s="1051" customFormat="1" ht="14.25" customHeight="1" thickBot="1">
      <c r="A143" s="1063" t="s">
        <v>1398</v>
      </c>
      <c r="B143" s="1057" t="s">
        <v>1347</v>
      </c>
      <c r="C143" s="1057">
        <v>10080</v>
      </c>
      <c r="D143" s="1057">
        <v>10050</v>
      </c>
      <c r="E143" s="1057">
        <v>10340</v>
      </c>
      <c r="F143" s="1084"/>
      <c r="H143" s="1082"/>
    </row>
    <row r="144" spans="1:8" s="1051" customFormat="1" ht="14.25" customHeight="1" thickBot="1">
      <c r="A144" s="1063" t="s">
        <v>1398</v>
      </c>
      <c r="B144" s="1057" t="s">
        <v>1351</v>
      </c>
      <c r="C144" s="1057">
        <v>9820</v>
      </c>
      <c r="D144" s="1057">
        <v>9750</v>
      </c>
      <c r="E144" s="1057">
        <v>9900</v>
      </c>
      <c r="F144" s="1084"/>
      <c r="H144" s="1082"/>
    </row>
    <row r="145" spans="1:8" s="1051" customFormat="1" ht="14.25" customHeight="1" thickBot="1">
      <c r="A145" s="1063" t="s">
        <v>1398</v>
      </c>
      <c r="B145" s="1057" t="s">
        <v>1355</v>
      </c>
      <c r="C145" s="1057"/>
      <c r="D145" s="1057"/>
      <c r="E145" s="1057"/>
      <c r="F145" s="1075">
        <v>1740</v>
      </c>
      <c r="H145" s="1082"/>
    </row>
    <row r="146" spans="1:8" s="1051" customFormat="1" ht="14.25" customHeight="1" thickBot="1">
      <c r="A146" s="1063" t="s">
        <v>1398</v>
      </c>
      <c r="B146" s="1057" t="s">
        <v>1359</v>
      </c>
      <c r="C146" s="1057"/>
      <c r="D146" s="1057"/>
      <c r="E146" s="1057"/>
      <c r="F146" s="1075">
        <v>1740</v>
      </c>
      <c r="H146" s="1082"/>
    </row>
    <row r="147" spans="1:8" s="1051" customFormat="1" ht="14.25" customHeight="1" thickBot="1">
      <c r="A147" s="1063" t="s">
        <v>1398</v>
      </c>
      <c r="B147" s="1057" t="s">
        <v>1363</v>
      </c>
      <c r="C147" s="1057"/>
      <c r="D147" s="1057"/>
      <c r="E147" s="1057"/>
      <c r="F147" s="1075">
        <v>1740</v>
      </c>
      <c r="H147" s="1082"/>
    </row>
    <row r="148" spans="1:8" s="1051" customFormat="1" ht="14.25" customHeight="1" thickBot="1">
      <c r="A148" s="1063" t="s">
        <v>1398</v>
      </c>
      <c r="B148" s="1057" t="s">
        <v>1367</v>
      </c>
      <c r="C148" s="1057"/>
      <c r="D148" s="1057"/>
      <c r="E148" s="1057"/>
      <c r="F148" s="1075">
        <v>1740</v>
      </c>
      <c r="H148" s="1082"/>
    </row>
    <row r="149" spans="1:8" s="1051" customFormat="1" ht="14.25" customHeight="1" thickBot="1">
      <c r="A149" s="1063" t="s">
        <v>1398</v>
      </c>
      <c r="B149" s="1057" t="s">
        <v>1371</v>
      </c>
      <c r="C149" s="1057"/>
      <c r="D149" s="1057"/>
      <c r="E149" s="1057"/>
      <c r="F149" s="1075">
        <v>1740</v>
      </c>
      <c r="H149" s="1082"/>
    </row>
    <row r="150" spans="1:8" s="1051" customFormat="1" ht="14.25" customHeight="1" thickBot="1">
      <c r="A150" s="1063" t="s">
        <v>1398</v>
      </c>
      <c r="B150" s="1057" t="s">
        <v>1374</v>
      </c>
      <c r="C150" s="1057"/>
      <c r="D150" s="1057"/>
      <c r="E150" s="1057"/>
      <c r="F150" s="1075">
        <v>1610</v>
      </c>
      <c r="H150" s="1082"/>
    </row>
    <row r="151" spans="1:8" s="1051" customFormat="1" ht="14.25" customHeight="1" thickBot="1">
      <c r="A151" s="1063" t="s">
        <v>1398</v>
      </c>
      <c r="B151" s="1057" t="s">
        <v>1377</v>
      </c>
      <c r="C151" s="1057"/>
      <c r="D151" s="1057"/>
      <c r="E151" s="1057"/>
      <c r="F151" s="1075">
        <v>1610</v>
      </c>
      <c r="H151" s="1082"/>
    </row>
    <row r="152" spans="1:8" s="1051" customFormat="1" ht="14.25" customHeight="1" thickBot="1">
      <c r="A152" s="1063" t="s">
        <v>1398</v>
      </c>
      <c r="B152" s="1057" t="s">
        <v>1380</v>
      </c>
      <c r="C152" s="1057"/>
      <c r="D152" s="1057"/>
      <c r="E152" s="1057"/>
      <c r="F152" s="1075">
        <v>1610</v>
      </c>
      <c r="H152" s="1082"/>
    </row>
    <row r="153" spans="1:8" s="1051" customFormat="1" ht="14.25" customHeight="1" thickBot="1">
      <c r="A153" s="1063" t="s">
        <v>1398</v>
      </c>
      <c r="B153" s="1057" t="s">
        <v>1383</v>
      </c>
      <c r="C153" s="1057"/>
      <c r="D153" s="1057"/>
      <c r="E153" s="1057"/>
      <c r="F153" s="1075">
        <v>1610</v>
      </c>
      <c r="H153" s="1082"/>
    </row>
    <row r="154" spans="1:8" s="1051" customFormat="1" ht="14.25" customHeight="1" thickBot="1">
      <c r="A154" s="1063" t="s">
        <v>1398</v>
      </c>
      <c r="B154" s="1057" t="s">
        <v>1386</v>
      </c>
      <c r="C154" s="1057"/>
      <c r="D154" s="1057"/>
      <c r="E154" s="1057"/>
      <c r="F154" s="1075">
        <v>1610</v>
      </c>
      <c r="H154" s="1082"/>
    </row>
    <row r="155" spans="1:8" s="1051" customFormat="1" ht="14.25" customHeight="1" thickBot="1">
      <c r="A155" s="1063" t="s">
        <v>1398</v>
      </c>
      <c r="B155" s="1057" t="s">
        <v>1389</v>
      </c>
      <c r="C155" s="1057"/>
      <c r="D155" s="1057"/>
      <c r="E155" s="1057"/>
      <c r="F155" s="1075">
        <v>1800</v>
      </c>
      <c r="H155" s="1082"/>
    </row>
    <row r="156" spans="1:8" s="1051" customFormat="1" ht="14.25" customHeight="1" thickBot="1">
      <c r="A156" s="1063" t="s">
        <v>1398</v>
      </c>
      <c r="B156" s="1057" t="s">
        <v>1391</v>
      </c>
      <c r="C156" s="1057"/>
      <c r="D156" s="1057"/>
      <c r="E156" s="1057"/>
      <c r="F156" s="1075">
        <v>1910</v>
      </c>
      <c r="H156" s="1082"/>
    </row>
    <row r="157" spans="1:8" s="1051" customFormat="1" ht="14.25" customHeight="1" thickBot="1">
      <c r="A157" s="1063" t="s">
        <v>1398</v>
      </c>
      <c r="B157" s="1073" t="s">
        <v>1394</v>
      </c>
      <c r="C157" s="1073"/>
      <c r="D157" s="1073"/>
      <c r="E157" s="1073"/>
      <c r="F157" s="1083">
        <v>1500</v>
      </c>
      <c r="H157" s="1082"/>
    </row>
    <row r="158" spans="1:8" s="1051" customFormat="1" ht="14.25" customHeight="1" thickBot="1">
      <c r="A158" s="1063" t="s">
        <v>1400</v>
      </c>
      <c r="B158" s="1064" t="s">
        <v>1401</v>
      </c>
      <c r="C158" s="1064">
        <v>8170</v>
      </c>
      <c r="D158" s="1064">
        <v>8140</v>
      </c>
      <c r="E158" s="1064">
        <v>8590</v>
      </c>
      <c r="F158" s="1065">
        <v>1450</v>
      </c>
      <c r="H158" s="1082"/>
    </row>
    <row r="159" spans="1:8" s="1051" customFormat="1" ht="14.25" customHeight="1" thickBot="1">
      <c r="A159" s="1063" t="s">
        <v>1400</v>
      </c>
      <c r="B159" s="1057" t="s">
        <v>1065</v>
      </c>
      <c r="C159" s="1057">
        <v>7410</v>
      </c>
      <c r="D159" s="1057">
        <v>7370</v>
      </c>
      <c r="E159" s="1057">
        <v>8030</v>
      </c>
      <c r="F159" s="1075">
        <v>1510</v>
      </c>
      <c r="H159" s="1082"/>
    </row>
    <row r="160" spans="1:8" s="1051" customFormat="1" ht="14.25" customHeight="1" thickBot="1">
      <c r="A160" s="1063" t="s">
        <v>1400</v>
      </c>
      <c r="B160" s="1057" t="s">
        <v>1079</v>
      </c>
      <c r="C160" s="1057">
        <v>7240</v>
      </c>
      <c r="D160" s="1057">
        <v>7210</v>
      </c>
      <c r="E160" s="1057">
        <v>7860</v>
      </c>
      <c r="F160" s="1075">
        <v>1370</v>
      </c>
      <c r="H160" s="1082"/>
    </row>
    <row r="161" spans="1:8" s="1051" customFormat="1" ht="14.25" customHeight="1" thickBot="1">
      <c r="A161" s="1063" t="s">
        <v>1400</v>
      </c>
      <c r="B161" s="1057" t="s">
        <v>1092</v>
      </c>
      <c r="C161" s="1057">
        <v>7720</v>
      </c>
      <c r="D161" s="1057">
        <v>7690</v>
      </c>
      <c r="E161" s="1057">
        <v>8200</v>
      </c>
      <c r="F161" s="1075">
        <v>1190</v>
      </c>
      <c r="H161" s="1082"/>
    </row>
    <row r="162" spans="1:8" s="1051" customFormat="1" ht="14.25" customHeight="1" thickBot="1">
      <c r="A162" s="1063" t="s">
        <v>1400</v>
      </c>
      <c r="B162" s="1057" t="s">
        <v>1106</v>
      </c>
      <c r="C162" s="1057">
        <v>6900</v>
      </c>
      <c r="D162" s="1057">
        <v>6870</v>
      </c>
      <c r="E162" s="1057">
        <v>7500</v>
      </c>
      <c r="F162" s="1075">
        <v>1390</v>
      </c>
      <c r="H162" s="1082"/>
    </row>
    <row r="163" spans="1:8" s="1051" customFormat="1" ht="14.25" customHeight="1" thickBot="1">
      <c r="A163" s="1063" t="s">
        <v>1400</v>
      </c>
      <c r="B163" s="1057" t="s">
        <v>1117</v>
      </c>
      <c r="C163" s="1057">
        <v>7120</v>
      </c>
      <c r="D163" s="1057">
        <v>7090</v>
      </c>
      <c r="E163" s="1057">
        <v>7690</v>
      </c>
      <c r="F163" s="1075">
        <v>1230</v>
      </c>
      <c r="H163" s="1082"/>
    </row>
    <row r="164" spans="1:8" s="1051" customFormat="1" ht="14.25" customHeight="1" thickBot="1">
      <c r="A164" s="1063" t="s">
        <v>1400</v>
      </c>
      <c r="B164" s="1057" t="s">
        <v>1128</v>
      </c>
      <c r="C164" s="1057">
        <v>6560</v>
      </c>
      <c r="D164" s="1057">
        <v>6530</v>
      </c>
      <c r="E164" s="1057">
        <v>7110</v>
      </c>
      <c r="F164" s="1075">
        <v>1340</v>
      </c>
      <c r="H164" s="1082"/>
    </row>
    <row r="165" spans="1:8" s="1051" customFormat="1" ht="14.25" customHeight="1" thickBot="1">
      <c r="A165" s="1063" t="s">
        <v>1400</v>
      </c>
      <c r="B165" s="1057" t="s">
        <v>1139</v>
      </c>
      <c r="C165" s="1057">
        <v>7450</v>
      </c>
      <c r="D165" s="1057">
        <v>7430</v>
      </c>
      <c r="E165" s="1057">
        <v>8110</v>
      </c>
      <c r="F165" s="1075">
        <v>1290</v>
      </c>
      <c r="H165" s="1082"/>
    </row>
    <row r="166" spans="1:8" s="1051" customFormat="1" ht="14.25" customHeight="1" thickBot="1">
      <c r="A166" s="1063" t="s">
        <v>1400</v>
      </c>
      <c r="B166" s="1057" t="s">
        <v>1151</v>
      </c>
      <c r="C166" s="1057">
        <v>7490</v>
      </c>
      <c r="D166" s="1057">
        <v>7460</v>
      </c>
      <c r="E166" s="1057">
        <v>8150</v>
      </c>
      <c r="F166" s="1075">
        <v>1350</v>
      </c>
      <c r="H166" s="1082"/>
    </row>
    <row r="167" spans="1:8" s="1051" customFormat="1" ht="14.25" customHeight="1" thickBot="1">
      <c r="A167" s="1063" t="s">
        <v>1400</v>
      </c>
      <c r="B167" s="1057" t="s">
        <v>1161</v>
      </c>
      <c r="C167" s="1057">
        <v>7540</v>
      </c>
      <c r="D167" s="1057">
        <v>7510</v>
      </c>
      <c r="E167" s="1057">
        <v>8030</v>
      </c>
      <c r="F167" s="1084"/>
      <c r="H167" s="1082"/>
    </row>
    <row r="168" spans="1:8" s="1051" customFormat="1" ht="14.25" customHeight="1" thickBot="1">
      <c r="A168" s="1063" t="s">
        <v>1400</v>
      </c>
      <c r="B168" s="1057" t="s">
        <v>1171</v>
      </c>
      <c r="C168" s="1057">
        <v>7210</v>
      </c>
      <c r="D168" s="1057">
        <v>7180</v>
      </c>
      <c r="E168" s="1057">
        <v>7830</v>
      </c>
      <c r="F168" s="1084"/>
      <c r="H168" s="1082"/>
    </row>
    <row r="169" spans="1:8" s="1051" customFormat="1" ht="14.25" customHeight="1" thickBot="1">
      <c r="A169" s="1063" t="s">
        <v>1400</v>
      </c>
      <c r="B169" s="1057" t="s">
        <v>1181</v>
      </c>
      <c r="C169" s="1057">
        <v>7040</v>
      </c>
      <c r="D169" s="1057">
        <v>7020</v>
      </c>
      <c r="E169" s="1057">
        <v>7670</v>
      </c>
      <c r="F169" s="1084"/>
      <c r="H169" s="1082"/>
    </row>
    <row r="170" spans="1:8" s="1051" customFormat="1" ht="14.25" customHeight="1" thickBot="1">
      <c r="A170" s="1063" t="s">
        <v>1400</v>
      </c>
      <c r="B170" s="1057" t="s">
        <v>1191</v>
      </c>
      <c r="C170" s="1057">
        <v>8040</v>
      </c>
      <c r="D170" s="1057">
        <v>7190</v>
      </c>
      <c r="E170" s="1057">
        <v>7850</v>
      </c>
      <c r="F170" s="1084"/>
      <c r="H170" s="1082"/>
    </row>
    <row r="171" spans="1:8" s="1051" customFormat="1" ht="14.25" customHeight="1" thickBot="1">
      <c r="A171" s="1063" t="s">
        <v>1400</v>
      </c>
      <c r="B171" s="1057" t="s">
        <v>1201</v>
      </c>
      <c r="C171" s="1057">
        <v>7860</v>
      </c>
      <c r="D171" s="1057">
        <v>7720</v>
      </c>
      <c r="E171" s="1057">
        <v>8150</v>
      </c>
      <c r="F171" s="1075">
        <v>1110</v>
      </c>
      <c r="H171" s="1082"/>
    </row>
    <row r="172" spans="1:8" s="1051" customFormat="1" ht="14.25" customHeight="1" thickBot="1">
      <c r="A172" s="1063" t="s">
        <v>1400</v>
      </c>
      <c r="B172" s="1057" t="s">
        <v>1211</v>
      </c>
      <c r="C172" s="1057">
        <v>7210</v>
      </c>
      <c r="D172" s="1057">
        <v>7170</v>
      </c>
      <c r="E172" s="1057">
        <v>7320</v>
      </c>
      <c r="F172" s="1084"/>
      <c r="H172" s="1082"/>
    </row>
    <row r="173" spans="1:8" s="1051" customFormat="1" ht="14.25" customHeight="1" thickBot="1">
      <c r="A173" s="1063" t="s">
        <v>1400</v>
      </c>
      <c r="B173" s="1057" t="s">
        <v>1221</v>
      </c>
      <c r="C173" s="1057">
        <v>6860</v>
      </c>
      <c r="D173" s="1057">
        <v>6810</v>
      </c>
      <c r="E173" s="1057">
        <v>7440</v>
      </c>
      <c r="F173" s="1084"/>
      <c r="H173" s="1082"/>
    </row>
    <row r="174" spans="1:8" s="1051" customFormat="1" ht="14.25" customHeight="1" thickBot="1">
      <c r="A174" s="1063" t="s">
        <v>1400</v>
      </c>
      <c r="B174" s="1057" t="s">
        <v>1231</v>
      </c>
      <c r="C174" s="1057">
        <v>7120</v>
      </c>
      <c r="D174" s="1057">
        <v>7090</v>
      </c>
      <c r="E174" s="1057">
        <v>7500</v>
      </c>
      <c r="F174" s="1075">
        <v>1490</v>
      </c>
      <c r="H174" s="1082"/>
    </row>
    <row r="175" spans="1:8" s="1051" customFormat="1" ht="14.25" customHeight="1" thickBot="1">
      <c r="A175" s="1063" t="s">
        <v>1400</v>
      </c>
      <c r="B175" s="1057" t="s">
        <v>1241</v>
      </c>
      <c r="C175" s="1057">
        <v>7850</v>
      </c>
      <c r="D175" s="1057">
        <v>7820</v>
      </c>
      <c r="E175" s="1057">
        <v>8120</v>
      </c>
      <c r="F175" s="1075">
        <v>1530</v>
      </c>
      <c r="H175" s="1082"/>
    </row>
    <row r="176" spans="1:8" s="1051" customFormat="1" ht="14.25" customHeight="1" thickBot="1">
      <c r="A176" s="1063" t="s">
        <v>1400</v>
      </c>
      <c r="B176" s="1057" t="s">
        <v>1251</v>
      </c>
      <c r="C176" s="1057">
        <v>7620</v>
      </c>
      <c r="D176" s="1057">
        <v>7570</v>
      </c>
      <c r="E176" s="1057">
        <v>7990</v>
      </c>
      <c r="F176" s="1075">
        <v>1480</v>
      </c>
      <c r="H176" s="1082"/>
    </row>
    <row r="177" spans="1:8" s="1051" customFormat="1" ht="14.25" customHeight="1" thickBot="1">
      <c r="A177" s="1063" t="s">
        <v>1400</v>
      </c>
      <c r="B177" s="1057" t="s">
        <v>1260</v>
      </c>
      <c r="C177" s="1057">
        <v>8590</v>
      </c>
      <c r="D177" s="1057">
        <v>8570</v>
      </c>
      <c r="E177" s="1057">
        <v>8740</v>
      </c>
      <c r="F177" s="1075">
        <v>1540</v>
      </c>
      <c r="H177" s="1082"/>
    </row>
    <row r="178" spans="1:8" s="1051" customFormat="1" ht="14.25" customHeight="1" thickBot="1">
      <c r="A178" s="1063" t="s">
        <v>1400</v>
      </c>
      <c r="B178" s="1057" t="s">
        <v>1269</v>
      </c>
      <c r="C178" s="1057">
        <v>7510</v>
      </c>
      <c r="D178" s="1057">
        <v>7470</v>
      </c>
      <c r="E178" s="1057">
        <v>8090</v>
      </c>
      <c r="F178" s="1075">
        <v>1320</v>
      </c>
      <c r="H178" s="1082"/>
    </row>
    <row r="179" spans="1:8" s="1051" customFormat="1" ht="14.25" customHeight="1" thickBot="1">
      <c r="A179" s="1063" t="s">
        <v>1400</v>
      </c>
      <c r="B179" s="1057" t="s">
        <v>1277</v>
      </c>
      <c r="C179" s="1057">
        <v>6380</v>
      </c>
      <c r="D179" s="1057">
        <v>6340</v>
      </c>
      <c r="E179" s="1057">
        <v>6810</v>
      </c>
      <c r="F179" s="1084"/>
      <c r="H179" s="1082"/>
    </row>
    <row r="180" spans="1:8" s="1051" customFormat="1" ht="14.25" customHeight="1" thickBot="1">
      <c r="A180" s="1063" t="s">
        <v>1400</v>
      </c>
      <c r="B180" s="1057" t="s">
        <v>1284</v>
      </c>
      <c r="C180" s="1057">
        <v>7830</v>
      </c>
      <c r="D180" s="1057">
        <v>7800</v>
      </c>
      <c r="E180" s="1057">
        <v>7780</v>
      </c>
      <c r="F180" s="1075">
        <v>1440</v>
      </c>
      <c r="H180" s="1082"/>
    </row>
    <row r="181" spans="1:8" s="1051" customFormat="1" ht="14.25" customHeight="1" thickBot="1">
      <c r="A181" s="1063" t="s">
        <v>1400</v>
      </c>
      <c r="B181" s="1057" t="s">
        <v>1291</v>
      </c>
      <c r="C181" s="1057">
        <v>7110</v>
      </c>
      <c r="D181" s="1057">
        <v>7080</v>
      </c>
      <c r="E181" s="1057">
        <v>7730</v>
      </c>
      <c r="F181" s="1075">
        <v>1350</v>
      </c>
      <c r="H181" s="1082"/>
    </row>
    <row r="182" spans="1:8" s="1051" customFormat="1" ht="14.25" customHeight="1" thickBot="1">
      <c r="A182" s="1063" t="s">
        <v>1400</v>
      </c>
      <c r="B182" s="1057" t="s">
        <v>1298</v>
      </c>
      <c r="C182" s="1057">
        <v>7310</v>
      </c>
      <c r="D182" s="1057">
        <v>7280</v>
      </c>
      <c r="E182" s="1057">
        <v>7950</v>
      </c>
      <c r="F182" s="1075">
        <v>1220</v>
      </c>
      <c r="H182" s="1082"/>
    </row>
    <row r="183" spans="1:8" s="1051" customFormat="1" ht="14.25" customHeight="1" thickBot="1">
      <c r="A183" s="1063" t="s">
        <v>1400</v>
      </c>
      <c r="B183" s="1057" t="s">
        <v>1305</v>
      </c>
      <c r="C183" s="1057">
        <v>7470</v>
      </c>
      <c r="D183" s="1057">
        <v>7440</v>
      </c>
      <c r="E183" s="1057">
        <v>7880</v>
      </c>
      <c r="F183" s="1084"/>
      <c r="H183" s="1082"/>
    </row>
    <row r="184" spans="1:8" s="1051" customFormat="1" ht="14.25" customHeight="1" thickBot="1">
      <c r="A184" s="1063" t="s">
        <v>1400</v>
      </c>
      <c r="B184" s="1057" t="s">
        <v>1312</v>
      </c>
      <c r="C184" s="1057">
        <v>6960</v>
      </c>
      <c r="D184" s="1057">
        <v>6930</v>
      </c>
      <c r="E184" s="1057">
        <v>7570</v>
      </c>
      <c r="F184" s="1084"/>
      <c r="H184" s="1082"/>
    </row>
    <row r="185" spans="1:8" s="1051" customFormat="1" ht="14.25" customHeight="1" thickBot="1">
      <c r="A185" s="1063" t="s">
        <v>1400</v>
      </c>
      <c r="B185" s="1057" t="s">
        <v>1319</v>
      </c>
      <c r="C185" s="1057">
        <v>7260</v>
      </c>
      <c r="D185" s="1057">
        <v>7230</v>
      </c>
      <c r="E185" s="1057">
        <v>7710</v>
      </c>
      <c r="F185" s="1075">
        <v>1360</v>
      </c>
      <c r="H185" s="1082"/>
    </row>
    <row r="186" spans="1:8" s="1051" customFormat="1" ht="14.25" customHeight="1" thickBot="1">
      <c r="A186" s="1063" t="s">
        <v>1400</v>
      </c>
      <c r="B186" s="1057" t="s">
        <v>1324</v>
      </c>
      <c r="C186" s="1057"/>
      <c r="D186" s="1057"/>
      <c r="E186" s="1057"/>
      <c r="F186" s="1075">
        <v>1560</v>
      </c>
      <c r="H186" s="1082"/>
    </row>
    <row r="187" spans="1:8" s="1051" customFormat="1" ht="14.25" customHeight="1" thickBot="1">
      <c r="A187" s="1063" t="s">
        <v>1400</v>
      </c>
      <c r="B187" s="1057" t="s">
        <v>1328</v>
      </c>
      <c r="C187" s="1057"/>
      <c r="D187" s="1057"/>
      <c r="E187" s="1057"/>
      <c r="F187" s="1075">
        <v>1560</v>
      </c>
      <c r="H187" s="1082"/>
    </row>
    <row r="188" spans="1:8" s="1051" customFormat="1" ht="14.25" customHeight="1" thickBot="1">
      <c r="A188" s="1063" t="s">
        <v>1400</v>
      </c>
      <c r="B188" s="1057" t="s">
        <v>1333</v>
      </c>
      <c r="C188" s="1057"/>
      <c r="D188" s="1057"/>
      <c r="E188" s="1057"/>
      <c r="F188" s="1075">
        <v>1560</v>
      </c>
      <c r="H188" s="1082"/>
    </row>
    <row r="189" spans="1:8" s="1051" customFormat="1" ht="14.25" customHeight="1" thickBot="1">
      <c r="A189" s="1063" t="s">
        <v>1400</v>
      </c>
      <c r="B189" s="1057" t="s">
        <v>1338</v>
      </c>
      <c r="C189" s="1057"/>
      <c r="D189" s="1057"/>
      <c r="E189" s="1057"/>
      <c r="F189" s="1075">
        <v>1320</v>
      </c>
      <c r="H189" s="1082"/>
    </row>
    <row r="190" spans="1:8" s="1051" customFormat="1" ht="14.25" customHeight="1" thickBot="1">
      <c r="A190" s="1063" t="s">
        <v>1400</v>
      </c>
      <c r="B190" s="1057" t="s">
        <v>1343</v>
      </c>
      <c r="C190" s="1057"/>
      <c r="D190" s="1057"/>
      <c r="E190" s="1057"/>
      <c r="F190" s="1075">
        <v>1320</v>
      </c>
      <c r="H190" s="1082"/>
    </row>
    <row r="191" spans="1:8" s="1051" customFormat="1" ht="14.25" customHeight="1" thickBot="1">
      <c r="A191" s="1063" t="s">
        <v>1400</v>
      </c>
      <c r="B191" s="1057" t="s">
        <v>1348</v>
      </c>
      <c r="C191" s="1057"/>
      <c r="D191" s="1057"/>
      <c r="E191" s="1057"/>
      <c r="F191" s="1075">
        <v>1320</v>
      </c>
      <c r="H191" s="1082"/>
    </row>
    <row r="192" spans="1:8" s="1051" customFormat="1" ht="14.25" customHeight="1" thickBot="1">
      <c r="A192" s="1063" t="s">
        <v>1400</v>
      </c>
      <c r="B192" s="1057" t="s">
        <v>1352</v>
      </c>
      <c r="C192" s="1057"/>
      <c r="D192" s="1057"/>
      <c r="E192" s="1057"/>
      <c r="F192" s="1075">
        <v>1100</v>
      </c>
      <c r="H192" s="1082"/>
    </row>
    <row r="193" spans="1:8" s="1051" customFormat="1" ht="14.25" customHeight="1" thickBot="1">
      <c r="A193" s="1063" t="s">
        <v>1400</v>
      </c>
      <c r="B193" s="1057" t="s">
        <v>1356</v>
      </c>
      <c r="C193" s="1057"/>
      <c r="D193" s="1057"/>
      <c r="E193" s="1057"/>
      <c r="F193" s="1075">
        <v>1100</v>
      </c>
      <c r="H193" s="1082"/>
    </row>
    <row r="194" spans="1:8" s="1051" customFormat="1" ht="14.25" customHeight="1" thickBot="1">
      <c r="A194" s="1063" t="s">
        <v>1400</v>
      </c>
      <c r="B194" s="1057" t="s">
        <v>1360</v>
      </c>
      <c r="C194" s="1057"/>
      <c r="D194" s="1057"/>
      <c r="E194" s="1057"/>
      <c r="F194" s="1075">
        <v>1080</v>
      </c>
      <c r="H194" s="1082"/>
    </row>
    <row r="195" spans="1:8" s="1051" customFormat="1" ht="14.25" customHeight="1" thickBot="1">
      <c r="A195" s="1063" t="s">
        <v>1400</v>
      </c>
      <c r="B195" s="1057" t="s">
        <v>1364</v>
      </c>
      <c r="C195" s="1057"/>
      <c r="D195" s="1057"/>
      <c r="E195" s="1057"/>
      <c r="F195" s="1075">
        <v>1270</v>
      </c>
      <c r="H195" s="1082"/>
    </row>
    <row r="196" spans="1:8" s="1051" customFormat="1" ht="14.25" customHeight="1" thickBot="1">
      <c r="A196" s="1063" t="s">
        <v>1400</v>
      </c>
      <c r="B196" s="1057" t="s">
        <v>1368</v>
      </c>
      <c r="C196" s="1057"/>
      <c r="D196" s="1057"/>
      <c r="E196" s="1057"/>
      <c r="F196" s="1075">
        <v>1150</v>
      </c>
      <c r="H196" s="1082"/>
    </row>
    <row r="197" spans="1:8" s="1051" customFormat="1" ht="14.25" customHeight="1" thickBot="1">
      <c r="A197" s="1063" t="s">
        <v>1400</v>
      </c>
      <c r="B197" s="1057" t="s">
        <v>1372</v>
      </c>
      <c r="C197" s="1057"/>
      <c r="D197" s="1057"/>
      <c r="E197" s="1057"/>
      <c r="F197" s="1075">
        <v>1330</v>
      </c>
      <c r="H197" s="1082"/>
    </row>
    <row r="198" spans="1:8" s="1051" customFormat="1" ht="14.25" customHeight="1" thickBot="1">
      <c r="A198" s="1063" t="s">
        <v>1400</v>
      </c>
      <c r="B198" s="1057" t="s">
        <v>1375</v>
      </c>
      <c r="C198" s="1057"/>
      <c r="D198" s="1057"/>
      <c r="E198" s="1057"/>
      <c r="F198" s="1075">
        <v>1170</v>
      </c>
      <c r="H198" s="1082"/>
    </row>
    <row r="199" spans="1:8" s="1051" customFormat="1" ht="14.25" customHeight="1" thickBot="1">
      <c r="A199" s="1063" t="s">
        <v>1400</v>
      </c>
      <c r="B199" s="1057" t="s">
        <v>1378</v>
      </c>
      <c r="C199" s="1057"/>
      <c r="D199" s="1057"/>
      <c r="E199" s="1057"/>
      <c r="F199" s="1075">
        <v>1120</v>
      </c>
      <c r="H199" s="1082"/>
    </row>
    <row r="200" spans="1:8" s="1051" customFormat="1" ht="14.25" customHeight="1" thickBot="1">
      <c r="A200" s="1063" t="s">
        <v>1400</v>
      </c>
      <c r="B200" s="1057" t="s">
        <v>1381</v>
      </c>
      <c r="C200" s="1057"/>
      <c r="D200" s="1057"/>
      <c r="E200" s="1057"/>
      <c r="F200" s="1075">
        <v>1120</v>
      </c>
      <c r="H200" s="1082"/>
    </row>
    <row r="201" spans="1:8" s="1051" customFormat="1" ht="14.25" customHeight="1" thickBot="1">
      <c r="A201" s="1063" t="s">
        <v>1400</v>
      </c>
      <c r="B201" s="1057" t="s">
        <v>1384</v>
      </c>
      <c r="C201" s="1057"/>
      <c r="D201" s="1057"/>
      <c r="E201" s="1057"/>
      <c r="F201" s="1075">
        <v>1540</v>
      </c>
      <c r="H201" s="1082"/>
    </row>
    <row r="202" spans="1:8" s="1051" customFormat="1" ht="14.25" customHeight="1" thickBot="1">
      <c r="A202" s="1063" t="s">
        <v>1400</v>
      </c>
      <c r="B202" s="1057" t="s">
        <v>1387</v>
      </c>
      <c r="C202" s="1057"/>
      <c r="D202" s="1057"/>
      <c r="E202" s="1057"/>
      <c r="F202" s="1075">
        <v>1310</v>
      </c>
      <c r="H202" s="1082"/>
    </row>
    <row r="203" spans="1:8" s="1051" customFormat="1" ht="14.25" customHeight="1" thickBot="1">
      <c r="A203" s="1063" t="s">
        <v>1400</v>
      </c>
      <c r="B203" s="1057" t="s">
        <v>1390</v>
      </c>
      <c r="C203" s="1057"/>
      <c r="D203" s="1057"/>
      <c r="E203" s="1057"/>
      <c r="F203" s="1075">
        <v>1310</v>
      </c>
      <c r="H203" s="1082"/>
    </row>
    <row r="204" spans="1:8" s="1051" customFormat="1" ht="14.25" customHeight="1" thickBot="1">
      <c r="A204" s="1063" t="s">
        <v>1400</v>
      </c>
      <c r="B204" s="1057" t="s">
        <v>1392</v>
      </c>
      <c r="C204" s="1057"/>
      <c r="D204" s="1057"/>
      <c r="E204" s="1057"/>
      <c r="F204" s="1075">
        <v>1080</v>
      </c>
      <c r="H204" s="1082"/>
    </row>
    <row r="205" spans="1:8" s="1051" customFormat="1" ht="14.25" customHeight="1" thickBot="1">
      <c r="A205" s="1063" t="s">
        <v>1400</v>
      </c>
      <c r="B205" s="1057" t="s">
        <v>1395</v>
      </c>
      <c r="C205" s="1057"/>
      <c r="D205" s="1057"/>
      <c r="E205" s="1057"/>
      <c r="F205" s="1075">
        <v>1080</v>
      </c>
      <c r="H205" s="1082"/>
    </row>
    <row r="206" spans="1:8" s="1051" customFormat="1" ht="14.25" customHeight="1" thickBot="1">
      <c r="A206" s="1063" t="s">
        <v>1402</v>
      </c>
      <c r="B206" s="1064" t="s">
        <v>1403</v>
      </c>
      <c r="C206" s="1064">
        <v>5450</v>
      </c>
      <c r="D206" s="1064">
        <v>5430</v>
      </c>
      <c r="E206" s="1064">
        <v>5700</v>
      </c>
      <c r="F206" s="1065">
        <v>1020</v>
      </c>
      <c r="H206" s="1082"/>
    </row>
    <row r="207" spans="1:8" s="1051" customFormat="1" ht="14.25" customHeight="1" thickBot="1">
      <c r="A207" s="1063" t="s">
        <v>1402</v>
      </c>
      <c r="B207" s="1057" t="s">
        <v>1066</v>
      </c>
      <c r="C207" s="1057">
        <v>5860</v>
      </c>
      <c r="D207" s="1057">
        <v>5820</v>
      </c>
      <c r="E207" s="1057">
        <v>6050</v>
      </c>
      <c r="F207" s="1075">
        <v>1080</v>
      </c>
      <c r="H207" s="1082"/>
    </row>
    <row r="208" spans="1:8" s="1051" customFormat="1" ht="14.25" customHeight="1" thickBot="1">
      <c r="A208" s="1063" t="s">
        <v>1402</v>
      </c>
      <c r="B208" s="1057" t="s">
        <v>1080</v>
      </c>
      <c r="C208" s="1057">
        <v>4630</v>
      </c>
      <c r="D208" s="1057">
        <v>4600</v>
      </c>
      <c r="E208" s="1057">
        <v>4840</v>
      </c>
      <c r="F208" s="1075">
        <v>900</v>
      </c>
      <c r="H208" s="1082"/>
    </row>
    <row r="209" spans="1:8" s="1051" customFormat="1" ht="14.25" customHeight="1" thickBot="1">
      <c r="A209" s="1063" t="s">
        <v>1402</v>
      </c>
      <c r="B209" s="1057" t="s">
        <v>1093</v>
      </c>
      <c r="C209" s="1057">
        <v>5320</v>
      </c>
      <c r="D209" s="1057">
        <v>5270</v>
      </c>
      <c r="E209" s="1057">
        <v>5540</v>
      </c>
      <c r="F209" s="1075">
        <v>980</v>
      </c>
      <c r="H209" s="1082"/>
    </row>
    <row r="210" spans="1:8" s="1051" customFormat="1" ht="14.25" customHeight="1" thickBot="1">
      <c r="A210" s="1063" t="s">
        <v>1402</v>
      </c>
      <c r="B210" s="1057" t="s">
        <v>1107</v>
      </c>
      <c r="C210" s="1057">
        <v>5760</v>
      </c>
      <c r="D210" s="1057">
        <v>5710</v>
      </c>
      <c r="E210" s="1057">
        <v>6010</v>
      </c>
      <c r="F210" s="1075">
        <v>870</v>
      </c>
      <c r="H210" s="1082"/>
    </row>
    <row r="211" spans="1:8" s="1051" customFormat="1" ht="14.25" customHeight="1" thickBot="1">
      <c r="A211" s="1063" t="s">
        <v>1402</v>
      </c>
      <c r="B211" s="1057" t="s">
        <v>1118</v>
      </c>
      <c r="C211" s="1057">
        <v>4160</v>
      </c>
      <c r="D211" s="1057">
        <v>4100</v>
      </c>
      <c r="E211" s="1057">
        <v>4270</v>
      </c>
      <c r="F211" s="1075">
        <v>790</v>
      </c>
      <c r="H211" s="1082"/>
    </row>
    <row r="212" spans="1:8" s="1051" customFormat="1" ht="14.25" customHeight="1" thickBot="1">
      <c r="A212" s="1063" t="s">
        <v>1402</v>
      </c>
      <c r="B212" s="1057" t="s">
        <v>1129</v>
      </c>
      <c r="C212" s="1057">
        <v>4880</v>
      </c>
      <c r="D212" s="1057">
        <v>4850</v>
      </c>
      <c r="E212" s="1057">
        <v>5110</v>
      </c>
      <c r="F212" s="1075">
        <v>940</v>
      </c>
      <c r="H212" s="1082"/>
    </row>
    <row r="213" spans="1:8" s="1051" customFormat="1" ht="14.25" customHeight="1" thickBot="1">
      <c r="A213" s="1063" t="s">
        <v>1402</v>
      </c>
      <c r="B213" s="1057" t="s">
        <v>1140</v>
      </c>
      <c r="C213" s="1057">
        <v>4640</v>
      </c>
      <c r="D213" s="1057">
        <v>4590</v>
      </c>
      <c r="E213" s="1057">
        <v>4700</v>
      </c>
      <c r="F213" s="1075">
        <v>1030</v>
      </c>
      <c r="H213" s="1082"/>
    </row>
    <row r="214" spans="1:8" s="1051" customFormat="1" ht="14.25" customHeight="1" thickBot="1">
      <c r="A214" s="1063" t="s">
        <v>1402</v>
      </c>
      <c r="B214" s="1057" t="s">
        <v>1152</v>
      </c>
      <c r="C214" s="1057">
        <v>4540</v>
      </c>
      <c r="D214" s="1057">
        <v>4490</v>
      </c>
      <c r="E214" s="1057">
        <v>4610</v>
      </c>
      <c r="F214" s="1084"/>
      <c r="H214" s="1082"/>
    </row>
    <row r="215" spans="1:8" s="1051" customFormat="1" ht="14.25" customHeight="1" thickBot="1">
      <c r="A215" s="1063" t="s">
        <v>1402</v>
      </c>
      <c r="B215" s="1057" t="s">
        <v>1162</v>
      </c>
      <c r="C215" s="1057">
        <v>5280</v>
      </c>
      <c r="D215" s="1057">
        <v>5250</v>
      </c>
      <c r="E215" s="1057">
        <v>5520</v>
      </c>
      <c r="F215" s="1075">
        <v>1000</v>
      </c>
      <c r="H215" s="1082"/>
    </row>
    <row r="216" spans="1:8" s="1051" customFormat="1" ht="14.25" customHeight="1" thickBot="1">
      <c r="A216" s="1063" t="s">
        <v>1402</v>
      </c>
      <c r="B216" s="1057" t="s">
        <v>1172</v>
      </c>
      <c r="C216" s="1057">
        <v>5100</v>
      </c>
      <c r="D216" s="1057">
        <v>5050</v>
      </c>
      <c r="E216" s="1057">
        <v>5300</v>
      </c>
      <c r="F216" s="1075">
        <v>950</v>
      </c>
      <c r="H216" s="1082"/>
    </row>
    <row r="217" spans="1:8" s="1051" customFormat="1" ht="14.25" customHeight="1" thickBot="1">
      <c r="A217" s="1063" t="s">
        <v>1402</v>
      </c>
      <c r="B217" s="1057" t="s">
        <v>1182</v>
      </c>
      <c r="C217" s="1057">
        <v>5370</v>
      </c>
      <c r="D217" s="1057">
        <v>5320</v>
      </c>
      <c r="E217" s="1057">
        <v>5410</v>
      </c>
      <c r="F217" s="1075">
        <v>950</v>
      </c>
      <c r="H217" s="1082"/>
    </row>
    <row r="218" spans="1:8" s="1051" customFormat="1" ht="14.25" customHeight="1" thickBot="1">
      <c r="A218" s="1063" t="s">
        <v>1402</v>
      </c>
      <c r="B218" s="1057" t="s">
        <v>1192</v>
      </c>
      <c r="C218" s="1057">
        <v>5540</v>
      </c>
      <c r="D218" s="1057">
        <v>5480</v>
      </c>
      <c r="E218" s="1057">
        <v>5740</v>
      </c>
      <c r="F218" s="1075">
        <v>1020</v>
      </c>
      <c r="H218" s="1082"/>
    </row>
    <row r="219" spans="1:8" s="1051" customFormat="1" ht="14.25" customHeight="1" thickBot="1">
      <c r="A219" s="1063" t="s">
        <v>1402</v>
      </c>
      <c r="B219" s="1057" t="s">
        <v>1202</v>
      </c>
      <c r="C219" s="1057">
        <v>5140</v>
      </c>
      <c r="D219" s="1057">
        <v>5100</v>
      </c>
      <c r="E219" s="1057">
        <v>5350</v>
      </c>
      <c r="F219" s="1075">
        <v>1120</v>
      </c>
      <c r="H219" s="1082"/>
    </row>
    <row r="220" spans="1:8" s="1051" customFormat="1" ht="14.25" customHeight="1" thickBot="1">
      <c r="A220" s="1063" t="s">
        <v>1402</v>
      </c>
      <c r="B220" s="1057" t="s">
        <v>1212</v>
      </c>
      <c r="C220" s="1057">
        <v>5040</v>
      </c>
      <c r="D220" s="1057">
        <v>5000</v>
      </c>
      <c r="E220" s="1057">
        <v>5240</v>
      </c>
      <c r="F220" s="1075">
        <v>980</v>
      </c>
      <c r="H220" s="1082"/>
    </row>
    <row r="221" spans="1:8" s="1051" customFormat="1" ht="14.25" customHeight="1" thickBot="1">
      <c r="A221" s="1063" t="s">
        <v>1402</v>
      </c>
      <c r="B221" s="1057" t="s">
        <v>1222</v>
      </c>
      <c r="C221" s="1085"/>
      <c r="D221" s="1085"/>
      <c r="E221" s="1085"/>
      <c r="F221" s="1075">
        <v>1070</v>
      </c>
      <c r="H221" s="1082"/>
    </row>
    <row r="222" spans="1:8" s="1051" customFormat="1" ht="14.25" customHeight="1" thickBot="1">
      <c r="A222" s="1063" t="s">
        <v>1402</v>
      </c>
      <c r="B222" s="1057" t="s">
        <v>1232</v>
      </c>
      <c r="C222" s="1085"/>
      <c r="D222" s="1085"/>
      <c r="E222" s="1085"/>
      <c r="F222" s="1075">
        <v>870</v>
      </c>
      <c r="H222" s="1082"/>
    </row>
    <row r="223" spans="1:8" s="1051" customFormat="1" ht="14.25" customHeight="1" thickBot="1">
      <c r="A223" s="1063" t="s">
        <v>1402</v>
      </c>
      <c r="B223" s="1057" t="s">
        <v>1242</v>
      </c>
      <c r="C223" s="1085"/>
      <c r="D223" s="1085"/>
      <c r="E223" s="1085"/>
      <c r="F223" s="1075">
        <v>940</v>
      </c>
      <c r="H223" s="1082"/>
    </row>
    <row r="224" spans="1:8" s="1051" customFormat="1" ht="14.25" customHeight="1" thickBot="1">
      <c r="A224" s="1063" t="s">
        <v>1402</v>
      </c>
      <c r="B224" s="1057" t="s">
        <v>1252</v>
      </c>
      <c r="C224" s="1085"/>
      <c r="D224" s="1085"/>
      <c r="E224" s="1085"/>
      <c r="F224" s="1075">
        <v>990</v>
      </c>
      <c r="H224" s="1082"/>
    </row>
    <row r="225" spans="1:8" s="1051" customFormat="1" ht="14.25" customHeight="1" thickBot="1">
      <c r="A225" s="1063" t="s">
        <v>1402</v>
      </c>
      <c r="B225" s="1057" t="s">
        <v>1261</v>
      </c>
      <c r="C225" s="1057">
        <v>5730</v>
      </c>
      <c r="D225" s="1057">
        <v>5680</v>
      </c>
      <c r="E225" s="1057">
        <v>6020</v>
      </c>
      <c r="F225" s="1075">
        <v>1000</v>
      </c>
      <c r="H225" s="1082"/>
    </row>
    <row r="226" spans="1:8" s="1051" customFormat="1" ht="14.25" customHeight="1" thickBot="1">
      <c r="A226" s="1063" t="s">
        <v>1402</v>
      </c>
      <c r="B226" s="1057" t="s">
        <v>1270</v>
      </c>
      <c r="C226" s="1057">
        <v>4970</v>
      </c>
      <c r="D226" s="1057">
        <v>4940</v>
      </c>
      <c r="E226" s="1057">
        <v>5180</v>
      </c>
      <c r="F226" s="1075">
        <v>960</v>
      </c>
      <c r="H226" s="1082"/>
    </row>
    <row r="227" spans="1:8" s="1051" customFormat="1" ht="14.25" customHeight="1" thickBot="1">
      <c r="A227" s="1063" t="s">
        <v>1402</v>
      </c>
      <c r="B227" s="1057" t="s">
        <v>1278</v>
      </c>
      <c r="C227" s="1057">
        <v>5550</v>
      </c>
      <c r="D227" s="1057">
        <v>5500</v>
      </c>
      <c r="E227" s="1057">
        <v>5780</v>
      </c>
      <c r="F227" s="1075">
        <v>940</v>
      </c>
      <c r="H227" s="1082"/>
    </row>
    <row r="228" spans="1:8" s="1051" customFormat="1" ht="14.25" customHeight="1" thickBot="1">
      <c r="A228" s="1063" t="s">
        <v>1402</v>
      </c>
      <c r="B228" s="1057" t="s">
        <v>1285</v>
      </c>
      <c r="C228" s="1057">
        <v>5460</v>
      </c>
      <c r="D228" s="1057">
        <v>5420</v>
      </c>
      <c r="E228" s="1057">
        <v>5690</v>
      </c>
      <c r="F228" s="1075">
        <v>910</v>
      </c>
      <c r="H228" s="1082"/>
    </row>
    <row r="229" spans="1:8" s="1051" customFormat="1" ht="14.25" customHeight="1" thickBot="1">
      <c r="A229" s="1063" t="s">
        <v>1402</v>
      </c>
      <c r="B229" s="1057" t="s">
        <v>1292</v>
      </c>
      <c r="C229" s="1057">
        <v>5310</v>
      </c>
      <c r="D229" s="1057">
        <v>5270</v>
      </c>
      <c r="E229" s="1057">
        <v>5510</v>
      </c>
      <c r="F229" s="1084"/>
      <c r="H229" s="1082"/>
    </row>
    <row r="230" spans="1:8" s="1051" customFormat="1" ht="14.25" customHeight="1" thickBot="1">
      <c r="A230" s="1063" t="s">
        <v>1402</v>
      </c>
      <c r="B230" s="1057" t="s">
        <v>1299</v>
      </c>
      <c r="C230" s="1057">
        <v>4540</v>
      </c>
      <c r="D230" s="1057">
        <v>4500</v>
      </c>
      <c r="E230" s="1057">
        <v>4730</v>
      </c>
      <c r="F230" s="1084"/>
      <c r="H230" s="1082"/>
    </row>
    <row r="231" spans="1:8" s="1051" customFormat="1" ht="14.25" customHeight="1" thickBot="1">
      <c r="A231" s="1063" t="s">
        <v>1402</v>
      </c>
      <c r="B231" s="1057" t="s">
        <v>1306</v>
      </c>
      <c r="C231" s="1057">
        <v>4480</v>
      </c>
      <c r="D231" s="1057">
        <v>4410</v>
      </c>
      <c r="E231" s="1057">
        <v>4640</v>
      </c>
      <c r="F231" s="1084"/>
      <c r="H231" s="1082"/>
    </row>
    <row r="232" spans="1:8" s="1051" customFormat="1" ht="14.25" customHeight="1" thickBot="1">
      <c r="A232" s="1063" t="s">
        <v>1402</v>
      </c>
      <c r="B232" s="1057" t="s">
        <v>1313</v>
      </c>
      <c r="C232" s="1057">
        <v>5670</v>
      </c>
      <c r="D232" s="1057">
        <v>5600</v>
      </c>
      <c r="E232" s="1057">
        <v>5890</v>
      </c>
      <c r="F232" s="1075">
        <v>1150</v>
      </c>
      <c r="H232" s="1082"/>
    </row>
    <row r="233" spans="1:8" s="1051" customFormat="1" ht="14.25" customHeight="1" thickBot="1">
      <c r="A233" s="1063" t="s">
        <v>1402</v>
      </c>
      <c r="B233" s="1057" t="s">
        <v>1320</v>
      </c>
      <c r="C233" s="1057">
        <v>4590</v>
      </c>
      <c r="D233" s="1057">
        <v>4500</v>
      </c>
      <c r="E233" s="1057">
        <v>4600</v>
      </c>
      <c r="F233" s="1084"/>
      <c r="H233" s="1082"/>
    </row>
    <row r="234" spans="1:8" s="1051" customFormat="1" ht="14.25" customHeight="1" thickBot="1">
      <c r="A234" s="1063" t="s">
        <v>1402</v>
      </c>
      <c r="B234" s="1057" t="s">
        <v>2403</v>
      </c>
      <c r="C234" s="1057">
        <v>3990</v>
      </c>
      <c r="D234" s="1057">
        <v>3950</v>
      </c>
      <c r="E234" s="1057">
        <v>4180</v>
      </c>
      <c r="F234" s="1084"/>
      <c r="H234" s="1082"/>
    </row>
    <row r="235" spans="1:8" s="1051" customFormat="1" ht="14.25" customHeight="1" thickBot="1">
      <c r="A235" s="1063" t="s">
        <v>1402</v>
      </c>
      <c r="B235" s="1057" t="s">
        <v>1329</v>
      </c>
      <c r="C235" s="1057">
        <v>5590</v>
      </c>
      <c r="D235" s="1057">
        <v>5540</v>
      </c>
      <c r="E235" s="1057">
        <v>5810</v>
      </c>
      <c r="F235" s="1075">
        <v>970</v>
      </c>
      <c r="H235" s="1082"/>
    </row>
    <row r="236" spans="1:8" s="1051" customFormat="1" ht="14.25" customHeight="1" thickBot="1">
      <c r="A236" s="1063" t="s">
        <v>1402</v>
      </c>
      <c r="B236" s="1057" t="s">
        <v>1334</v>
      </c>
      <c r="C236" s="1057"/>
      <c r="D236" s="1057"/>
      <c r="E236" s="1057"/>
      <c r="F236" s="1075">
        <v>1020</v>
      </c>
      <c r="H236" s="1082"/>
    </row>
    <row r="237" spans="1:8" s="1051" customFormat="1" ht="14.25" customHeight="1" thickBot="1">
      <c r="A237" s="1063" t="s">
        <v>1402</v>
      </c>
      <c r="B237" s="1057" t="s">
        <v>1339</v>
      </c>
      <c r="C237" s="1057"/>
      <c r="D237" s="1057"/>
      <c r="E237" s="1057"/>
      <c r="F237" s="1075">
        <v>960</v>
      </c>
      <c r="H237" s="1082"/>
    </row>
    <row r="238" spans="1:8" s="1051" customFormat="1" ht="14.25" customHeight="1" thickBot="1">
      <c r="A238" s="1063" t="s">
        <v>1402</v>
      </c>
      <c r="B238" s="1057" t="s">
        <v>1344</v>
      </c>
      <c r="C238" s="1057"/>
      <c r="D238" s="1057"/>
      <c r="E238" s="1057"/>
      <c r="F238" s="1075">
        <v>960</v>
      </c>
      <c r="H238" s="1082"/>
    </row>
    <row r="239" spans="1:8" s="1051" customFormat="1" ht="14.25" customHeight="1" thickBot="1">
      <c r="A239" s="1063" t="s">
        <v>1402</v>
      </c>
      <c r="B239" s="1057" t="s">
        <v>1349</v>
      </c>
      <c r="C239" s="1057"/>
      <c r="D239" s="1057"/>
      <c r="E239" s="1057"/>
      <c r="F239" s="1075">
        <v>960</v>
      </c>
      <c r="H239" s="1082"/>
    </row>
    <row r="240" spans="1:8" s="1051" customFormat="1" ht="14.25" customHeight="1" thickBot="1">
      <c r="A240" s="1063" t="s">
        <v>1402</v>
      </c>
      <c r="B240" s="1057" t="s">
        <v>1353</v>
      </c>
      <c r="C240" s="1057"/>
      <c r="D240" s="1057"/>
      <c r="E240" s="1057"/>
      <c r="F240" s="1075">
        <v>990</v>
      </c>
      <c r="H240" s="1082"/>
    </row>
    <row r="241" spans="1:8" s="1051" customFormat="1" ht="14.25" customHeight="1" thickBot="1">
      <c r="A241" s="1063" t="s">
        <v>1402</v>
      </c>
      <c r="B241" s="1057" t="s">
        <v>1357</v>
      </c>
      <c r="C241" s="1057"/>
      <c r="D241" s="1057"/>
      <c r="E241" s="1057"/>
      <c r="F241" s="1075">
        <v>1000</v>
      </c>
      <c r="H241" s="1082"/>
    </row>
    <row r="242" spans="1:8" s="1051" customFormat="1" ht="14.25" customHeight="1" thickBot="1">
      <c r="A242" s="1063" t="s">
        <v>1402</v>
      </c>
      <c r="B242" s="1057" t="s">
        <v>1361</v>
      </c>
      <c r="C242" s="1057"/>
      <c r="D242" s="1057"/>
      <c r="E242" s="1057"/>
      <c r="F242" s="1075">
        <v>980</v>
      </c>
      <c r="H242" s="1082"/>
    </row>
    <row r="243" spans="1:8" s="1051" customFormat="1" ht="14.25" customHeight="1" thickBot="1">
      <c r="A243" s="1063" t="s">
        <v>1402</v>
      </c>
      <c r="B243" s="1057" t="s">
        <v>1365</v>
      </c>
      <c r="C243" s="1057"/>
      <c r="D243" s="1057"/>
      <c r="E243" s="1057"/>
      <c r="F243" s="1075">
        <v>970</v>
      </c>
      <c r="H243" s="1082"/>
    </row>
    <row r="244" spans="1:8" s="1051" customFormat="1" ht="14.25" customHeight="1" thickBot="1">
      <c r="A244" s="1063" t="s">
        <v>1402</v>
      </c>
      <c r="B244" s="1073" t="s">
        <v>1369</v>
      </c>
      <c r="C244" s="1073"/>
      <c r="D244" s="1073"/>
      <c r="E244" s="1073"/>
      <c r="F244" s="1083">
        <v>970</v>
      </c>
      <c r="H244" s="1082"/>
    </row>
    <row r="245" spans="1:8" s="1051" customFormat="1" ht="14.25" customHeight="1" thickBot="1">
      <c r="A245" s="1063" t="s">
        <v>1404</v>
      </c>
      <c r="B245" s="1064" t="s">
        <v>1405</v>
      </c>
      <c r="C245" s="1064">
        <v>4050</v>
      </c>
      <c r="D245" s="1064">
        <v>4020</v>
      </c>
      <c r="E245" s="1064">
        <v>4160</v>
      </c>
      <c r="F245" s="1065">
        <v>840</v>
      </c>
      <c r="H245" s="1082"/>
    </row>
    <row r="246" spans="1:8" s="1051" customFormat="1" ht="14.25" customHeight="1" thickBot="1">
      <c r="A246" s="1063" t="s">
        <v>1404</v>
      </c>
      <c r="B246" s="1057" t="s">
        <v>1067</v>
      </c>
      <c r="C246" s="1057">
        <v>4010</v>
      </c>
      <c r="D246" s="1057">
        <v>3960</v>
      </c>
      <c r="E246" s="1057">
        <v>4130</v>
      </c>
      <c r="F246" s="1075">
        <v>840</v>
      </c>
      <c r="H246" s="1082"/>
    </row>
    <row r="247" spans="1:8" s="1051" customFormat="1" ht="14.25" customHeight="1" thickBot="1">
      <c r="A247" s="1063" t="s">
        <v>1404</v>
      </c>
      <c r="B247" s="1057" t="s">
        <v>1406</v>
      </c>
      <c r="C247" s="1057">
        <v>3170</v>
      </c>
      <c r="D247" s="1057">
        <v>3140</v>
      </c>
      <c r="E247" s="1057">
        <v>3270</v>
      </c>
      <c r="F247" s="1075">
        <v>640</v>
      </c>
      <c r="H247" s="1082"/>
    </row>
    <row r="248" spans="1:8" s="1051" customFormat="1" ht="14.25" customHeight="1" thickBot="1">
      <c r="A248" s="1063" t="s">
        <v>1404</v>
      </c>
      <c r="B248" s="1057" t="s">
        <v>1407</v>
      </c>
      <c r="C248" s="1057">
        <v>3140</v>
      </c>
      <c r="D248" s="1057">
        <v>3120</v>
      </c>
      <c r="E248" s="1057">
        <v>3240</v>
      </c>
      <c r="F248" s="1075">
        <v>620</v>
      </c>
      <c r="H248" s="1082"/>
    </row>
    <row r="249" spans="1:8" s="1051" customFormat="1" ht="14.25" customHeight="1" thickBot="1">
      <c r="A249" s="1063" t="s">
        <v>1404</v>
      </c>
      <c r="B249" s="1057" t="s">
        <v>1108</v>
      </c>
      <c r="C249" s="1057">
        <v>3200</v>
      </c>
      <c r="D249" s="1057">
        <v>3100</v>
      </c>
      <c r="E249" s="1057">
        <v>3230</v>
      </c>
      <c r="F249" s="1075">
        <v>750</v>
      </c>
      <c r="H249" s="1082"/>
    </row>
    <row r="250" spans="1:8" s="1051" customFormat="1" ht="14.25" customHeight="1" thickBot="1">
      <c r="A250" s="1063" t="s">
        <v>1404</v>
      </c>
      <c r="B250" s="1057" t="s">
        <v>1119</v>
      </c>
      <c r="C250" s="1057">
        <v>4060</v>
      </c>
      <c r="D250" s="1057">
        <v>4000</v>
      </c>
      <c r="E250" s="1057">
        <v>4140</v>
      </c>
      <c r="F250" s="1075">
        <v>790</v>
      </c>
      <c r="H250" s="1082"/>
    </row>
    <row r="251" spans="1:8" s="1051" customFormat="1" ht="14.25" customHeight="1" thickBot="1">
      <c r="A251" s="1063" t="s">
        <v>1404</v>
      </c>
      <c r="B251" s="1057" t="s">
        <v>1130</v>
      </c>
      <c r="C251" s="1057">
        <v>3990</v>
      </c>
      <c r="D251" s="1057">
        <v>3970</v>
      </c>
      <c r="E251" s="1057">
        <v>4110</v>
      </c>
      <c r="F251" s="1075">
        <v>730</v>
      </c>
      <c r="H251" s="1082"/>
    </row>
    <row r="252" spans="1:8" s="1051" customFormat="1" ht="14.25" customHeight="1" thickBot="1">
      <c r="A252" s="1063" t="s">
        <v>1404</v>
      </c>
      <c r="B252" s="1057" t="s">
        <v>1141</v>
      </c>
      <c r="C252" s="1057">
        <v>3560</v>
      </c>
      <c r="D252" s="1057">
        <v>3530</v>
      </c>
      <c r="E252" s="1057">
        <v>3650</v>
      </c>
      <c r="F252" s="1075">
        <v>750</v>
      </c>
      <c r="H252" s="1082"/>
    </row>
    <row r="253" spans="1:8" s="1051" customFormat="1" ht="14.25" customHeight="1" thickBot="1">
      <c r="A253" s="1063" t="s">
        <v>1404</v>
      </c>
      <c r="B253" s="1057" t="s">
        <v>1153</v>
      </c>
      <c r="C253" s="1057">
        <v>3780</v>
      </c>
      <c r="D253" s="1057">
        <v>3750</v>
      </c>
      <c r="E253" s="1057">
        <v>3870</v>
      </c>
      <c r="F253" s="1075">
        <v>770</v>
      </c>
      <c r="H253" s="1082"/>
    </row>
    <row r="254" spans="1:8" s="1051" customFormat="1" ht="14.25" customHeight="1" thickBot="1">
      <c r="A254" s="1063" t="s">
        <v>1404</v>
      </c>
      <c r="B254" s="1057" t="s">
        <v>1163</v>
      </c>
      <c r="C254" s="1085"/>
      <c r="D254" s="1085"/>
      <c r="E254" s="1085"/>
      <c r="F254" s="1075">
        <v>740</v>
      </c>
      <c r="H254" s="1082"/>
    </row>
    <row r="255" spans="1:8" s="1051" customFormat="1" ht="14.25" customHeight="1" thickBot="1">
      <c r="A255" s="1063" t="s">
        <v>1404</v>
      </c>
      <c r="B255" s="1057" t="s">
        <v>1173</v>
      </c>
      <c r="C255" s="1085"/>
      <c r="D255" s="1085"/>
      <c r="E255" s="1085"/>
      <c r="F255" s="1075">
        <v>760</v>
      </c>
      <c r="H255" s="1082"/>
    </row>
    <row r="256" spans="1:8" s="1051" customFormat="1" ht="14.25" customHeight="1" thickBot="1">
      <c r="A256" s="1063" t="s">
        <v>1404</v>
      </c>
      <c r="B256" s="1057" t="s">
        <v>1183</v>
      </c>
      <c r="C256" s="1057">
        <v>3760</v>
      </c>
      <c r="D256" s="1057">
        <v>3730</v>
      </c>
      <c r="E256" s="1057">
        <v>3870</v>
      </c>
      <c r="F256" s="1075">
        <v>830</v>
      </c>
      <c r="H256" s="1082"/>
    </row>
    <row r="257" spans="1:8" s="1051" customFormat="1" ht="14.25" customHeight="1" thickBot="1">
      <c r="A257" s="1063" t="s">
        <v>1404</v>
      </c>
      <c r="B257" s="1057" t="s">
        <v>1193</v>
      </c>
      <c r="C257" s="1057">
        <v>3570</v>
      </c>
      <c r="D257" s="1057">
        <v>3540</v>
      </c>
      <c r="E257" s="1057">
        <v>3650</v>
      </c>
      <c r="F257" s="1075">
        <v>790</v>
      </c>
      <c r="H257" s="1082"/>
    </row>
    <row r="258" spans="1:8" s="1051" customFormat="1" ht="14.25" customHeight="1" thickBot="1">
      <c r="A258" s="1063" t="s">
        <v>1404</v>
      </c>
      <c r="B258" s="1057" t="s">
        <v>1203</v>
      </c>
      <c r="C258" s="1057">
        <v>3410</v>
      </c>
      <c r="D258" s="1057">
        <v>3380</v>
      </c>
      <c r="E258" s="1057">
        <v>3500</v>
      </c>
      <c r="F258" s="1075">
        <v>830</v>
      </c>
      <c r="H258" s="1082"/>
    </row>
    <row r="259" spans="1:8" s="1051" customFormat="1" ht="14.25" customHeight="1" thickBot="1">
      <c r="A259" s="1063" t="s">
        <v>1404</v>
      </c>
      <c r="B259" s="1057" t="s">
        <v>1213</v>
      </c>
      <c r="C259" s="1057">
        <v>3870</v>
      </c>
      <c r="D259" s="1057">
        <v>3840</v>
      </c>
      <c r="E259" s="1057">
        <v>3970</v>
      </c>
      <c r="F259" s="1075">
        <v>830</v>
      </c>
      <c r="H259" s="1082"/>
    </row>
    <row r="260" spans="1:8" s="1051" customFormat="1" ht="14.25" customHeight="1" thickBot="1">
      <c r="A260" s="1063" t="s">
        <v>1404</v>
      </c>
      <c r="B260" s="1057" t="s">
        <v>1223</v>
      </c>
      <c r="C260" s="1057">
        <v>3700</v>
      </c>
      <c r="D260" s="1057">
        <v>3660</v>
      </c>
      <c r="E260" s="1057">
        <v>3810</v>
      </c>
      <c r="F260" s="1075">
        <v>790</v>
      </c>
      <c r="H260" s="1082"/>
    </row>
    <row r="261" spans="1:8" s="1051" customFormat="1" ht="14.25" customHeight="1" thickBot="1">
      <c r="A261" s="1063" t="s">
        <v>1404</v>
      </c>
      <c r="B261" s="1057" t="s">
        <v>1233</v>
      </c>
      <c r="C261" s="1057">
        <v>3470</v>
      </c>
      <c r="D261" s="1057">
        <v>3430</v>
      </c>
      <c r="E261" s="1057">
        <v>3640</v>
      </c>
      <c r="F261" s="1075">
        <v>760</v>
      </c>
      <c r="H261" s="1082"/>
    </row>
    <row r="262" spans="1:8" s="1051" customFormat="1" ht="14.25" customHeight="1" thickBot="1">
      <c r="A262" s="1063" t="s">
        <v>1404</v>
      </c>
      <c r="B262" s="1057" t="s">
        <v>1243</v>
      </c>
      <c r="C262" s="1057">
        <v>3510</v>
      </c>
      <c r="D262" s="1057">
        <v>3470</v>
      </c>
      <c r="E262" s="1057">
        <v>3680</v>
      </c>
      <c r="F262" s="1084"/>
      <c r="H262" s="1082"/>
    </row>
    <row r="263" spans="1:8" s="1051" customFormat="1" ht="14.25" customHeight="1" thickBot="1">
      <c r="A263" s="1063" t="s">
        <v>1404</v>
      </c>
      <c r="B263" s="1057" t="s">
        <v>1253</v>
      </c>
      <c r="C263" s="1057">
        <v>3960</v>
      </c>
      <c r="D263" s="1057">
        <v>3930</v>
      </c>
      <c r="E263" s="1057">
        <v>4070</v>
      </c>
      <c r="F263" s="1075">
        <v>830</v>
      </c>
      <c r="H263" s="1082"/>
    </row>
    <row r="264" spans="1:8" s="1051" customFormat="1" ht="14.25" customHeight="1" thickBot="1">
      <c r="A264" s="1063" t="s">
        <v>1404</v>
      </c>
      <c r="B264" s="1057" t="s">
        <v>1262</v>
      </c>
      <c r="C264" s="1057">
        <v>4010</v>
      </c>
      <c r="D264" s="1057">
        <v>3980</v>
      </c>
      <c r="E264" s="1057">
        <v>4150</v>
      </c>
      <c r="F264" s="1075">
        <v>760</v>
      </c>
      <c r="H264" s="1082"/>
    </row>
    <row r="265" spans="1:8" s="1051" customFormat="1" ht="14.25" customHeight="1" thickBot="1">
      <c r="A265" s="1063" t="s">
        <v>1404</v>
      </c>
      <c r="B265" s="1057" t="s">
        <v>1271</v>
      </c>
      <c r="C265" s="1057">
        <v>3910</v>
      </c>
      <c r="D265" s="1057">
        <v>3890</v>
      </c>
      <c r="E265" s="1057">
        <v>4040</v>
      </c>
      <c r="F265" s="1075">
        <v>780</v>
      </c>
      <c r="H265" s="1082"/>
    </row>
    <row r="266" spans="1:8" s="1051" customFormat="1" ht="14.25" customHeight="1" thickBot="1">
      <c r="A266" s="1063" t="s">
        <v>1404</v>
      </c>
      <c r="B266" s="1057" t="s">
        <v>1279</v>
      </c>
      <c r="C266" s="1057">
        <v>3930</v>
      </c>
      <c r="D266" s="1057">
        <v>3900</v>
      </c>
      <c r="E266" s="1057">
        <v>4080</v>
      </c>
      <c r="F266" s="1075">
        <v>770</v>
      </c>
      <c r="H266" s="1082"/>
    </row>
    <row r="267" spans="1:8" s="1051" customFormat="1" ht="14.25" customHeight="1" thickBot="1">
      <c r="A267" s="1063" t="s">
        <v>1404</v>
      </c>
      <c r="B267" s="1057" t="s">
        <v>1286</v>
      </c>
      <c r="C267" s="1057">
        <v>3800</v>
      </c>
      <c r="D267" s="1057">
        <v>3780</v>
      </c>
      <c r="E267" s="1057">
        <v>3930</v>
      </c>
      <c r="F267" s="1084"/>
      <c r="H267" s="1082"/>
    </row>
    <row r="268" spans="1:8" s="1051" customFormat="1" ht="14.25" customHeight="1" thickBot="1">
      <c r="A268" s="1063" t="s">
        <v>1404</v>
      </c>
      <c r="B268" s="1057" t="s">
        <v>1293</v>
      </c>
      <c r="C268" s="1057">
        <v>3460</v>
      </c>
      <c r="D268" s="1057">
        <v>3430</v>
      </c>
      <c r="E268" s="1057">
        <v>3560</v>
      </c>
      <c r="F268" s="1075">
        <v>840</v>
      </c>
      <c r="H268" s="1082"/>
    </row>
    <row r="269" spans="1:8" s="1051" customFormat="1" ht="14.25" customHeight="1" thickBot="1">
      <c r="A269" s="1063" t="s">
        <v>1404</v>
      </c>
      <c r="B269" s="1057" t="s">
        <v>1300</v>
      </c>
      <c r="C269" s="1057">
        <v>3210</v>
      </c>
      <c r="D269" s="1057">
        <v>3190</v>
      </c>
      <c r="E269" s="1057">
        <v>3310</v>
      </c>
      <c r="F269" s="1075">
        <v>730</v>
      </c>
      <c r="H269" s="1082"/>
    </row>
    <row r="270" spans="1:8" s="1051" customFormat="1" ht="14.25" customHeight="1" thickBot="1">
      <c r="A270" s="1063" t="s">
        <v>1404</v>
      </c>
      <c r="B270" s="1057" t="s">
        <v>1307</v>
      </c>
      <c r="C270" s="1057">
        <v>3240</v>
      </c>
      <c r="D270" s="1057">
        <v>3210</v>
      </c>
      <c r="E270" s="1057">
        <v>3390</v>
      </c>
      <c r="F270" s="1075">
        <v>820</v>
      </c>
      <c r="H270" s="1082"/>
    </row>
    <row r="271" spans="1:8" s="1051" customFormat="1" ht="14.25" customHeight="1" thickBot="1">
      <c r="A271" s="1063" t="s">
        <v>1404</v>
      </c>
      <c r="B271" s="1057" t="s">
        <v>1314</v>
      </c>
      <c r="C271" s="1057">
        <v>3300</v>
      </c>
      <c r="D271" s="1057">
        <v>3270</v>
      </c>
      <c r="E271" s="1057">
        <v>3380</v>
      </c>
      <c r="F271" s="1075">
        <v>750</v>
      </c>
      <c r="H271" s="1082"/>
    </row>
    <row r="272" spans="1:8" s="1051" customFormat="1" ht="14.25" customHeight="1" thickBot="1">
      <c r="A272" s="1063" t="s">
        <v>1404</v>
      </c>
      <c r="B272" s="1057" t="s">
        <v>1321</v>
      </c>
      <c r="C272" s="1085"/>
      <c r="D272" s="1085"/>
      <c r="E272" s="1085"/>
      <c r="F272" s="1075">
        <v>740</v>
      </c>
      <c r="H272" s="1082"/>
    </row>
    <row r="273" spans="1:8" s="1051" customFormat="1" ht="14.25" customHeight="1" thickBot="1">
      <c r="A273" s="1063" t="s">
        <v>1404</v>
      </c>
      <c r="B273" s="1057" t="s">
        <v>1325</v>
      </c>
      <c r="C273" s="1057">
        <v>3130</v>
      </c>
      <c r="D273" s="1057">
        <v>3100</v>
      </c>
      <c r="E273" s="1057">
        <v>3230</v>
      </c>
      <c r="F273" s="1075">
        <v>700</v>
      </c>
      <c r="H273" s="1082"/>
    </row>
    <row r="274" spans="1:8" s="1051" customFormat="1" ht="14.25" customHeight="1" thickBot="1">
      <c r="A274" s="1063" t="s">
        <v>1404</v>
      </c>
      <c r="B274" s="1057" t="s">
        <v>1330</v>
      </c>
      <c r="C274" s="1057">
        <v>3460</v>
      </c>
      <c r="D274" s="1057">
        <v>3430</v>
      </c>
      <c r="E274" s="1057">
        <v>3560</v>
      </c>
      <c r="F274" s="1075">
        <v>690</v>
      </c>
      <c r="H274" s="1082"/>
    </row>
    <row r="275" spans="1:8" s="1051" customFormat="1" ht="14.25" customHeight="1" thickBot="1">
      <c r="A275" s="1063" t="s">
        <v>1404</v>
      </c>
      <c r="B275" s="1057" t="s">
        <v>1335</v>
      </c>
      <c r="C275" s="1057">
        <v>4040</v>
      </c>
      <c r="D275" s="1057">
        <v>4020</v>
      </c>
      <c r="E275" s="1057">
        <v>4160</v>
      </c>
      <c r="F275" s="1075">
        <v>820</v>
      </c>
      <c r="H275" s="1082"/>
    </row>
    <row r="276" spans="1:8" s="1051" customFormat="1" ht="14.25" customHeight="1" thickBot="1">
      <c r="A276" s="1063" t="s">
        <v>1404</v>
      </c>
      <c r="B276" s="1057" t="s">
        <v>1340</v>
      </c>
      <c r="C276" s="1057">
        <v>3270</v>
      </c>
      <c r="D276" s="1057">
        <v>3240</v>
      </c>
      <c r="E276" s="1057">
        <v>3350</v>
      </c>
      <c r="F276" s="1075">
        <v>680</v>
      </c>
      <c r="H276" s="1082"/>
    </row>
    <row r="277" spans="1:8" s="1051" customFormat="1" ht="14.25" customHeight="1" thickBot="1">
      <c r="A277" s="1063" t="s">
        <v>1404</v>
      </c>
      <c r="B277" s="1057" t="s">
        <v>1345</v>
      </c>
      <c r="C277" s="1057">
        <v>2930</v>
      </c>
      <c r="D277" s="1057">
        <v>2900</v>
      </c>
      <c r="E277" s="1057">
        <v>3000</v>
      </c>
      <c r="F277" s="1075">
        <v>640</v>
      </c>
      <c r="H277" s="1082"/>
    </row>
    <row r="278" spans="1:8" s="1051" customFormat="1" ht="14.25" customHeight="1" thickBot="1">
      <c r="A278" s="1063" t="s">
        <v>1404</v>
      </c>
      <c r="B278" s="1057" t="s">
        <v>1350</v>
      </c>
      <c r="C278" s="1057">
        <v>4080</v>
      </c>
      <c r="D278" s="1057">
        <v>4030</v>
      </c>
      <c r="E278" s="1057">
        <v>4140</v>
      </c>
      <c r="F278" s="1075">
        <v>850</v>
      </c>
      <c r="H278" s="1082"/>
    </row>
    <row r="279" spans="1:8" s="1051" customFormat="1" ht="14.25" customHeight="1" thickBot="1">
      <c r="A279" s="1063" t="s">
        <v>1404</v>
      </c>
      <c r="B279" s="1057" t="s">
        <v>1354</v>
      </c>
      <c r="C279" s="1057"/>
      <c r="D279" s="1057"/>
      <c r="E279" s="1057"/>
      <c r="F279" s="1075">
        <v>760</v>
      </c>
      <c r="H279" s="1082"/>
    </row>
    <row r="280" spans="1:8" s="1051" customFormat="1" ht="14.25" customHeight="1" thickBot="1">
      <c r="A280" s="1063" t="s">
        <v>1404</v>
      </c>
      <c r="B280" s="1057" t="s">
        <v>1358</v>
      </c>
      <c r="C280" s="1057"/>
      <c r="D280" s="1057"/>
      <c r="E280" s="1057"/>
      <c r="F280" s="1075">
        <v>760</v>
      </c>
      <c r="H280" s="1082"/>
    </row>
    <row r="281" spans="1:8" s="1051" customFormat="1" ht="14.25" customHeight="1" thickBot="1">
      <c r="A281" s="1063" t="s">
        <v>1404</v>
      </c>
      <c r="B281" s="1057" t="s">
        <v>1362</v>
      </c>
      <c r="C281" s="1057"/>
      <c r="D281" s="1057"/>
      <c r="E281" s="1057"/>
      <c r="F281" s="1075">
        <v>780</v>
      </c>
      <c r="H281" s="1082"/>
    </row>
    <row r="282" spans="1:8" s="1051" customFormat="1" ht="14.25" customHeight="1" thickBot="1">
      <c r="A282" s="1063" t="s">
        <v>1404</v>
      </c>
      <c r="B282" s="1057" t="s">
        <v>1366</v>
      </c>
      <c r="C282" s="1057"/>
      <c r="D282" s="1057"/>
      <c r="E282" s="1057"/>
      <c r="F282" s="1075">
        <v>730</v>
      </c>
      <c r="H282" s="1082"/>
    </row>
    <row r="283" spans="1:8" s="1051" customFormat="1" ht="14.25" customHeight="1" thickBot="1">
      <c r="A283" s="1063" t="s">
        <v>1404</v>
      </c>
      <c r="B283" s="1057" t="s">
        <v>1370</v>
      </c>
      <c r="C283" s="1057"/>
      <c r="D283" s="1057"/>
      <c r="E283" s="1057"/>
      <c r="F283" s="1075">
        <v>770</v>
      </c>
      <c r="H283" s="1082"/>
    </row>
    <row r="284" spans="1:8" s="1051" customFormat="1" ht="14.25" customHeight="1" thickBot="1">
      <c r="A284" s="1063" t="s">
        <v>1404</v>
      </c>
      <c r="B284" s="1057" t="s">
        <v>1373</v>
      </c>
      <c r="C284" s="1057"/>
      <c r="D284" s="1057"/>
      <c r="E284" s="1057"/>
      <c r="F284" s="1075">
        <v>640</v>
      </c>
      <c r="H284" s="1082"/>
    </row>
    <row r="285" spans="1:8" s="1051" customFormat="1" ht="14.25" customHeight="1" thickBot="1">
      <c r="A285" s="1063" t="s">
        <v>1404</v>
      </c>
      <c r="B285" s="1057" t="s">
        <v>1376</v>
      </c>
      <c r="C285" s="1057"/>
      <c r="D285" s="1057"/>
      <c r="E285" s="1057"/>
      <c r="F285" s="1075">
        <v>640</v>
      </c>
      <c r="H285" s="1082"/>
    </row>
    <row r="286" spans="1:8" s="1051" customFormat="1" ht="14.25" customHeight="1" thickBot="1">
      <c r="A286" s="1063" t="s">
        <v>1404</v>
      </c>
      <c r="B286" s="1057" t="s">
        <v>1379</v>
      </c>
      <c r="C286" s="1057"/>
      <c r="D286" s="1057"/>
      <c r="E286" s="1057"/>
      <c r="F286" s="1075">
        <v>850</v>
      </c>
      <c r="H286" s="1082"/>
    </row>
    <row r="287" spans="1:8" s="1051" customFormat="1" ht="14.25" customHeight="1" thickBot="1">
      <c r="A287" s="1063" t="s">
        <v>1404</v>
      </c>
      <c r="B287" s="1057" t="s">
        <v>1382</v>
      </c>
      <c r="C287" s="1057"/>
      <c r="D287" s="1057"/>
      <c r="E287" s="1057"/>
      <c r="F287" s="1075">
        <v>760</v>
      </c>
      <c r="H287" s="1082"/>
    </row>
    <row r="288" spans="1:8" s="1051" customFormat="1" ht="14.25" customHeight="1" thickBot="1">
      <c r="A288" s="1063" t="s">
        <v>1404</v>
      </c>
      <c r="B288" s="1057" t="s">
        <v>1385</v>
      </c>
      <c r="C288" s="1057"/>
      <c r="D288" s="1057"/>
      <c r="E288" s="1057"/>
      <c r="F288" s="1075">
        <v>830</v>
      </c>
      <c r="H288" s="1082"/>
    </row>
    <row r="289" spans="1:8" s="1051" customFormat="1" ht="14.25" customHeight="1" thickBot="1">
      <c r="A289" s="1063" t="s">
        <v>1404</v>
      </c>
      <c r="B289" s="1073" t="s">
        <v>1388</v>
      </c>
      <c r="C289" s="1073"/>
      <c r="D289" s="1073"/>
      <c r="E289" s="1073"/>
      <c r="F289" s="1083">
        <v>680</v>
      </c>
      <c r="H289" s="1082"/>
    </row>
    <row r="290" spans="1:8" s="1051" customFormat="1" ht="14.25" customHeight="1" thickBot="1">
      <c r="A290" s="1063" t="s">
        <v>1408</v>
      </c>
      <c r="B290" s="1064" t="s">
        <v>1409</v>
      </c>
      <c r="C290" s="1064">
        <v>2770</v>
      </c>
      <c r="D290" s="1064">
        <v>2740</v>
      </c>
      <c r="E290" s="1064">
        <v>2720</v>
      </c>
      <c r="F290" s="1086"/>
      <c r="H290" s="1082"/>
    </row>
    <row r="291" spans="1:8" s="1051" customFormat="1" ht="14.25" customHeight="1" thickBot="1">
      <c r="A291" s="1063" t="s">
        <v>1408</v>
      </c>
      <c r="B291" s="1057" t="s">
        <v>1068</v>
      </c>
      <c r="C291" s="1057">
        <v>2670</v>
      </c>
      <c r="D291" s="1057">
        <v>2640</v>
      </c>
      <c r="E291" s="1057">
        <v>2620</v>
      </c>
      <c r="F291" s="1084"/>
      <c r="H291" s="1082"/>
    </row>
    <row r="292" spans="1:8" s="1051" customFormat="1" ht="14.25" customHeight="1" thickBot="1">
      <c r="A292" s="1063" t="s">
        <v>1408</v>
      </c>
      <c r="B292" s="1057" t="s">
        <v>1410</v>
      </c>
      <c r="C292" s="1057">
        <v>2180</v>
      </c>
      <c r="D292" s="1057">
        <v>2140</v>
      </c>
      <c r="E292" s="1057">
        <v>2120</v>
      </c>
      <c r="F292" s="1075">
        <v>490</v>
      </c>
      <c r="H292" s="1082"/>
    </row>
    <row r="293" spans="1:8" s="1051" customFormat="1" ht="14.25" customHeight="1" thickBot="1">
      <c r="A293" s="1063" t="s">
        <v>1408</v>
      </c>
      <c r="B293" s="1057" t="s">
        <v>1411</v>
      </c>
      <c r="C293" s="1057"/>
      <c r="D293" s="1057"/>
      <c r="E293" s="1057"/>
      <c r="F293" s="1075">
        <v>470</v>
      </c>
      <c r="H293" s="1082"/>
    </row>
    <row r="294" spans="1:8" s="1051" customFormat="1" ht="14.25" customHeight="1" thickBot="1">
      <c r="A294" s="1063" t="s">
        <v>1408</v>
      </c>
      <c r="B294" s="1057" t="s">
        <v>1412</v>
      </c>
      <c r="C294" s="1057">
        <v>2730</v>
      </c>
      <c r="D294" s="1057">
        <v>2700</v>
      </c>
      <c r="E294" s="1057">
        <v>2680</v>
      </c>
      <c r="F294" s="1075">
        <v>490</v>
      </c>
      <c r="H294" s="1082"/>
    </row>
    <row r="295" spans="1:8" s="1051" customFormat="1" ht="14.25" customHeight="1" thickBot="1">
      <c r="A295" s="1063" t="s">
        <v>1408</v>
      </c>
      <c r="B295" s="1057" t="s">
        <v>1109</v>
      </c>
      <c r="C295" s="1057">
        <v>2380</v>
      </c>
      <c r="D295" s="1057">
        <v>2350</v>
      </c>
      <c r="E295" s="1057">
        <v>2330</v>
      </c>
      <c r="F295" s="1075">
        <v>530</v>
      </c>
      <c r="H295" s="1082"/>
    </row>
    <row r="296" spans="1:8" s="1051" customFormat="1" ht="14.25" customHeight="1" thickBot="1">
      <c r="A296" s="1063" t="s">
        <v>1408</v>
      </c>
      <c r="B296" s="1057" t="s">
        <v>1120</v>
      </c>
      <c r="C296" s="1057">
        <v>2650</v>
      </c>
      <c r="D296" s="1057">
        <v>2620</v>
      </c>
      <c r="E296" s="1057">
        <v>2590</v>
      </c>
      <c r="F296" s="1075">
        <v>590</v>
      </c>
      <c r="H296" s="1082"/>
    </row>
    <row r="297" spans="1:8" s="1051" customFormat="1" ht="14.25" customHeight="1" thickBot="1">
      <c r="A297" s="1063" t="s">
        <v>1408</v>
      </c>
      <c r="B297" s="1057" t="s">
        <v>1131</v>
      </c>
      <c r="C297" s="1057">
        <v>2700</v>
      </c>
      <c r="D297" s="1057">
        <v>2670</v>
      </c>
      <c r="E297" s="1057">
        <v>2650</v>
      </c>
      <c r="F297" s="1075">
        <v>630</v>
      </c>
      <c r="H297" s="1082"/>
    </row>
    <row r="298" spans="1:8" s="1051" customFormat="1" ht="14.25" customHeight="1" thickBot="1">
      <c r="A298" s="1063" t="s">
        <v>1408</v>
      </c>
      <c r="B298" s="1057" t="s">
        <v>1142</v>
      </c>
      <c r="C298" s="1057">
        <v>2650</v>
      </c>
      <c r="D298" s="1057">
        <v>2620</v>
      </c>
      <c r="E298" s="1057">
        <v>2590</v>
      </c>
      <c r="F298" s="1075">
        <v>640</v>
      </c>
      <c r="H298" s="1082"/>
    </row>
    <row r="299" spans="1:8" s="1051" customFormat="1" ht="14.25" customHeight="1" thickBot="1">
      <c r="A299" s="1063" t="s">
        <v>1408</v>
      </c>
      <c r="B299" s="1057" t="s">
        <v>1154</v>
      </c>
      <c r="C299" s="1057">
        <v>2500</v>
      </c>
      <c r="D299" s="1057">
        <v>2480</v>
      </c>
      <c r="E299" s="1057">
        <v>2460</v>
      </c>
      <c r="F299" s="1084"/>
      <c r="H299" s="1082"/>
    </row>
    <row r="300" spans="1:8" s="1051" customFormat="1" ht="14.25" customHeight="1" thickBot="1">
      <c r="A300" s="1063" t="s">
        <v>1408</v>
      </c>
      <c r="B300" s="1057" t="s">
        <v>1164</v>
      </c>
      <c r="C300" s="1057">
        <v>2760</v>
      </c>
      <c r="D300" s="1057">
        <v>2730</v>
      </c>
      <c r="E300" s="1057">
        <v>2700</v>
      </c>
      <c r="F300" s="1075">
        <v>630</v>
      </c>
      <c r="H300" s="1082"/>
    </row>
    <row r="301" spans="1:8" s="1051" customFormat="1" ht="14.25" customHeight="1" thickBot="1">
      <c r="A301" s="1063" t="s">
        <v>1408</v>
      </c>
      <c r="B301" s="1057" t="s">
        <v>1174</v>
      </c>
      <c r="C301" s="1057">
        <v>2510</v>
      </c>
      <c r="D301" s="1057">
        <v>2480</v>
      </c>
      <c r="E301" s="1057">
        <v>2460</v>
      </c>
      <c r="F301" s="1084"/>
      <c r="H301" s="1082"/>
    </row>
    <row r="302" spans="1:8" s="1051" customFormat="1" ht="14.25" customHeight="1" thickBot="1">
      <c r="A302" s="1063" t="s">
        <v>1408</v>
      </c>
      <c r="B302" s="1057" t="s">
        <v>1184</v>
      </c>
      <c r="C302" s="1057">
        <v>2480</v>
      </c>
      <c r="D302" s="1057">
        <v>2450</v>
      </c>
      <c r="E302" s="1057">
        <v>2420</v>
      </c>
      <c r="F302" s="1075">
        <v>600</v>
      </c>
      <c r="H302" s="1082"/>
    </row>
    <row r="303" spans="1:8" s="1051" customFormat="1" ht="14.25" customHeight="1" thickBot="1">
      <c r="A303" s="1063" t="s">
        <v>1408</v>
      </c>
      <c r="B303" s="1057" t="s">
        <v>1194</v>
      </c>
      <c r="C303" s="1057">
        <v>2270</v>
      </c>
      <c r="D303" s="1057">
        <v>2240</v>
      </c>
      <c r="E303" s="1057">
        <v>2210</v>
      </c>
      <c r="F303" s="1075">
        <v>540</v>
      </c>
      <c r="H303" s="1082"/>
    </row>
    <row r="304" spans="1:8" s="1051" customFormat="1" ht="14.25" customHeight="1" thickBot="1">
      <c r="A304" s="1063" t="s">
        <v>1408</v>
      </c>
      <c r="B304" s="1057" t="s">
        <v>1204</v>
      </c>
      <c r="C304" s="1057">
        <v>2310</v>
      </c>
      <c r="D304" s="1057">
        <v>2290</v>
      </c>
      <c r="E304" s="1057">
        <v>2270</v>
      </c>
      <c r="F304" s="1084"/>
      <c r="H304" s="1082"/>
    </row>
    <row r="305" spans="1:8" s="1051" customFormat="1" ht="14.25" customHeight="1" thickBot="1">
      <c r="A305" s="1063" t="s">
        <v>1408</v>
      </c>
      <c r="B305" s="1057" t="s">
        <v>1214</v>
      </c>
      <c r="C305" s="1057">
        <v>2490</v>
      </c>
      <c r="D305" s="1057">
        <v>2470</v>
      </c>
      <c r="E305" s="1057">
        <v>2440</v>
      </c>
      <c r="F305" s="1075">
        <v>560</v>
      </c>
      <c r="H305" s="1082"/>
    </row>
    <row r="306" spans="1:8" s="1051" customFormat="1" ht="14.25" customHeight="1" thickBot="1">
      <c r="A306" s="1063" t="s">
        <v>1408</v>
      </c>
      <c r="B306" s="1057" t="s">
        <v>1224</v>
      </c>
      <c r="C306" s="1057">
        <v>2420</v>
      </c>
      <c r="D306" s="1057">
        <v>2400</v>
      </c>
      <c r="E306" s="1057">
        <v>2380</v>
      </c>
      <c r="F306" s="1084"/>
      <c r="H306" s="1082"/>
    </row>
    <row r="307" spans="1:8" s="1051" customFormat="1" ht="14.25" customHeight="1" thickBot="1">
      <c r="A307" s="1063" t="s">
        <v>1408</v>
      </c>
      <c r="B307" s="1057" t="s">
        <v>1234</v>
      </c>
      <c r="C307" s="1057">
        <v>2770</v>
      </c>
      <c r="D307" s="1057">
        <v>2740</v>
      </c>
      <c r="E307" s="1057">
        <v>2710</v>
      </c>
      <c r="F307" s="1075">
        <v>650</v>
      </c>
      <c r="H307" s="1082"/>
    </row>
    <row r="308" spans="1:8" s="1051" customFormat="1" ht="14.25" customHeight="1" thickBot="1">
      <c r="A308" s="1063" t="s">
        <v>1408</v>
      </c>
      <c r="B308" s="1057" t="s">
        <v>1244</v>
      </c>
      <c r="C308" s="1057">
        <v>2610</v>
      </c>
      <c r="D308" s="1057">
        <v>2580</v>
      </c>
      <c r="E308" s="1057">
        <v>2550</v>
      </c>
      <c r="F308" s="1075">
        <v>580</v>
      </c>
      <c r="H308" s="1082"/>
    </row>
    <row r="309" spans="1:8" s="1051" customFormat="1" ht="14.25" customHeight="1" thickBot="1">
      <c r="A309" s="1063" t="s">
        <v>1408</v>
      </c>
      <c r="B309" s="1057" t="s">
        <v>1254</v>
      </c>
      <c r="C309" s="1057">
        <v>2690</v>
      </c>
      <c r="D309" s="1057">
        <v>2670</v>
      </c>
      <c r="E309" s="1057">
        <v>2650</v>
      </c>
      <c r="F309" s="1084"/>
      <c r="H309" s="1082"/>
    </row>
    <row r="310" spans="1:8" s="1051" customFormat="1" ht="14.25" customHeight="1" thickBot="1">
      <c r="A310" s="1063" t="s">
        <v>1408</v>
      </c>
      <c r="B310" s="1057" t="s">
        <v>1263</v>
      </c>
      <c r="C310" s="1057">
        <v>2360</v>
      </c>
      <c r="D310" s="1057">
        <v>2330</v>
      </c>
      <c r="E310" s="1057">
        <v>2310</v>
      </c>
      <c r="F310" s="1075">
        <v>560</v>
      </c>
      <c r="H310" s="1082"/>
    </row>
    <row r="311" spans="1:8" s="1051" customFormat="1" ht="14.25" customHeight="1" thickBot="1">
      <c r="A311" s="1063" t="s">
        <v>1408</v>
      </c>
      <c r="B311" s="1057" t="s">
        <v>1272</v>
      </c>
      <c r="C311" s="1057">
        <v>1970</v>
      </c>
      <c r="D311" s="1057">
        <v>1950</v>
      </c>
      <c r="E311" s="1057">
        <v>1920</v>
      </c>
      <c r="F311" s="1075">
        <v>470</v>
      </c>
      <c r="H311" s="1082"/>
    </row>
    <row r="312" spans="1:8" s="1051" customFormat="1" ht="14.25" customHeight="1" thickBot="1">
      <c r="A312" s="1063" t="s">
        <v>1408</v>
      </c>
      <c r="B312" s="1057" t="s">
        <v>1280</v>
      </c>
      <c r="C312" s="1057">
        <v>2230</v>
      </c>
      <c r="D312" s="1057">
        <v>2200</v>
      </c>
      <c r="E312" s="1057">
        <v>2170</v>
      </c>
      <c r="F312" s="1075">
        <v>460</v>
      </c>
      <c r="H312" s="1082"/>
    </row>
    <row r="313" spans="1:8" s="1051" customFormat="1" ht="14.25" customHeight="1" thickBot="1">
      <c r="A313" s="1063" t="s">
        <v>1408</v>
      </c>
      <c r="B313" s="1057" t="s">
        <v>1287</v>
      </c>
      <c r="C313" s="1057">
        <v>2770</v>
      </c>
      <c r="D313" s="1057">
        <v>2740</v>
      </c>
      <c r="E313" s="1057">
        <v>2710</v>
      </c>
      <c r="F313" s="1075">
        <v>610</v>
      </c>
      <c r="H313" s="1082"/>
    </row>
    <row r="314" spans="1:8" s="1051" customFormat="1" ht="14.25" customHeight="1" thickBot="1">
      <c r="A314" s="1063" t="s">
        <v>1408</v>
      </c>
      <c r="B314" s="1057" t="s">
        <v>1294</v>
      </c>
      <c r="C314" s="1057"/>
      <c r="D314" s="1057"/>
      <c r="E314" s="1057"/>
      <c r="F314" s="1075">
        <v>490</v>
      </c>
      <c r="H314" s="1082"/>
    </row>
    <row r="315" spans="1:8" s="1051" customFormat="1" ht="14.25" customHeight="1" thickBot="1">
      <c r="A315" s="1063" t="s">
        <v>1408</v>
      </c>
      <c r="B315" s="1057" t="s">
        <v>1301</v>
      </c>
      <c r="C315" s="1057"/>
      <c r="D315" s="1057"/>
      <c r="E315" s="1057"/>
      <c r="F315" s="1075">
        <v>520</v>
      </c>
      <c r="H315" s="1082"/>
    </row>
    <row r="316" spans="1:8" s="1051" customFormat="1" ht="14.25" customHeight="1" thickBot="1">
      <c r="A316" s="1063" t="s">
        <v>1408</v>
      </c>
      <c r="B316" s="1073" t="s">
        <v>1308</v>
      </c>
      <c r="C316" s="1073"/>
      <c r="D316" s="1073"/>
      <c r="E316" s="1073"/>
      <c r="F316" s="1083">
        <v>460</v>
      </c>
      <c r="H316" s="1082"/>
    </row>
    <row r="317" spans="1:8" s="1051" customFormat="1" ht="14.25" customHeight="1" thickBot="1">
      <c r="A317" s="1063" t="s">
        <v>906</v>
      </c>
      <c r="B317" s="1064" t="s">
        <v>1413</v>
      </c>
      <c r="C317" s="1064">
        <v>1200</v>
      </c>
      <c r="D317" s="1064">
        <v>1180</v>
      </c>
      <c r="E317" s="1064">
        <v>1160</v>
      </c>
      <c r="F317" s="1065">
        <v>370</v>
      </c>
      <c r="H317" s="1048"/>
    </row>
    <row r="318" spans="1:8" s="1051" customFormat="1" ht="14.25" customHeight="1" thickBot="1">
      <c r="A318" s="1063" t="s">
        <v>906</v>
      </c>
      <c r="B318" s="1057" t="s">
        <v>1414</v>
      </c>
      <c r="C318" s="1057">
        <v>1090</v>
      </c>
      <c r="D318" s="1057">
        <v>1060</v>
      </c>
      <c r="E318" s="1057">
        <v>1040</v>
      </c>
      <c r="F318" s="1084"/>
      <c r="H318" s="1048"/>
    </row>
    <row r="319" spans="1:8" s="1051" customFormat="1" ht="14.25" customHeight="1" thickBot="1">
      <c r="A319" s="1063" t="s">
        <v>906</v>
      </c>
      <c r="B319" s="1057" t="s">
        <v>1415</v>
      </c>
      <c r="C319" s="1057">
        <v>1520</v>
      </c>
      <c r="D319" s="1057">
        <v>1470</v>
      </c>
      <c r="E319" s="1057">
        <v>1440</v>
      </c>
      <c r="F319" s="1075">
        <v>370</v>
      </c>
      <c r="H319" s="1048"/>
    </row>
    <row r="320" spans="1:8" s="1051" customFormat="1" ht="14.25" customHeight="1" thickBot="1">
      <c r="A320" s="1063" t="s">
        <v>906</v>
      </c>
      <c r="B320" s="1057" t="s">
        <v>1096</v>
      </c>
      <c r="C320" s="1057">
        <v>1360</v>
      </c>
      <c r="D320" s="1057">
        <v>1300</v>
      </c>
      <c r="E320" s="1057">
        <v>1270</v>
      </c>
      <c r="F320" s="1084"/>
      <c r="H320" s="1048"/>
    </row>
    <row r="321" spans="1:8" s="1051" customFormat="1" ht="14.25" customHeight="1" thickBot="1">
      <c r="A321" s="1063" t="s">
        <v>906</v>
      </c>
      <c r="B321" s="1057" t="s">
        <v>1110</v>
      </c>
      <c r="C321" s="1057">
        <v>1750</v>
      </c>
      <c r="D321" s="1057">
        <v>1690</v>
      </c>
      <c r="E321" s="1057">
        <v>1660</v>
      </c>
      <c r="F321" s="1084"/>
      <c r="H321" s="1048"/>
    </row>
    <row r="322" spans="1:8" s="1051" customFormat="1" ht="14.25" customHeight="1" thickBot="1">
      <c r="A322" s="1063" t="s">
        <v>906</v>
      </c>
      <c r="B322" s="1057" t="s">
        <v>1121</v>
      </c>
      <c r="C322" s="1057">
        <v>1650</v>
      </c>
      <c r="D322" s="1057">
        <v>1610</v>
      </c>
      <c r="E322" s="1057">
        <v>1580</v>
      </c>
      <c r="F322" s="1075">
        <v>500</v>
      </c>
      <c r="H322" s="1048"/>
    </row>
    <row r="323" spans="1:8" s="1051" customFormat="1" ht="14.25" customHeight="1" thickBot="1">
      <c r="A323" s="1063" t="s">
        <v>906</v>
      </c>
      <c r="B323" s="1057" t="s">
        <v>1132</v>
      </c>
      <c r="C323" s="1057">
        <v>1780</v>
      </c>
      <c r="D323" s="1057">
        <v>1740</v>
      </c>
      <c r="E323" s="1057">
        <v>1720</v>
      </c>
      <c r="F323" s="1084"/>
      <c r="H323" s="1048"/>
    </row>
    <row r="324" spans="1:8" s="1051" customFormat="1" ht="14.25" customHeight="1" thickBot="1">
      <c r="A324" s="1063" t="s">
        <v>906</v>
      </c>
      <c r="B324" s="1057" t="s">
        <v>1143</v>
      </c>
      <c r="C324" s="1057">
        <v>1650</v>
      </c>
      <c r="D324" s="1057">
        <v>1610</v>
      </c>
      <c r="E324" s="1057">
        <v>1580</v>
      </c>
      <c r="F324" s="1084"/>
      <c r="H324" s="1048"/>
    </row>
    <row r="325" spans="1:8" s="1051" customFormat="1" ht="14.25" customHeight="1" thickBot="1">
      <c r="A325" s="1063" t="s">
        <v>906</v>
      </c>
      <c r="B325" s="1057" t="s">
        <v>1155</v>
      </c>
      <c r="C325" s="1057">
        <v>1330</v>
      </c>
      <c r="D325" s="1057">
        <v>1270</v>
      </c>
      <c r="E325" s="1057">
        <v>1240</v>
      </c>
      <c r="F325" s="1075">
        <v>430</v>
      </c>
      <c r="H325" s="1048"/>
    </row>
    <row r="326" spans="1:8" s="1051" customFormat="1" ht="14.25" customHeight="1" thickBot="1">
      <c r="A326" s="1063" t="s">
        <v>906</v>
      </c>
      <c r="B326" s="1057" t="s">
        <v>1165</v>
      </c>
      <c r="C326" s="1057">
        <v>1470</v>
      </c>
      <c r="D326" s="1057">
        <v>1430</v>
      </c>
      <c r="E326" s="1057">
        <v>1400</v>
      </c>
      <c r="F326" s="1084"/>
      <c r="H326" s="1048"/>
    </row>
    <row r="327" spans="1:8" s="1051" customFormat="1" ht="14.25" customHeight="1" thickBot="1">
      <c r="A327" s="1063" t="s">
        <v>906</v>
      </c>
      <c r="B327" s="1057" t="s">
        <v>1175</v>
      </c>
      <c r="C327" s="1057">
        <v>1420</v>
      </c>
      <c r="D327" s="1057">
        <v>1380</v>
      </c>
      <c r="E327" s="1057">
        <v>1360</v>
      </c>
      <c r="F327" s="1075">
        <v>420</v>
      </c>
      <c r="H327" s="1048"/>
    </row>
    <row r="328" spans="1:8" s="1051" customFormat="1" ht="14.25" customHeight="1" thickBot="1">
      <c r="A328" s="1063" t="s">
        <v>906</v>
      </c>
      <c r="B328" s="1057" t="s">
        <v>1185</v>
      </c>
      <c r="C328" s="1057">
        <v>1400</v>
      </c>
      <c r="D328" s="1057">
        <v>1360</v>
      </c>
      <c r="E328" s="1057">
        <v>1330</v>
      </c>
      <c r="F328" s="1075">
        <v>460</v>
      </c>
      <c r="H328" s="1048"/>
    </row>
    <row r="329" spans="1:8" s="1051" customFormat="1" ht="14.25" customHeight="1" thickBot="1">
      <c r="A329" s="1063" t="s">
        <v>906</v>
      </c>
      <c r="B329" s="1057" t="s">
        <v>1195</v>
      </c>
      <c r="C329" s="1057">
        <v>1640</v>
      </c>
      <c r="D329" s="1057">
        <v>1610</v>
      </c>
      <c r="E329" s="1057">
        <v>1580</v>
      </c>
      <c r="F329" s="1075">
        <v>410</v>
      </c>
      <c r="H329" s="1048"/>
    </row>
    <row r="330" spans="1:8" s="1051" customFormat="1" ht="14.25" customHeight="1" thickBot="1">
      <c r="A330" s="1063" t="s">
        <v>906</v>
      </c>
      <c r="B330" s="1057" t="s">
        <v>1205</v>
      </c>
      <c r="C330" s="1057">
        <v>1260</v>
      </c>
      <c r="D330" s="1057">
        <v>1220</v>
      </c>
      <c r="E330" s="1057">
        <v>1200</v>
      </c>
      <c r="F330" s="1084"/>
      <c r="H330" s="1048"/>
    </row>
    <row r="331" spans="1:8" s="1051" customFormat="1" ht="14.25" customHeight="1" thickBot="1">
      <c r="A331" s="1063" t="s">
        <v>906</v>
      </c>
      <c r="B331" s="1057" t="s">
        <v>1215</v>
      </c>
      <c r="C331" s="1057">
        <v>1620</v>
      </c>
      <c r="D331" s="1057">
        <v>1560</v>
      </c>
      <c r="E331" s="1057">
        <v>1530</v>
      </c>
      <c r="F331" s="1075">
        <v>490</v>
      </c>
      <c r="H331" s="1048"/>
    </row>
    <row r="332" spans="1:8" s="1051" customFormat="1" ht="14.25" customHeight="1" thickBot="1">
      <c r="A332" s="1063" t="s">
        <v>906</v>
      </c>
      <c r="B332" s="1057" t="s">
        <v>1225</v>
      </c>
      <c r="C332" s="1057">
        <v>1520</v>
      </c>
      <c r="D332" s="1057">
        <v>1470</v>
      </c>
      <c r="E332" s="1057">
        <v>1440</v>
      </c>
      <c r="F332" s="1075">
        <v>440</v>
      </c>
      <c r="H332" s="1048"/>
    </row>
    <row r="333" spans="1:8" s="1051" customFormat="1" ht="14.25" customHeight="1" thickBot="1">
      <c r="A333" s="1063" t="s">
        <v>906</v>
      </c>
      <c r="B333" s="1057" t="s">
        <v>1235</v>
      </c>
      <c r="C333" s="1057">
        <v>1370</v>
      </c>
      <c r="D333" s="1057">
        <v>1320</v>
      </c>
      <c r="E333" s="1057">
        <v>1300</v>
      </c>
      <c r="F333" s="1075">
        <v>460</v>
      </c>
      <c r="H333" s="1048"/>
    </row>
    <row r="334" spans="1:8" s="1051" customFormat="1" ht="14.25" customHeight="1" thickBot="1">
      <c r="A334" s="1063" t="s">
        <v>906</v>
      </c>
      <c r="B334" s="1057" t="s">
        <v>1245</v>
      </c>
      <c r="C334" s="1057">
        <v>1410</v>
      </c>
      <c r="D334" s="1057">
        <v>1340</v>
      </c>
      <c r="E334" s="1057">
        <v>1310</v>
      </c>
      <c r="F334" s="1075">
        <v>410</v>
      </c>
      <c r="H334" s="1048"/>
    </row>
    <row r="335" spans="1:8" s="1051" customFormat="1" ht="14.25" customHeight="1" thickBot="1">
      <c r="A335" s="1063" t="s">
        <v>906</v>
      </c>
      <c r="B335" s="1057" t="s">
        <v>1255</v>
      </c>
      <c r="C335" s="1057">
        <v>1260</v>
      </c>
      <c r="D335" s="1057">
        <v>1220</v>
      </c>
      <c r="E335" s="1057">
        <v>1200</v>
      </c>
      <c r="F335" s="1084"/>
      <c r="H335" s="1048"/>
    </row>
    <row r="336" spans="1:8" s="1051" customFormat="1" ht="14.25" customHeight="1" thickBot="1">
      <c r="A336" s="1063" t="s">
        <v>906</v>
      </c>
      <c r="B336" s="1057" t="s">
        <v>1264</v>
      </c>
      <c r="C336" s="1057">
        <v>1160</v>
      </c>
      <c r="D336" s="1057">
        <v>1140</v>
      </c>
      <c r="E336" s="1057">
        <v>1120</v>
      </c>
      <c r="F336" s="1075">
        <v>430</v>
      </c>
      <c r="H336" s="1048"/>
    </row>
    <row r="337" spans="1:8" s="1051" customFormat="1" ht="14.25" customHeight="1" thickBot="1">
      <c r="A337" s="1063" t="s">
        <v>906</v>
      </c>
      <c r="B337" s="1073" t="s">
        <v>1273</v>
      </c>
      <c r="C337" s="1073"/>
      <c r="D337" s="1073"/>
      <c r="E337" s="1073"/>
      <c r="F337" s="1083">
        <v>380</v>
      </c>
      <c r="H337" s="1048"/>
    </row>
    <row r="338" spans="1:8" s="1051" customFormat="1" ht="14.25" customHeight="1" thickBot="1">
      <c r="A338" s="1063" t="s">
        <v>907</v>
      </c>
      <c r="B338" s="1064" t="s">
        <v>1416</v>
      </c>
      <c r="C338" s="1064">
        <v>880</v>
      </c>
      <c r="D338" s="1064">
        <v>850</v>
      </c>
      <c r="E338" s="1064">
        <v>830</v>
      </c>
      <c r="F338" s="1086"/>
      <c r="H338" s="1048"/>
    </row>
    <row r="339" spans="1:8" s="1051" customFormat="1" ht="14.25" customHeight="1" thickBot="1">
      <c r="A339" s="1063" t="s">
        <v>907</v>
      </c>
      <c r="B339" s="1057" t="s">
        <v>1417</v>
      </c>
      <c r="C339" s="1057">
        <v>830</v>
      </c>
      <c r="D339" s="1057">
        <v>800</v>
      </c>
      <c r="E339" s="1057">
        <v>780</v>
      </c>
      <c r="F339" s="1084"/>
      <c r="H339" s="1048"/>
    </row>
    <row r="340" spans="1:8" s="1051" customFormat="1" ht="14.25" customHeight="1" thickBot="1">
      <c r="A340" s="1063" t="s">
        <v>907</v>
      </c>
      <c r="B340" s="1057" t="s">
        <v>1418</v>
      </c>
      <c r="C340" s="1057">
        <v>980</v>
      </c>
      <c r="D340" s="1057">
        <v>950</v>
      </c>
      <c r="E340" s="1057">
        <v>920</v>
      </c>
      <c r="F340" s="1084"/>
      <c r="H340" s="1048"/>
    </row>
    <row r="341" spans="1:8" s="1051" customFormat="1" ht="14.25" customHeight="1" thickBot="1">
      <c r="A341" s="1063" t="s">
        <v>907</v>
      </c>
      <c r="B341" s="1057" t="s">
        <v>1419</v>
      </c>
      <c r="C341" s="1057">
        <v>760</v>
      </c>
      <c r="D341" s="1057">
        <v>720</v>
      </c>
      <c r="E341" s="1057">
        <v>690</v>
      </c>
      <c r="F341" s="1075">
        <v>350</v>
      </c>
      <c r="H341" s="1048"/>
    </row>
    <row r="342" spans="1:8" s="1051" customFormat="1" ht="14.25" customHeight="1" thickBot="1">
      <c r="A342" s="1063" t="s">
        <v>907</v>
      </c>
      <c r="B342" s="1057" t="s">
        <v>1111</v>
      </c>
      <c r="C342" s="1057">
        <v>910</v>
      </c>
      <c r="D342" s="1057">
        <v>870</v>
      </c>
      <c r="E342" s="1057">
        <v>850</v>
      </c>
      <c r="F342" s="1075">
        <v>370</v>
      </c>
      <c r="H342" s="1048"/>
    </row>
    <row r="343" spans="1:8" s="1051" customFormat="1" ht="14.25" customHeight="1" thickBot="1">
      <c r="A343" s="1063" t="s">
        <v>907</v>
      </c>
      <c r="B343" s="1057" t="s">
        <v>1122</v>
      </c>
      <c r="C343" s="1057">
        <v>800</v>
      </c>
      <c r="D343" s="1057">
        <v>760</v>
      </c>
      <c r="E343" s="1057">
        <v>730</v>
      </c>
      <c r="F343" s="1075">
        <v>340</v>
      </c>
      <c r="H343" s="1048"/>
    </row>
    <row r="344" spans="1:8" s="1051" customFormat="1" ht="14.25" customHeight="1" thickBot="1">
      <c r="A344" s="1063" t="s">
        <v>907</v>
      </c>
      <c r="B344" s="1073" t="s">
        <v>1133</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871</v>
      </c>
      <c r="B1" s="997"/>
      <c r="C1" s="997"/>
      <c r="D1" s="997"/>
      <c r="E1" s="997"/>
      <c r="F1" s="997"/>
      <c r="G1" s="997"/>
      <c r="H1" s="997"/>
      <c r="I1" s="997"/>
      <c r="J1" s="997"/>
      <c r="K1" s="997"/>
      <c r="L1" s="997"/>
      <c r="M1" s="997"/>
      <c r="N1" s="997"/>
    </row>
    <row r="2" spans="1:14">
      <c r="A2" s="999" t="s">
        <v>872</v>
      </c>
      <c r="B2" s="1000" t="s">
        <v>873</v>
      </c>
      <c r="C2" s="1000" t="s">
        <v>874</v>
      </c>
      <c r="D2" s="1000" t="s">
        <v>875</v>
      </c>
      <c r="E2" s="1000" t="s">
        <v>876</v>
      </c>
      <c r="F2" s="1000" t="s">
        <v>877</v>
      </c>
      <c r="G2" s="1000" t="s">
        <v>878</v>
      </c>
      <c r="H2" s="1001" t="s">
        <v>879</v>
      </c>
      <c r="I2" s="1001" t="s">
        <v>880</v>
      </c>
      <c r="J2" s="1002" t="s">
        <v>881</v>
      </c>
      <c r="K2" s="1002" t="s">
        <v>882</v>
      </c>
      <c r="L2" s="1002" t="s">
        <v>883</v>
      </c>
      <c r="M2" s="1002" t="s">
        <v>884</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893</v>
      </c>
      <c r="B103" s="997"/>
      <c r="C103" s="997"/>
      <c r="D103" s="997"/>
      <c r="E103" s="997"/>
      <c r="F103" s="997"/>
      <c r="G103" s="997"/>
      <c r="H103" s="997"/>
      <c r="I103" s="997"/>
      <c r="J103" s="997"/>
      <c r="K103" s="997"/>
      <c r="L103" s="997"/>
      <c r="M103" s="997"/>
      <c r="N103" s="997"/>
    </row>
    <row r="104" spans="1:14" ht="14.25">
      <c r="A104" s="999" t="s">
        <v>872</v>
      </c>
      <c r="B104" s="1000" t="s">
        <v>873</v>
      </c>
      <c r="C104" s="1000" t="s">
        <v>874</v>
      </c>
      <c r="D104" s="1000" t="s">
        <v>875</v>
      </c>
      <c r="E104" s="1000" t="s">
        <v>876</v>
      </c>
      <c r="F104" s="1000" t="s">
        <v>877</v>
      </c>
      <c r="G104" s="1000" t="s">
        <v>878</v>
      </c>
      <c r="H104" s="1001" t="s">
        <v>879</v>
      </c>
      <c r="I104" s="1001" t="s">
        <v>880</v>
      </c>
      <c r="J104" s="1002" t="s">
        <v>881</v>
      </c>
      <c r="K104" s="1002" t="s">
        <v>882</v>
      </c>
      <c r="L104" s="1002" t="s">
        <v>883</v>
      </c>
      <c r="M104" s="1002" t="s">
        <v>884</v>
      </c>
      <c r="N104" s="997">
        <f>SUMPRODUCT((A105:A204=ROUNDDOWN('基准地价-商'!G3,1))*(B104:M104='基准地价-商'!G2)*(B105:M204))</f>
        <v>0.96889999999999998</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894</v>
      </c>
      <c r="B205" s="997"/>
      <c r="C205" s="997"/>
      <c r="D205" s="997"/>
      <c r="E205" s="997"/>
      <c r="F205" s="997"/>
      <c r="G205" s="997"/>
      <c r="H205" s="997"/>
      <c r="I205" s="997"/>
      <c r="J205" s="997"/>
      <c r="K205" s="997"/>
      <c r="L205" s="997"/>
      <c r="M205" s="997"/>
    </row>
    <row r="206" spans="1:13">
      <c r="A206" s="999" t="s">
        <v>895</v>
      </c>
      <c r="B206" s="1000" t="s">
        <v>896</v>
      </c>
      <c r="C206" s="1000" t="s">
        <v>897</v>
      </c>
      <c r="D206" s="1000" t="s">
        <v>898</v>
      </c>
      <c r="E206" s="1000" t="s">
        <v>899</v>
      </c>
      <c r="F206" s="1000" t="s">
        <v>900</v>
      </c>
      <c r="G206" s="1000" t="s">
        <v>901</v>
      </c>
      <c r="H206" s="1001" t="s">
        <v>902</v>
      </c>
      <c r="I206" s="1001" t="s">
        <v>903</v>
      </c>
      <c r="J206" s="1002" t="s">
        <v>904</v>
      </c>
      <c r="K206" s="1002" t="s">
        <v>905</v>
      </c>
      <c r="L206" s="1002" t="s">
        <v>906</v>
      </c>
      <c r="M206" s="1002" t="s">
        <v>907</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908</v>
      </c>
      <c r="B307" s="997"/>
      <c r="C307" s="997"/>
      <c r="D307" s="997"/>
      <c r="E307" s="997"/>
      <c r="F307" s="997"/>
      <c r="G307" s="997"/>
      <c r="H307" s="997"/>
      <c r="I307" s="997"/>
      <c r="J307" s="997"/>
      <c r="K307" s="997"/>
      <c r="L307" s="997"/>
      <c r="M307" s="997"/>
    </row>
    <row r="308" spans="1:13">
      <c r="A308" s="999" t="s">
        <v>895</v>
      </c>
      <c r="B308" s="1000" t="s">
        <v>896</v>
      </c>
      <c r="C308" s="1000" t="s">
        <v>897</v>
      </c>
      <c r="D308" s="1000" t="s">
        <v>898</v>
      </c>
      <c r="E308" s="1000" t="s">
        <v>899</v>
      </c>
      <c r="F308" s="1000" t="s">
        <v>900</v>
      </c>
      <c r="G308" s="1000" t="s">
        <v>901</v>
      </c>
      <c r="H308" s="1001" t="s">
        <v>902</v>
      </c>
      <c r="I308" s="1001" t="s">
        <v>903</v>
      </c>
      <c r="J308" s="1002" t="s">
        <v>904</v>
      </c>
      <c r="K308" s="1002" t="s">
        <v>905</v>
      </c>
      <c r="L308" s="1002" t="s">
        <v>906</v>
      </c>
      <c r="M308" s="1002" t="s">
        <v>907</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636" t="s">
        <v>2063</v>
      </c>
      <c r="B1" s="3636"/>
    </row>
    <row r="2" spans="1:6" ht="14.25" thickBot="1">
      <c r="A2" s="1765"/>
      <c r="B2" s="1765"/>
    </row>
    <row r="3" spans="1:6" ht="14.25" thickBot="1">
      <c r="A3" s="1765"/>
      <c r="B3" s="1765"/>
      <c r="C3" s="1766" t="s">
        <v>2064</v>
      </c>
      <c r="D3" s="1766" t="s">
        <v>2065</v>
      </c>
      <c r="E3" s="1766" t="s">
        <v>2066</v>
      </c>
      <c r="F3" s="1766" t="s">
        <v>2067</v>
      </c>
    </row>
    <row r="4" spans="1:6" ht="14.25" thickBot="1">
      <c r="A4" s="1767" t="s">
        <v>2068</v>
      </c>
      <c r="B4" s="1768" t="s">
        <v>2069</v>
      </c>
      <c r="C4" s="1766"/>
      <c r="D4" s="1766"/>
      <c r="E4" s="1766"/>
      <c r="F4" s="1766"/>
    </row>
    <row r="5" spans="1:6" ht="14.25" thickBot="1">
      <c r="A5" s="1769" t="s">
        <v>2070</v>
      </c>
      <c r="B5" s="1770" t="s">
        <v>2071</v>
      </c>
      <c r="C5" s="1771">
        <v>8.8999999999999996E-2</v>
      </c>
      <c r="D5" s="1771">
        <v>7.3999999999999996E-2</v>
      </c>
      <c r="E5" s="1771">
        <v>7.4999999999999997E-2</v>
      </c>
      <c r="F5" s="1772">
        <v>0.1</v>
      </c>
    </row>
    <row r="6" spans="1:6" ht="14.25" thickBot="1">
      <c r="A6" s="1769" t="s">
        <v>1085</v>
      </c>
      <c r="B6" s="1773" t="s">
        <v>2072</v>
      </c>
      <c r="C6" s="1774">
        <v>0.1</v>
      </c>
      <c r="D6" s="1774">
        <v>9.0999999999999998E-2</v>
      </c>
      <c r="E6" s="1774">
        <v>9.0999999999999998E-2</v>
      </c>
      <c r="F6" s="1775">
        <v>0.1</v>
      </c>
    </row>
    <row r="7" spans="1:6" ht="14.25" thickBot="1">
      <c r="A7" s="1769" t="s">
        <v>1085</v>
      </c>
      <c r="B7" s="1776" t="s">
        <v>1073</v>
      </c>
      <c r="C7" s="1774">
        <v>8.5999999999999993E-2</v>
      </c>
      <c r="D7" s="1774">
        <v>9.6000000000000002E-2</v>
      </c>
      <c r="E7" s="1774">
        <v>7.5999999999999998E-2</v>
      </c>
      <c r="F7" s="1775">
        <v>0.1</v>
      </c>
    </row>
    <row r="8" spans="1:6" ht="14.25" thickBot="1">
      <c r="A8" s="1769" t="s">
        <v>1085</v>
      </c>
      <c r="B8" s="1773" t="s">
        <v>1086</v>
      </c>
      <c r="C8" s="1774">
        <v>9.9000000000000005E-2</v>
      </c>
      <c r="D8" s="1774">
        <v>9.8000000000000004E-2</v>
      </c>
      <c r="E8" s="1774">
        <v>9.8000000000000004E-2</v>
      </c>
      <c r="F8" s="1775">
        <v>0.1</v>
      </c>
    </row>
    <row r="9" spans="1:6" ht="14.25" thickBot="1">
      <c r="A9" s="1777" t="s">
        <v>1085</v>
      </c>
      <c r="B9" s="1778" t="s">
        <v>1100</v>
      </c>
      <c r="C9" s="1779">
        <v>0.05</v>
      </c>
      <c r="D9" s="1780"/>
      <c r="E9" s="1780"/>
      <c r="F9" s="1781"/>
    </row>
    <row r="10" spans="1:6" ht="14.25" thickBot="1">
      <c r="A10" s="1769" t="s">
        <v>1144</v>
      </c>
      <c r="B10" s="1770" t="s">
        <v>2073</v>
      </c>
      <c r="C10" s="1771">
        <v>8.8999999999999996E-2</v>
      </c>
      <c r="D10" s="1771">
        <v>7.2999999999999995E-2</v>
      </c>
      <c r="E10" s="1771">
        <v>8.2000000000000003E-2</v>
      </c>
      <c r="F10" s="1772">
        <v>0.1</v>
      </c>
    </row>
    <row r="11" spans="1:6" ht="14.25" thickBot="1">
      <c r="A11" s="1769" t="s">
        <v>1144</v>
      </c>
      <c r="B11" s="1776" t="s">
        <v>1060</v>
      </c>
      <c r="C11" s="1774">
        <v>8.8999999999999996E-2</v>
      </c>
      <c r="D11" s="1774">
        <v>7.2999999999999995E-2</v>
      </c>
      <c r="E11" s="1774">
        <v>8.2000000000000003E-2</v>
      </c>
      <c r="F11" s="1775">
        <v>0.1</v>
      </c>
    </row>
    <row r="12" spans="1:6" ht="14.25" thickBot="1">
      <c r="A12" s="1769" t="s">
        <v>1144</v>
      </c>
      <c r="B12" s="1776" t="s">
        <v>1074</v>
      </c>
      <c r="C12" s="1774">
        <v>6.0999999999999999E-2</v>
      </c>
      <c r="D12" s="1774">
        <v>7.0999999999999994E-2</v>
      </c>
      <c r="E12" s="1774">
        <v>9.6000000000000002E-2</v>
      </c>
      <c r="F12" s="1775">
        <v>0.1</v>
      </c>
    </row>
    <row r="13" spans="1:6" ht="14.25" thickBot="1">
      <c r="A13" s="1769" t="s">
        <v>1144</v>
      </c>
      <c r="B13" s="1776" t="s">
        <v>1087</v>
      </c>
      <c r="C13" s="1774">
        <v>6.9000000000000006E-2</v>
      </c>
      <c r="D13" s="1774">
        <v>6.5000000000000002E-2</v>
      </c>
      <c r="E13" s="1774">
        <v>6.6000000000000003E-2</v>
      </c>
      <c r="F13" s="1775">
        <v>0.1</v>
      </c>
    </row>
    <row r="14" spans="1:6" ht="14.25" thickBot="1">
      <c r="A14" s="1769" t="s">
        <v>1144</v>
      </c>
      <c r="B14" s="1776" t="s">
        <v>1101</v>
      </c>
      <c r="C14" s="1774">
        <v>0.1</v>
      </c>
      <c r="D14" s="1774">
        <v>6.5000000000000002E-2</v>
      </c>
      <c r="E14" s="1774">
        <v>7.0000000000000007E-2</v>
      </c>
      <c r="F14" s="1775">
        <v>0.1</v>
      </c>
    </row>
    <row r="15" spans="1:6" ht="14.25" thickBot="1">
      <c r="A15" s="1769" t="s">
        <v>1144</v>
      </c>
      <c r="B15" s="1776" t="s">
        <v>1112</v>
      </c>
      <c r="C15" s="1774">
        <v>9.8000000000000004E-2</v>
      </c>
      <c r="D15" s="1774">
        <v>8.8999999999999996E-2</v>
      </c>
      <c r="E15" s="1774">
        <v>8.8999999999999996E-2</v>
      </c>
      <c r="F15" s="1775">
        <v>0.1</v>
      </c>
    </row>
    <row r="16" spans="1:6" ht="14.25" thickBot="1">
      <c r="A16" s="1769" t="s">
        <v>1144</v>
      </c>
      <c r="B16" s="1776" t="s">
        <v>1123</v>
      </c>
      <c r="C16" s="1774">
        <v>7.0000000000000007E-2</v>
      </c>
      <c r="D16" s="1774">
        <v>9.2999999999999999E-2</v>
      </c>
      <c r="E16" s="1774">
        <v>9.6000000000000002E-2</v>
      </c>
      <c r="F16" s="1775">
        <v>0.1</v>
      </c>
    </row>
    <row r="17" spans="1:6" ht="14.25" thickBot="1">
      <c r="A17" s="1769" t="s">
        <v>1144</v>
      </c>
      <c r="B17" s="1776" t="s">
        <v>1134</v>
      </c>
      <c r="C17" s="1774">
        <v>9.5000000000000001E-2</v>
      </c>
      <c r="D17" s="1774">
        <v>0.1</v>
      </c>
      <c r="E17" s="1774">
        <v>0.1</v>
      </c>
      <c r="F17" s="1782"/>
    </row>
    <row r="18" spans="1:6" ht="14.25" thickBot="1">
      <c r="A18" s="1769" t="s">
        <v>1144</v>
      </c>
      <c r="B18" s="1776" t="s">
        <v>1146</v>
      </c>
      <c r="C18" s="1774">
        <v>7.3999999999999996E-2</v>
      </c>
      <c r="D18" s="1774">
        <v>9.9000000000000005E-2</v>
      </c>
      <c r="E18" s="1774">
        <v>0.1</v>
      </c>
      <c r="F18" s="1782"/>
    </row>
    <row r="19" spans="1:6" ht="14.25" thickBot="1">
      <c r="A19" s="1769" t="s">
        <v>1144</v>
      </c>
      <c r="B19" s="1776" t="s">
        <v>1156</v>
      </c>
      <c r="C19" s="1774">
        <v>9.9000000000000005E-2</v>
      </c>
      <c r="D19" s="1774">
        <v>7.5999999999999998E-2</v>
      </c>
      <c r="E19" s="1774">
        <v>8.6999999999999994E-2</v>
      </c>
      <c r="F19" s="1782"/>
    </row>
    <row r="20" spans="1:6" ht="14.25" thickBot="1">
      <c r="A20" s="1769" t="s">
        <v>1144</v>
      </c>
      <c r="B20" s="1776" t="s">
        <v>1166</v>
      </c>
      <c r="C20" s="1774">
        <v>9.8000000000000004E-2</v>
      </c>
      <c r="D20" s="1774">
        <v>8.5000000000000006E-2</v>
      </c>
      <c r="E20" s="1774">
        <v>8.2000000000000003E-2</v>
      </c>
      <c r="F20" s="1782"/>
    </row>
    <row r="21" spans="1:6" ht="14.25" thickBot="1">
      <c r="A21" s="1769" t="s">
        <v>1144</v>
      </c>
      <c r="B21" s="1776" t="s">
        <v>1176</v>
      </c>
      <c r="C21" s="1774">
        <v>6.6000000000000003E-2</v>
      </c>
      <c r="D21" s="1774">
        <v>6.4000000000000001E-2</v>
      </c>
      <c r="E21" s="1774">
        <v>6.5000000000000002E-2</v>
      </c>
      <c r="F21" s="1782"/>
    </row>
    <row r="22" spans="1:6" ht="14.25" thickBot="1">
      <c r="A22" s="1769" t="s">
        <v>1144</v>
      </c>
      <c r="B22" s="1776" t="s">
        <v>2074</v>
      </c>
      <c r="C22" s="1774">
        <v>0.08</v>
      </c>
      <c r="D22" s="1774">
        <v>9.8000000000000004E-2</v>
      </c>
      <c r="E22" s="1774">
        <v>9.8000000000000004E-2</v>
      </c>
      <c r="F22" s="1782"/>
    </row>
    <row r="23" spans="1:6" ht="14.25" thickBot="1">
      <c r="A23" s="1769" t="s">
        <v>1144</v>
      </c>
      <c r="B23" s="1776" t="s">
        <v>1196</v>
      </c>
      <c r="C23" s="1774">
        <v>9.9000000000000005E-2</v>
      </c>
      <c r="D23" s="1774">
        <v>9.8000000000000004E-2</v>
      </c>
      <c r="E23" s="1774">
        <v>9.0999999999999998E-2</v>
      </c>
      <c r="F23" s="1782"/>
    </row>
    <row r="24" spans="1:6" ht="14.25" thickBot="1">
      <c r="A24" s="1769" t="s">
        <v>1144</v>
      </c>
      <c r="B24" s="1776" t="s">
        <v>1206</v>
      </c>
      <c r="C24" s="1774">
        <v>8.8999999999999996E-2</v>
      </c>
      <c r="D24" s="1774">
        <v>9.7000000000000003E-2</v>
      </c>
      <c r="E24" s="1774">
        <v>7.0000000000000007E-2</v>
      </c>
      <c r="F24" s="1782"/>
    </row>
    <row r="25" spans="1:6" ht="14.25" thickBot="1">
      <c r="A25" s="1769" t="s">
        <v>1144</v>
      </c>
      <c r="B25" s="1776" t="s">
        <v>1216</v>
      </c>
      <c r="C25" s="1774">
        <v>8.8999999999999996E-2</v>
      </c>
      <c r="D25" s="1774">
        <v>0.1</v>
      </c>
      <c r="E25" s="1774">
        <v>8.1000000000000003E-2</v>
      </c>
      <c r="F25" s="1782"/>
    </row>
    <row r="26" spans="1:6" ht="14.25" thickBot="1">
      <c r="A26" s="1769" t="s">
        <v>1144</v>
      </c>
      <c r="B26" s="1776" t="s">
        <v>1226</v>
      </c>
      <c r="C26" s="1783"/>
      <c r="D26" s="1774">
        <v>9.6000000000000002E-2</v>
      </c>
      <c r="E26" s="1774">
        <v>9.2999999999999999E-2</v>
      </c>
      <c r="F26" s="1782"/>
    </row>
    <row r="27" spans="1:6" ht="14.25" thickBot="1">
      <c r="A27" s="1769" t="s">
        <v>1144</v>
      </c>
      <c r="B27" s="1776" t="s">
        <v>1236</v>
      </c>
      <c r="C27" s="1783"/>
      <c r="D27" s="1774">
        <v>7.5999999999999998E-2</v>
      </c>
      <c r="E27" s="1774">
        <v>9.1999999999999998E-2</v>
      </c>
      <c r="F27" s="1782"/>
    </row>
    <row r="28" spans="1:6" ht="14.25" thickBot="1">
      <c r="A28" s="1777" t="s">
        <v>1144</v>
      </c>
      <c r="B28" s="1778" t="s">
        <v>1246</v>
      </c>
      <c r="C28" s="1780"/>
      <c r="D28" s="1779">
        <v>7.5999999999999998E-2</v>
      </c>
      <c r="E28" s="1779">
        <v>9.1999999999999998E-2</v>
      </c>
      <c r="F28" s="1781"/>
    </row>
    <row r="29" spans="1:6" ht="14.25" thickBot="1">
      <c r="A29" s="1769" t="s">
        <v>1315</v>
      </c>
      <c r="B29" s="1770" t="s">
        <v>2075</v>
      </c>
      <c r="C29" s="1771">
        <v>6.4000000000000001E-2</v>
      </c>
      <c r="D29" s="1771">
        <v>6.5000000000000002E-2</v>
      </c>
      <c r="E29" s="1771">
        <v>6.9000000000000006E-2</v>
      </c>
      <c r="F29" s="1772">
        <v>0.1</v>
      </c>
    </row>
    <row r="30" spans="1:6" ht="14.25" thickBot="1">
      <c r="A30" s="1769" t="s">
        <v>1315</v>
      </c>
      <c r="B30" s="1776" t="s">
        <v>1061</v>
      </c>
      <c r="C30" s="1774">
        <v>6.4000000000000001E-2</v>
      </c>
      <c r="D30" s="1774">
        <v>9.9000000000000005E-2</v>
      </c>
      <c r="E30" s="1774">
        <v>0.1</v>
      </c>
      <c r="F30" s="1775">
        <v>0.1</v>
      </c>
    </row>
    <row r="31" spans="1:6" ht="14.25" thickBot="1">
      <c r="A31" s="1769" t="s">
        <v>1315</v>
      </c>
      <c r="B31" s="1776" t="s">
        <v>1075</v>
      </c>
      <c r="C31" s="1774">
        <v>0.1</v>
      </c>
      <c r="D31" s="1774">
        <v>9.5000000000000001E-2</v>
      </c>
      <c r="E31" s="1774">
        <v>8.8999999999999996E-2</v>
      </c>
      <c r="F31" s="1775">
        <v>0.1</v>
      </c>
    </row>
    <row r="32" spans="1:6" ht="14.25" thickBot="1">
      <c r="A32" s="1769" t="s">
        <v>1315</v>
      </c>
      <c r="B32" s="1776" t="s">
        <v>1088</v>
      </c>
      <c r="C32" s="1774">
        <v>0.05</v>
      </c>
      <c r="D32" s="1774">
        <v>0.05</v>
      </c>
      <c r="E32" s="1774">
        <v>8.7999999999999995E-2</v>
      </c>
      <c r="F32" s="1775">
        <v>0.1</v>
      </c>
    </row>
    <row r="33" spans="1:6" ht="14.25" thickBot="1">
      <c r="A33" s="1769" t="s">
        <v>1315</v>
      </c>
      <c r="B33" s="1776" t="s">
        <v>1102</v>
      </c>
      <c r="C33" s="1774">
        <v>7.4999999999999997E-2</v>
      </c>
      <c r="D33" s="1774">
        <v>9.4E-2</v>
      </c>
      <c r="E33" s="1774">
        <v>9.7000000000000003E-2</v>
      </c>
      <c r="F33" s="1775">
        <v>0.1</v>
      </c>
    </row>
    <row r="34" spans="1:6" ht="14.25" thickBot="1">
      <c r="A34" s="1769" t="s">
        <v>1315</v>
      </c>
      <c r="B34" s="1776" t="s">
        <v>1113</v>
      </c>
      <c r="C34" s="1774">
        <v>9.8000000000000004E-2</v>
      </c>
      <c r="D34" s="1774">
        <v>8.5999999999999993E-2</v>
      </c>
      <c r="E34" s="1774">
        <v>9.7000000000000003E-2</v>
      </c>
      <c r="F34" s="1775">
        <v>0.1</v>
      </c>
    </row>
    <row r="35" spans="1:6" ht="14.25" thickBot="1">
      <c r="A35" s="1769" t="s">
        <v>1315</v>
      </c>
      <c r="B35" s="1776" t="s">
        <v>1124</v>
      </c>
      <c r="C35" s="1774">
        <v>5.8999999999999997E-2</v>
      </c>
      <c r="D35" s="1774">
        <v>6.5000000000000002E-2</v>
      </c>
      <c r="E35" s="1774">
        <v>7.0000000000000007E-2</v>
      </c>
      <c r="F35" s="1775">
        <v>0.1</v>
      </c>
    </row>
    <row r="36" spans="1:6" ht="14.25" thickBot="1">
      <c r="A36" s="1769" t="s">
        <v>1315</v>
      </c>
      <c r="B36" s="1776" t="s">
        <v>1135</v>
      </c>
      <c r="C36" s="1774">
        <v>6.3E-2</v>
      </c>
      <c r="D36" s="1774">
        <v>0.1</v>
      </c>
      <c r="E36" s="1774">
        <v>0.1</v>
      </c>
      <c r="F36" s="1775">
        <v>0.1</v>
      </c>
    </row>
    <row r="37" spans="1:6" ht="14.25" thickBot="1">
      <c r="A37" s="1769" t="s">
        <v>1315</v>
      </c>
      <c r="B37" s="1776" t="s">
        <v>1147</v>
      </c>
      <c r="C37" s="1774">
        <v>7.3999999999999996E-2</v>
      </c>
      <c r="D37" s="1774">
        <v>0.1</v>
      </c>
      <c r="E37" s="1774">
        <v>0.1</v>
      </c>
      <c r="F37" s="1775">
        <v>0.1</v>
      </c>
    </row>
    <row r="38" spans="1:6" ht="14.25" thickBot="1">
      <c r="A38" s="1769" t="s">
        <v>1315</v>
      </c>
      <c r="B38" s="1776" t="s">
        <v>1157</v>
      </c>
      <c r="C38" s="1774">
        <v>0.1</v>
      </c>
      <c r="D38" s="1774">
        <v>9.6000000000000002E-2</v>
      </c>
      <c r="E38" s="1774">
        <v>9.6000000000000002E-2</v>
      </c>
      <c r="F38" s="1782"/>
    </row>
    <row r="39" spans="1:6" ht="14.25" thickBot="1">
      <c r="A39" s="1769" t="s">
        <v>1315</v>
      </c>
      <c r="B39" s="1776" t="s">
        <v>1167</v>
      </c>
      <c r="C39" s="1774">
        <v>0.1</v>
      </c>
      <c r="D39" s="1774">
        <v>9.6000000000000002E-2</v>
      </c>
      <c r="E39" s="1774">
        <v>9.6000000000000002E-2</v>
      </c>
      <c r="F39" s="1782"/>
    </row>
    <row r="40" spans="1:6" ht="14.25" thickBot="1">
      <c r="A40" s="1769" t="s">
        <v>1315</v>
      </c>
      <c r="B40" s="1776" t="s">
        <v>1177</v>
      </c>
      <c r="C40" s="1774">
        <v>9.6000000000000002E-2</v>
      </c>
      <c r="D40" s="1774">
        <v>0.1</v>
      </c>
      <c r="E40" s="1774">
        <v>9.9000000000000005E-2</v>
      </c>
      <c r="F40" s="1782"/>
    </row>
    <row r="41" spans="1:6" ht="14.25" thickBot="1">
      <c r="A41" s="1769" t="s">
        <v>1315</v>
      </c>
      <c r="B41" s="1776" t="s">
        <v>1187</v>
      </c>
      <c r="C41" s="1774">
        <v>9.6000000000000002E-2</v>
      </c>
      <c r="D41" s="1774">
        <v>9.8000000000000004E-2</v>
      </c>
      <c r="E41" s="1774">
        <v>9.8000000000000004E-2</v>
      </c>
      <c r="F41" s="1782"/>
    </row>
    <row r="42" spans="1:6" ht="14.25" thickBot="1">
      <c r="A42" s="1769" t="s">
        <v>1315</v>
      </c>
      <c r="B42" s="1776" t="s">
        <v>1197</v>
      </c>
      <c r="C42" s="1774">
        <v>0.1</v>
      </c>
      <c r="D42" s="1774">
        <v>8.7999999999999995E-2</v>
      </c>
      <c r="E42" s="1774">
        <v>0.1</v>
      </c>
      <c r="F42" s="1782"/>
    </row>
    <row r="43" spans="1:6" ht="14.25" thickBot="1">
      <c r="A43" s="1769" t="s">
        <v>1315</v>
      </c>
      <c r="B43" s="1776" t="s">
        <v>1207</v>
      </c>
      <c r="C43" s="1774">
        <v>9.8000000000000004E-2</v>
      </c>
      <c r="D43" s="1774">
        <v>9.7000000000000003E-2</v>
      </c>
      <c r="E43" s="1774">
        <v>9.6000000000000002E-2</v>
      </c>
      <c r="F43" s="1782"/>
    </row>
    <row r="44" spans="1:6" ht="14.25" thickBot="1">
      <c r="A44" s="1769" t="s">
        <v>1315</v>
      </c>
      <c r="B44" s="1776" t="s">
        <v>1217</v>
      </c>
      <c r="C44" s="1774">
        <v>8.5999999999999993E-2</v>
      </c>
      <c r="D44" s="1774">
        <v>7.9000000000000001E-2</v>
      </c>
      <c r="E44" s="1774">
        <v>7.0999999999999994E-2</v>
      </c>
      <c r="F44" s="1782"/>
    </row>
    <row r="45" spans="1:6" ht="14.25" thickBot="1">
      <c r="A45" s="1769" t="s">
        <v>1315</v>
      </c>
      <c r="B45" s="1776" t="s">
        <v>1227</v>
      </c>
      <c r="C45" s="1774">
        <v>9.8000000000000004E-2</v>
      </c>
      <c r="D45" s="1774">
        <v>9.6000000000000002E-2</v>
      </c>
      <c r="E45" s="1774">
        <v>9.6000000000000002E-2</v>
      </c>
      <c r="F45" s="1782"/>
    </row>
    <row r="46" spans="1:6" ht="14.25" thickBot="1">
      <c r="A46" s="1769" t="s">
        <v>1315</v>
      </c>
      <c r="B46" s="1776" t="s">
        <v>1237</v>
      </c>
      <c r="C46" s="1774">
        <v>8.5999999999999993E-2</v>
      </c>
      <c r="D46" s="1774">
        <v>9.8000000000000004E-2</v>
      </c>
      <c r="E46" s="1774">
        <v>8.7999999999999995E-2</v>
      </c>
      <c r="F46" s="1782"/>
    </row>
    <row r="47" spans="1:6" ht="14.25" thickBot="1">
      <c r="A47" s="1769" t="s">
        <v>1315</v>
      </c>
      <c r="B47" s="1776" t="s">
        <v>1247</v>
      </c>
      <c r="C47" s="1774">
        <v>9.6000000000000002E-2</v>
      </c>
      <c r="D47" s="1783"/>
      <c r="E47" s="1774">
        <v>6.9000000000000006E-2</v>
      </c>
      <c r="F47" s="1782"/>
    </row>
    <row r="48" spans="1:6" ht="14.25" thickBot="1">
      <c r="A48" s="1777" t="s">
        <v>1315</v>
      </c>
      <c r="B48" s="1778" t="s">
        <v>1256</v>
      </c>
      <c r="C48" s="1779">
        <v>9.8000000000000004E-2</v>
      </c>
      <c r="D48" s="1780"/>
      <c r="E48" s="1779">
        <v>9.5000000000000001E-2</v>
      </c>
      <c r="F48" s="1781"/>
    </row>
    <row r="49" spans="1:6" ht="14.25" thickBot="1">
      <c r="A49" s="1769" t="s">
        <v>914</v>
      </c>
      <c r="B49" s="1770" t="s">
        <v>2076</v>
      </c>
      <c r="C49" s="1771">
        <v>9.7000000000000003E-2</v>
      </c>
      <c r="D49" s="1771">
        <v>9.5000000000000001E-2</v>
      </c>
      <c r="E49" s="1771">
        <v>9.7000000000000003E-2</v>
      </c>
      <c r="F49" s="1772">
        <v>0.1</v>
      </c>
    </row>
    <row r="50" spans="1:6" ht="14.25" thickBot="1">
      <c r="A50" s="1769" t="s">
        <v>914</v>
      </c>
      <c r="B50" s="1773" t="s">
        <v>1062</v>
      </c>
      <c r="C50" s="1774">
        <v>7.4999999999999997E-2</v>
      </c>
      <c r="D50" s="1774">
        <v>9.5000000000000001E-2</v>
      </c>
      <c r="E50" s="1774">
        <v>0.1</v>
      </c>
      <c r="F50" s="1775">
        <v>0.1</v>
      </c>
    </row>
    <row r="51" spans="1:6" ht="14.25" thickBot="1">
      <c r="A51" s="1769" t="s">
        <v>914</v>
      </c>
      <c r="B51" s="1773" t="s">
        <v>1076</v>
      </c>
      <c r="C51" s="1774">
        <v>9.8000000000000004E-2</v>
      </c>
      <c r="D51" s="1774">
        <v>8.8999999999999996E-2</v>
      </c>
      <c r="E51" s="1774">
        <v>0.1</v>
      </c>
      <c r="F51" s="1775">
        <v>0.1</v>
      </c>
    </row>
    <row r="52" spans="1:6" ht="14.25" thickBot="1">
      <c r="A52" s="1769" t="s">
        <v>914</v>
      </c>
      <c r="B52" s="1773" t="s">
        <v>1089</v>
      </c>
      <c r="C52" s="1774">
        <v>9.8000000000000004E-2</v>
      </c>
      <c r="D52" s="1774">
        <v>9.7000000000000003E-2</v>
      </c>
      <c r="E52" s="1774">
        <v>8.1000000000000003E-2</v>
      </c>
      <c r="F52" s="1775">
        <v>0.1</v>
      </c>
    </row>
    <row r="53" spans="1:6" ht="14.25" thickBot="1">
      <c r="A53" s="1769" t="s">
        <v>914</v>
      </c>
      <c r="B53" s="1773" t="s">
        <v>1103</v>
      </c>
      <c r="C53" s="1774">
        <v>9.7000000000000003E-2</v>
      </c>
      <c r="D53" s="1774">
        <v>7.5999999999999998E-2</v>
      </c>
      <c r="E53" s="1774">
        <v>7.0999999999999994E-2</v>
      </c>
      <c r="F53" s="1775">
        <v>0.1</v>
      </c>
    </row>
    <row r="54" spans="1:6" ht="14.25" thickBot="1">
      <c r="A54" s="1769" t="s">
        <v>914</v>
      </c>
      <c r="B54" s="1773" t="s">
        <v>1114</v>
      </c>
      <c r="C54" s="1774">
        <v>7.5999999999999998E-2</v>
      </c>
      <c r="D54" s="1774">
        <v>0.1</v>
      </c>
      <c r="E54" s="1774">
        <v>9.9000000000000005E-2</v>
      </c>
      <c r="F54" s="1775">
        <v>0.1</v>
      </c>
    </row>
    <row r="55" spans="1:6" ht="14.25" thickBot="1">
      <c r="A55" s="1769" t="s">
        <v>914</v>
      </c>
      <c r="B55" s="1773" t="s">
        <v>1125</v>
      </c>
      <c r="C55" s="1774">
        <v>0.1</v>
      </c>
      <c r="D55" s="1774">
        <v>0.1</v>
      </c>
      <c r="E55" s="1774">
        <v>9.6000000000000002E-2</v>
      </c>
      <c r="F55" s="1775">
        <v>0.1</v>
      </c>
    </row>
    <row r="56" spans="1:6" ht="14.25" thickBot="1">
      <c r="A56" s="1769" t="s">
        <v>914</v>
      </c>
      <c r="B56" s="1773" t="s">
        <v>1136</v>
      </c>
      <c r="C56" s="1774">
        <v>0.1</v>
      </c>
      <c r="D56" s="1774">
        <v>9.6000000000000002E-2</v>
      </c>
      <c r="E56" s="1774">
        <v>5.1999999999999998E-2</v>
      </c>
      <c r="F56" s="1775">
        <v>0.1</v>
      </c>
    </row>
    <row r="57" spans="1:6" ht="14.25" thickBot="1">
      <c r="A57" s="1769" t="s">
        <v>914</v>
      </c>
      <c r="B57" s="1773" t="s">
        <v>1148</v>
      </c>
      <c r="C57" s="1774">
        <v>9.7000000000000003E-2</v>
      </c>
      <c r="D57" s="1774">
        <v>9.6000000000000002E-2</v>
      </c>
      <c r="E57" s="1774">
        <v>9.6000000000000002E-2</v>
      </c>
      <c r="F57" s="1775">
        <v>0.1</v>
      </c>
    </row>
    <row r="58" spans="1:6" ht="14.25" thickBot="1">
      <c r="A58" s="1769" t="s">
        <v>914</v>
      </c>
      <c r="B58" s="1773" t="s">
        <v>1158</v>
      </c>
      <c r="C58" s="1774">
        <v>9.6000000000000002E-2</v>
      </c>
      <c r="D58" s="1774">
        <v>9.9000000000000005E-2</v>
      </c>
      <c r="E58" s="1774">
        <v>9.6000000000000002E-2</v>
      </c>
      <c r="F58" s="1775">
        <v>0.1</v>
      </c>
    </row>
    <row r="59" spans="1:6" ht="14.25" thickBot="1">
      <c r="A59" s="1769" t="s">
        <v>914</v>
      </c>
      <c r="B59" s="1773" t="s">
        <v>1168</v>
      </c>
      <c r="C59" s="1774">
        <v>7.1999999999999995E-2</v>
      </c>
      <c r="D59" s="1774">
        <v>9.6000000000000002E-2</v>
      </c>
      <c r="E59" s="1774">
        <v>7.0999999999999994E-2</v>
      </c>
      <c r="F59" s="1775">
        <v>0.1</v>
      </c>
    </row>
    <row r="60" spans="1:6" ht="14.25" thickBot="1">
      <c r="A60" s="1769" t="s">
        <v>914</v>
      </c>
      <c r="B60" s="1773" t="s">
        <v>1178</v>
      </c>
      <c r="C60" s="1774">
        <v>9.6000000000000002E-2</v>
      </c>
      <c r="D60" s="1774">
        <v>8.8999999999999996E-2</v>
      </c>
      <c r="E60" s="1774">
        <v>9.6000000000000002E-2</v>
      </c>
      <c r="F60" s="1775">
        <v>0.1</v>
      </c>
    </row>
    <row r="61" spans="1:6" ht="14.25" thickBot="1">
      <c r="A61" s="1769" t="s">
        <v>914</v>
      </c>
      <c r="B61" s="1773" t="s">
        <v>1188</v>
      </c>
      <c r="C61" s="1774">
        <v>8.8999999999999996E-2</v>
      </c>
      <c r="D61" s="1774">
        <v>9.8000000000000004E-2</v>
      </c>
      <c r="E61" s="1774">
        <v>8.7999999999999995E-2</v>
      </c>
      <c r="F61" s="1782"/>
    </row>
    <row r="62" spans="1:6" ht="14.25" thickBot="1">
      <c r="A62" s="1769" t="s">
        <v>914</v>
      </c>
      <c r="B62" s="1773" t="s">
        <v>1198</v>
      </c>
      <c r="C62" s="1774">
        <v>9.8000000000000004E-2</v>
      </c>
      <c r="D62" s="1774">
        <v>9.2999999999999999E-2</v>
      </c>
      <c r="E62" s="1774">
        <v>9.7000000000000003E-2</v>
      </c>
      <c r="F62" s="1782"/>
    </row>
    <row r="63" spans="1:6" ht="14.25" thickBot="1">
      <c r="A63" s="1769" t="s">
        <v>914</v>
      </c>
      <c r="B63" s="1773" t="s">
        <v>1208</v>
      </c>
      <c r="C63" s="1774">
        <v>9.6000000000000002E-2</v>
      </c>
      <c r="D63" s="1774">
        <v>9.8000000000000004E-2</v>
      </c>
      <c r="E63" s="1774">
        <v>0.09</v>
      </c>
      <c r="F63" s="1782"/>
    </row>
    <row r="64" spans="1:6" ht="14.25" thickBot="1">
      <c r="A64" s="1769" t="s">
        <v>914</v>
      </c>
      <c r="B64" s="1773" t="s">
        <v>1218</v>
      </c>
      <c r="C64" s="1774">
        <v>9.9000000000000005E-2</v>
      </c>
      <c r="D64" s="1774">
        <v>9.7000000000000003E-2</v>
      </c>
      <c r="E64" s="1774">
        <v>9.9000000000000005E-2</v>
      </c>
      <c r="F64" s="1782"/>
    </row>
    <row r="65" spans="1:6" ht="14.25" thickBot="1">
      <c r="A65" s="1769" t="s">
        <v>914</v>
      </c>
      <c r="B65" s="1773" t="s">
        <v>1228</v>
      </c>
      <c r="C65" s="1774">
        <v>9.8000000000000004E-2</v>
      </c>
      <c r="D65" s="1774">
        <v>9.6000000000000002E-2</v>
      </c>
      <c r="E65" s="1774">
        <v>9.6000000000000002E-2</v>
      </c>
      <c r="F65" s="1782"/>
    </row>
    <row r="66" spans="1:6" ht="14.25" thickBot="1">
      <c r="A66" s="1769" t="s">
        <v>914</v>
      </c>
      <c r="B66" s="1773" t="s">
        <v>1238</v>
      </c>
      <c r="C66" s="1774">
        <v>9.6000000000000002E-2</v>
      </c>
      <c r="D66" s="1774">
        <v>9.1999999999999998E-2</v>
      </c>
      <c r="E66" s="1774">
        <v>9.6000000000000002E-2</v>
      </c>
      <c r="F66" s="1782"/>
    </row>
    <row r="67" spans="1:6" ht="14.25" thickBot="1">
      <c r="A67" s="1769" t="s">
        <v>914</v>
      </c>
      <c r="B67" s="1773" t="s">
        <v>1248</v>
      </c>
      <c r="C67" s="1774">
        <v>9.4E-2</v>
      </c>
      <c r="D67" s="1774">
        <v>0.1</v>
      </c>
      <c r="E67" s="1774">
        <v>8.7999999999999995E-2</v>
      </c>
      <c r="F67" s="1782"/>
    </row>
    <row r="68" spans="1:6" ht="14.25" thickBot="1">
      <c r="A68" s="1769" t="s">
        <v>914</v>
      </c>
      <c r="B68" s="1773" t="s">
        <v>1257</v>
      </c>
      <c r="C68" s="1774">
        <v>0.1</v>
      </c>
      <c r="D68" s="1774">
        <v>8.7999999999999995E-2</v>
      </c>
      <c r="E68" s="1774">
        <v>9.7000000000000003E-2</v>
      </c>
      <c r="F68" s="1782"/>
    </row>
    <row r="69" spans="1:6" ht="14.25" thickBot="1">
      <c r="A69" s="1769" t="s">
        <v>914</v>
      </c>
      <c r="B69" s="1773" t="s">
        <v>1266</v>
      </c>
      <c r="C69" s="1774">
        <v>6.4000000000000001E-2</v>
      </c>
      <c r="D69" s="1774">
        <v>0.1</v>
      </c>
      <c r="E69" s="1774">
        <v>0.1</v>
      </c>
      <c r="F69" s="1782"/>
    </row>
    <row r="70" spans="1:6" ht="14.25" thickBot="1">
      <c r="A70" s="1769" t="s">
        <v>914</v>
      </c>
      <c r="B70" s="1773" t="s">
        <v>1274</v>
      </c>
      <c r="C70" s="1774">
        <v>9.0999999999999998E-2</v>
      </c>
      <c r="D70" s="1783"/>
      <c r="E70" s="1783"/>
      <c r="F70" s="1782"/>
    </row>
    <row r="71" spans="1:6" ht="14.25" thickBot="1">
      <c r="A71" s="1769" t="s">
        <v>914</v>
      </c>
      <c r="B71" s="1773" t="s">
        <v>1281</v>
      </c>
      <c r="C71" s="1774">
        <v>0.1</v>
      </c>
      <c r="D71" s="1783"/>
      <c r="E71" s="1783"/>
      <c r="F71" s="1782"/>
    </row>
    <row r="72" spans="1:6" ht="14.25" thickBot="1">
      <c r="A72" s="1769" t="s">
        <v>914</v>
      </c>
      <c r="B72" s="1773" t="s">
        <v>2077</v>
      </c>
      <c r="C72" s="1783"/>
      <c r="D72" s="1783"/>
      <c r="E72" s="1783"/>
      <c r="F72" s="1775">
        <v>0.05</v>
      </c>
    </row>
    <row r="73" spans="1:6" ht="14.25" thickBot="1">
      <c r="A73" s="1769" t="s">
        <v>914</v>
      </c>
      <c r="B73" s="1773" t="s">
        <v>2078</v>
      </c>
      <c r="C73" s="1783"/>
      <c r="D73" s="1783"/>
      <c r="E73" s="1783"/>
      <c r="F73" s="1775">
        <v>0.05</v>
      </c>
    </row>
    <row r="74" spans="1:6" ht="14.25" thickBot="1">
      <c r="A74" s="1769" t="s">
        <v>914</v>
      </c>
      <c r="B74" s="1773" t="s">
        <v>2079</v>
      </c>
      <c r="C74" s="1783"/>
      <c r="D74" s="1783"/>
      <c r="E74" s="1783"/>
      <c r="F74" s="1775">
        <v>0.05</v>
      </c>
    </row>
    <row r="75" spans="1:6" ht="14.25" thickBot="1">
      <c r="A75" s="1777" t="s">
        <v>914</v>
      </c>
      <c r="B75" s="1784" t="s">
        <v>2080</v>
      </c>
      <c r="C75" s="1780"/>
      <c r="D75" s="1780"/>
      <c r="E75" s="1780"/>
      <c r="F75" s="1785">
        <v>0.05</v>
      </c>
    </row>
    <row r="76" spans="1:6" ht="14.25" thickBot="1">
      <c r="A76" s="1769" t="s">
        <v>1396</v>
      </c>
      <c r="B76" s="1770" t="s">
        <v>2081</v>
      </c>
      <c r="C76" s="1771">
        <v>0.1</v>
      </c>
      <c r="D76" s="1771">
        <v>0.1</v>
      </c>
      <c r="E76" s="1771">
        <v>0.1</v>
      </c>
      <c r="F76" s="1772">
        <v>0.1</v>
      </c>
    </row>
    <row r="77" spans="1:6" ht="14.25" thickBot="1">
      <c r="A77" s="1769" t="s">
        <v>1396</v>
      </c>
      <c r="B77" s="1773" t="s">
        <v>1063</v>
      </c>
      <c r="C77" s="1774">
        <v>8.7999999999999995E-2</v>
      </c>
      <c r="D77" s="1774">
        <v>8.6999999999999994E-2</v>
      </c>
      <c r="E77" s="1774">
        <v>7.9000000000000001E-2</v>
      </c>
      <c r="F77" s="1775">
        <v>0.1</v>
      </c>
    </row>
    <row r="78" spans="1:6" ht="14.25" thickBot="1">
      <c r="A78" s="1769" t="s">
        <v>1396</v>
      </c>
      <c r="B78" s="1773" t="s">
        <v>1077</v>
      </c>
      <c r="C78" s="1774">
        <v>8.6999999999999994E-2</v>
      </c>
      <c r="D78" s="1774">
        <v>8.4000000000000005E-2</v>
      </c>
      <c r="E78" s="1774">
        <v>9.6000000000000002E-2</v>
      </c>
      <c r="F78" s="1775">
        <v>0.1</v>
      </c>
    </row>
    <row r="79" spans="1:6" ht="14.25" thickBot="1">
      <c r="A79" s="1769" t="s">
        <v>1396</v>
      </c>
      <c r="B79" s="1773" t="s">
        <v>1090</v>
      </c>
      <c r="C79" s="1774">
        <v>9.8000000000000004E-2</v>
      </c>
      <c r="D79" s="1774">
        <v>9.8000000000000004E-2</v>
      </c>
      <c r="E79" s="1774">
        <v>9.0999999999999998E-2</v>
      </c>
      <c r="F79" s="1775">
        <v>0.1</v>
      </c>
    </row>
    <row r="80" spans="1:6" ht="14.25" thickBot="1">
      <c r="A80" s="1769" t="s">
        <v>1396</v>
      </c>
      <c r="B80" s="1773" t="s">
        <v>1104</v>
      </c>
      <c r="C80" s="1774">
        <v>9.6000000000000002E-2</v>
      </c>
      <c r="D80" s="1774">
        <v>9.6000000000000002E-2</v>
      </c>
      <c r="E80" s="1774">
        <v>0.1</v>
      </c>
      <c r="F80" s="1775">
        <v>0.1</v>
      </c>
    </row>
    <row r="81" spans="1:6" ht="14.25" thickBot="1">
      <c r="A81" s="1769" t="s">
        <v>1396</v>
      </c>
      <c r="B81" s="1773" t="s">
        <v>1115</v>
      </c>
      <c r="C81" s="1774">
        <v>9.9000000000000005E-2</v>
      </c>
      <c r="D81" s="1774">
        <v>9.9000000000000005E-2</v>
      </c>
      <c r="E81" s="1774">
        <v>9.8000000000000004E-2</v>
      </c>
      <c r="F81" s="1775">
        <v>0.1</v>
      </c>
    </row>
    <row r="82" spans="1:6" ht="14.25" thickBot="1">
      <c r="A82" s="1769" t="s">
        <v>1396</v>
      </c>
      <c r="B82" s="1773" t="s">
        <v>1126</v>
      </c>
      <c r="C82" s="1774">
        <v>9.9000000000000005E-2</v>
      </c>
      <c r="D82" s="1774">
        <v>9.9000000000000005E-2</v>
      </c>
      <c r="E82" s="1774">
        <v>9.7000000000000003E-2</v>
      </c>
      <c r="F82" s="1775">
        <v>0.1</v>
      </c>
    </row>
    <row r="83" spans="1:6" ht="14.25" thickBot="1">
      <c r="A83" s="1769" t="s">
        <v>1396</v>
      </c>
      <c r="B83" s="1773" t="s">
        <v>1137</v>
      </c>
      <c r="C83" s="1774">
        <v>9.8000000000000004E-2</v>
      </c>
      <c r="D83" s="1774">
        <v>9.8000000000000004E-2</v>
      </c>
      <c r="E83" s="1774">
        <v>9.8000000000000004E-2</v>
      </c>
      <c r="F83" s="1775">
        <v>0.1</v>
      </c>
    </row>
    <row r="84" spans="1:6" ht="14.25" thickBot="1">
      <c r="A84" s="1769" t="s">
        <v>1396</v>
      </c>
      <c r="B84" s="1773" t="s">
        <v>1149</v>
      </c>
      <c r="C84" s="1774">
        <v>9.9000000000000005E-2</v>
      </c>
      <c r="D84" s="1774">
        <v>9.9000000000000005E-2</v>
      </c>
      <c r="E84" s="1774">
        <v>9.9000000000000005E-2</v>
      </c>
      <c r="F84" s="1775">
        <v>0.1</v>
      </c>
    </row>
    <row r="85" spans="1:6" ht="14.25" thickBot="1">
      <c r="A85" s="1769" t="s">
        <v>1396</v>
      </c>
      <c r="B85" s="1773" t="s">
        <v>1159</v>
      </c>
      <c r="C85" s="1774">
        <v>9.9000000000000005E-2</v>
      </c>
      <c r="D85" s="1774">
        <v>9.9000000000000005E-2</v>
      </c>
      <c r="E85" s="1774">
        <v>9.9000000000000005E-2</v>
      </c>
      <c r="F85" s="1775">
        <v>0.1</v>
      </c>
    </row>
    <row r="86" spans="1:6" ht="14.25" thickBot="1">
      <c r="A86" s="1769" t="s">
        <v>1396</v>
      </c>
      <c r="B86" s="1773" t="s">
        <v>1169</v>
      </c>
      <c r="C86" s="1774">
        <v>0.1</v>
      </c>
      <c r="D86" s="1774">
        <v>0.1</v>
      </c>
      <c r="E86" s="1774">
        <v>7.6999999999999999E-2</v>
      </c>
      <c r="F86" s="1775">
        <v>0.1</v>
      </c>
    </row>
    <row r="87" spans="1:6" ht="14.25" thickBot="1">
      <c r="A87" s="1769" t="s">
        <v>1396</v>
      </c>
      <c r="B87" s="1773" t="s">
        <v>1179</v>
      </c>
      <c r="C87" s="1774">
        <v>0.1</v>
      </c>
      <c r="D87" s="1774">
        <v>0.1</v>
      </c>
      <c r="E87" s="1774">
        <v>9.8000000000000004E-2</v>
      </c>
      <c r="F87" s="1782"/>
    </row>
    <row r="88" spans="1:6" ht="14.25" thickBot="1">
      <c r="A88" s="1769" t="s">
        <v>1396</v>
      </c>
      <c r="B88" s="1773" t="s">
        <v>1189</v>
      </c>
      <c r="C88" s="1774">
        <v>9.1999999999999998E-2</v>
      </c>
      <c r="D88" s="1774">
        <v>8.5000000000000006E-2</v>
      </c>
      <c r="E88" s="1774">
        <v>9.6000000000000002E-2</v>
      </c>
      <c r="F88" s="1782"/>
    </row>
    <row r="89" spans="1:6" ht="14.25" thickBot="1">
      <c r="A89" s="1769" t="s">
        <v>1396</v>
      </c>
      <c r="B89" s="1773" t="s">
        <v>1199</v>
      </c>
      <c r="C89" s="1774">
        <v>0.1</v>
      </c>
      <c r="D89" s="1774">
        <v>0.1</v>
      </c>
      <c r="E89" s="1774">
        <v>9.7000000000000003E-2</v>
      </c>
      <c r="F89" s="1782"/>
    </row>
    <row r="90" spans="1:6" ht="14.25" thickBot="1">
      <c r="A90" s="1769" t="s">
        <v>1396</v>
      </c>
      <c r="B90" s="1773" t="s">
        <v>1209</v>
      </c>
      <c r="C90" s="1774">
        <v>9.8000000000000004E-2</v>
      </c>
      <c r="D90" s="1774">
        <v>9.8000000000000004E-2</v>
      </c>
      <c r="E90" s="1774">
        <v>8.7999999999999995E-2</v>
      </c>
      <c r="F90" s="1782"/>
    </row>
    <row r="91" spans="1:6" ht="14.25" thickBot="1">
      <c r="A91" s="1769" t="s">
        <v>1396</v>
      </c>
      <c r="B91" s="1773" t="s">
        <v>1219</v>
      </c>
      <c r="C91" s="1774">
        <v>9.9000000000000005E-2</v>
      </c>
      <c r="D91" s="1774">
        <v>9.9000000000000005E-2</v>
      </c>
      <c r="E91" s="1774">
        <v>9.0999999999999998E-2</v>
      </c>
      <c r="F91" s="1782"/>
    </row>
    <row r="92" spans="1:6" ht="14.25" thickBot="1">
      <c r="A92" s="1769" t="s">
        <v>1396</v>
      </c>
      <c r="B92" s="1773" t="s">
        <v>1229</v>
      </c>
      <c r="C92" s="1774">
        <v>9.6000000000000002E-2</v>
      </c>
      <c r="D92" s="1774">
        <v>9.6000000000000002E-2</v>
      </c>
      <c r="E92" s="1774">
        <v>7.2999999999999995E-2</v>
      </c>
      <c r="F92" s="1782"/>
    </row>
    <row r="93" spans="1:6" ht="14.25" thickBot="1">
      <c r="A93" s="1769" t="s">
        <v>1396</v>
      </c>
      <c r="B93" s="1773" t="s">
        <v>1239</v>
      </c>
      <c r="C93" s="1774">
        <v>9.6000000000000002E-2</v>
      </c>
      <c r="D93" s="1774">
        <v>9.6000000000000002E-2</v>
      </c>
      <c r="E93" s="1774">
        <v>9.9000000000000005E-2</v>
      </c>
      <c r="F93" s="1782"/>
    </row>
    <row r="94" spans="1:6" ht="14.25" thickBot="1">
      <c r="A94" s="1769" t="s">
        <v>1396</v>
      </c>
      <c r="B94" s="1773" t="s">
        <v>1249</v>
      </c>
      <c r="C94" s="1774">
        <v>7.5999999999999998E-2</v>
      </c>
      <c r="D94" s="1774">
        <v>7.3999999999999996E-2</v>
      </c>
      <c r="E94" s="1774">
        <v>9.7000000000000003E-2</v>
      </c>
      <c r="F94" s="1782"/>
    </row>
    <row r="95" spans="1:6" ht="14.25" thickBot="1">
      <c r="A95" s="1769" t="s">
        <v>1396</v>
      </c>
      <c r="B95" s="1773" t="s">
        <v>1258</v>
      </c>
      <c r="C95" s="1774">
        <v>9.9000000000000005E-2</v>
      </c>
      <c r="D95" s="1774">
        <v>9.4E-2</v>
      </c>
      <c r="E95" s="1774">
        <v>9.6000000000000002E-2</v>
      </c>
      <c r="F95" s="1782"/>
    </row>
    <row r="96" spans="1:6" ht="14.25" thickBot="1">
      <c r="A96" s="1769" t="s">
        <v>1396</v>
      </c>
      <c r="B96" s="1773" t="s">
        <v>1267</v>
      </c>
      <c r="C96" s="1774">
        <v>9.9000000000000005E-2</v>
      </c>
      <c r="D96" s="1774">
        <v>9.9000000000000005E-2</v>
      </c>
      <c r="E96" s="1774">
        <v>9.9000000000000005E-2</v>
      </c>
      <c r="F96" s="1782"/>
    </row>
    <row r="97" spans="1:6" ht="14.25" thickBot="1">
      <c r="A97" s="1769" t="s">
        <v>1396</v>
      </c>
      <c r="B97" s="1773" t="s">
        <v>1275</v>
      </c>
      <c r="C97" s="1774">
        <v>9.8000000000000004E-2</v>
      </c>
      <c r="D97" s="1774">
        <v>9.8000000000000004E-2</v>
      </c>
      <c r="E97" s="1774">
        <v>9.7000000000000003E-2</v>
      </c>
      <c r="F97" s="1782"/>
    </row>
    <row r="98" spans="1:6" ht="14.25" thickBot="1">
      <c r="A98" s="1769" t="s">
        <v>1396</v>
      </c>
      <c r="B98" s="1773" t="s">
        <v>1282</v>
      </c>
      <c r="C98" s="1774">
        <v>0.1</v>
      </c>
      <c r="D98" s="1774">
        <v>0.1</v>
      </c>
      <c r="E98" s="1774">
        <v>9.7000000000000003E-2</v>
      </c>
      <c r="F98" s="1782"/>
    </row>
    <row r="99" spans="1:6" ht="14.25" thickBot="1">
      <c r="A99" s="1769" t="s">
        <v>1396</v>
      </c>
      <c r="B99" s="1773" t="s">
        <v>1289</v>
      </c>
      <c r="C99" s="1774">
        <v>0.1</v>
      </c>
      <c r="D99" s="1774">
        <v>0.1</v>
      </c>
      <c r="E99" s="1783"/>
      <c r="F99" s="1782"/>
    </row>
    <row r="100" spans="1:6" ht="14.25" thickBot="1">
      <c r="A100" s="1769" t="s">
        <v>1396</v>
      </c>
      <c r="B100" s="1773" t="s">
        <v>1296</v>
      </c>
      <c r="C100" s="1774">
        <v>0.09</v>
      </c>
      <c r="D100" s="1774">
        <v>8.8999999999999996E-2</v>
      </c>
      <c r="E100" s="1783"/>
      <c r="F100" s="1782"/>
    </row>
    <row r="101" spans="1:6" ht="14.25" thickBot="1">
      <c r="A101" s="1769" t="s">
        <v>1396</v>
      </c>
      <c r="B101" s="1773" t="s">
        <v>1303</v>
      </c>
      <c r="C101" s="1774">
        <v>9.8000000000000004E-2</v>
      </c>
      <c r="D101" s="1774">
        <v>9.7000000000000003E-2</v>
      </c>
      <c r="E101" s="1783"/>
      <c r="F101" s="1782"/>
    </row>
    <row r="102" spans="1:6" ht="14.25" thickBot="1">
      <c r="A102" s="1769" t="s">
        <v>1396</v>
      </c>
      <c r="B102" s="1773" t="s">
        <v>2082</v>
      </c>
      <c r="C102" s="1783"/>
      <c r="D102" s="1783"/>
      <c r="E102" s="1783"/>
      <c r="F102" s="1775">
        <v>0.05</v>
      </c>
    </row>
    <row r="103" spans="1:6" ht="24.75" thickBot="1">
      <c r="A103" s="1769" t="s">
        <v>1396</v>
      </c>
      <c r="B103" s="1773" t="s">
        <v>2083</v>
      </c>
      <c r="C103" s="1783"/>
      <c r="D103" s="1783"/>
      <c r="E103" s="1783"/>
      <c r="F103" s="1775">
        <v>0.05</v>
      </c>
    </row>
    <row r="104" spans="1:6" ht="14.25" thickBot="1">
      <c r="A104" s="1769" t="s">
        <v>1396</v>
      </c>
      <c r="B104" s="1773" t="s">
        <v>2084</v>
      </c>
      <c r="C104" s="1783"/>
      <c r="D104" s="1783"/>
      <c r="E104" s="1783"/>
      <c r="F104" s="1775">
        <v>0.05</v>
      </c>
    </row>
    <row r="105" spans="1:6" ht="14.25" thickBot="1">
      <c r="A105" s="1769" t="s">
        <v>1396</v>
      </c>
      <c r="B105" s="1773" t="s">
        <v>2085</v>
      </c>
      <c r="C105" s="1783"/>
      <c r="D105" s="1783"/>
      <c r="E105" s="1783"/>
      <c r="F105" s="1775">
        <v>0.05</v>
      </c>
    </row>
    <row r="106" spans="1:6" ht="14.25" thickBot="1">
      <c r="A106" s="1769" t="s">
        <v>1396</v>
      </c>
      <c r="B106" s="1773" t="s">
        <v>2086</v>
      </c>
      <c r="C106" s="1783"/>
      <c r="D106" s="1783"/>
      <c r="E106" s="1783"/>
      <c r="F106" s="1775">
        <v>0.05</v>
      </c>
    </row>
    <row r="107" spans="1:6" ht="24.75" thickBot="1">
      <c r="A107" s="1769" t="s">
        <v>1396</v>
      </c>
      <c r="B107" s="1773" t="s">
        <v>2087</v>
      </c>
      <c r="C107" s="1783"/>
      <c r="D107" s="1783"/>
      <c r="E107" s="1783"/>
      <c r="F107" s="1775">
        <v>0.05</v>
      </c>
    </row>
    <row r="108" spans="1:6" ht="24.75" thickBot="1">
      <c r="A108" s="1769" t="s">
        <v>1396</v>
      </c>
      <c r="B108" s="1773" t="s">
        <v>2088</v>
      </c>
      <c r="C108" s="1783"/>
      <c r="D108" s="1783"/>
      <c r="E108" s="1783"/>
      <c r="F108" s="1775">
        <v>0.05</v>
      </c>
    </row>
    <row r="109" spans="1:6" ht="24.75" thickBot="1">
      <c r="A109" s="1777" t="s">
        <v>1396</v>
      </c>
      <c r="B109" s="1784" t="s">
        <v>2089</v>
      </c>
      <c r="C109" s="1780"/>
      <c r="D109" s="1780"/>
      <c r="E109" s="1780"/>
      <c r="F109" s="1785">
        <v>0.05</v>
      </c>
    </row>
    <row r="110" spans="1:6" ht="14.25" thickBot="1">
      <c r="A110" s="1769" t="s">
        <v>1398</v>
      </c>
      <c r="B110" s="1770" t="s">
        <v>2090</v>
      </c>
      <c r="C110" s="1771">
        <v>0.129</v>
      </c>
      <c r="D110" s="1771">
        <v>0.129</v>
      </c>
      <c r="E110" s="1771">
        <v>0.126</v>
      </c>
      <c r="F110" s="1772">
        <v>0.13</v>
      </c>
    </row>
    <row r="111" spans="1:6" ht="14.25" thickBot="1">
      <c r="A111" s="1769" t="s">
        <v>1398</v>
      </c>
      <c r="B111" s="1773" t="s">
        <v>1064</v>
      </c>
      <c r="C111" s="1774">
        <v>0.11</v>
      </c>
      <c r="D111" s="1774">
        <v>0.11</v>
      </c>
      <c r="E111" s="1774">
        <v>9.9000000000000005E-2</v>
      </c>
      <c r="F111" s="1775">
        <v>0.128</v>
      </c>
    </row>
    <row r="112" spans="1:6" ht="14.25" thickBot="1">
      <c r="A112" s="1769" t="s">
        <v>1398</v>
      </c>
      <c r="B112" s="1773" t="s">
        <v>1078</v>
      </c>
      <c r="C112" s="1774">
        <v>0.125</v>
      </c>
      <c r="D112" s="1774">
        <v>0.125</v>
      </c>
      <c r="E112" s="1774">
        <v>0.12</v>
      </c>
      <c r="F112" s="1775">
        <v>0.125</v>
      </c>
    </row>
    <row r="113" spans="1:6" ht="14.25" thickBot="1">
      <c r="A113" s="1769" t="s">
        <v>1398</v>
      </c>
      <c r="B113" s="1773" t="s">
        <v>1091</v>
      </c>
      <c r="C113" s="1774">
        <v>0.13</v>
      </c>
      <c r="D113" s="1774">
        <v>0.13</v>
      </c>
      <c r="E113" s="1774">
        <v>0.13</v>
      </c>
      <c r="F113" s="1775">
        <v>0.13</v>
      </c>
    </row>
    <row r="114" spans="1:6" ht="14.25" thickBot="1">
      <c r="A114" s="1769" t="s">
        <v>1398</v>
      </c>
      <c r="B114" s="1773" t="s">
        <v>1105</v>
      </c>
      <c r="C114" s="1774">
        <v>0.123</v>
      </c>
      <c r="D114" s="1774">
        <v>0.123</v>
      </c>
      <c r="E114" s="1774">
        <v>0.12</v>
      </c>
      <c r="F114" s="1775">
        <v>0.13</v>
      </c>
    </row>
    <row r="115" spans="1:6" ht="14.25" thickBot="1">
      <c r="A115" s="1769" t="s">
        <v>1398</v>
      </c>
      <c r="B115" s="1773" t="s">
        <v>1116</v>
      </c>
      <c r="C115" s="1774">
        <v>0.125</v>
      </c>
      <c r="D115" s="1774">
        <v>0.125</v>
      </c>
      <c r="E115" s="1774">
        <v>0.11700000000000001</v>
      </c>
      <c r="F115" s="1775">
        <v>0.13</v>
      </c>
    </row>
    <row r="116" spans="1:6" ht="14.25" thickBot="1">
      <c r="A116" s="1769" t="s">
        <v>1398</v>
      </c>
      <c r="B116" s="1773" t="s">
        <v>1127</v>
      </c>
      <c r="C116" s="1774">
        <v>0.11700000000000001</v>
      </c>
      <c r="D116" s="1774">
        <v>0.11700000000000001</v>
      </c>
      <c r="E116" s="1774">
        <v>8.7999999999999995E-2</v>
      </c>
      <c r="F116" s="1775">
        <v>0.13</v>
      </c>
    </row>
    <row r="117" spans="1:6" ht="14.25" thickBot="1">
      <c r="A117" s="1769" t="s">
        <v>1398</v>
      </c>
      <c r="B117" s="1773" t="s">
        <v>1138</v>
      </c>
      <c r="C117" s="1774">
        <v>0.13</v>
      </c>
      <c r="D117" s="1774">
        <v>0.13</v>
      </c>
      <c r="E117" s="1774">
        <v>0.129</v>
      </c>
      <c r="F117" s="1775">
        <v>0.13</v>
      </c>
    </row>
    <row r="118" spans="1:6" ht="14.25" thickBot="1">
      <c r="A118" s="1769" t="s">
        <v>1398</v>
      </c>
      <c r="B118" s="1773" t="s">
        <v>1150</v>
      </c>
      <c r="C118" s="1774">
        <v>0.123</v>
      </c>
      <c r="D118" s="1774">
        <v>0.123</v>
      </c>
      <c r="E118" s="1774">
        <v>0.11600000000000001</v>
      </c>
      <c r="F118" s="1775">
        <v>0.13</v>
      </c>
    </row>
    <row r="119" spans="1:6" ht="14.25" thickBot="1">
      <c r="A119" s="1769" t="s">
        <v>1398</v>
      </c>
      <c r="B119" s="1773" t="s">
        <v>1160</v>
      </c>
      <c r="C119" s="1774">
        <v>0.127</v>
      </c>
      <c r="D119" s="1774">
        <v>0.127</v>
      </c>
      <c r="E119" s="1774">
        <v>0.124</v>
      </c>
      <c r="F119" s="1775">
        <v>0.13</v>
      </c>
    </row>
    <row r="120" spans="1:6" ht="14.25" thickBot="1">
      <c r="A120" s="1769" t="s">
        <v>1398</v>
      </c>
      <c r="B120" s="1773" t="s">
        <v>1170</v>
      </c>
      <c r="C120" s="1774">
        <v>0.125</v>
      </c>
      <c r="D120" s="1774">
        <v>0.125</v>
      </c>
      <c r="E120" s="1774">
        <v>0.122</v>
      </c>
      <c r="F120" s="1775">
        <v>0.13</v>
      </c>
    </row>
    <row r="121" spans="1:6" ht="14.25" thickBot="1">
      <c r="A121" s="1769" t="s">
        <v>1398</v>
      </c>
      <c r="B121" s="1773" t="s">
        <v>1180</v>
      </c>
      <c r="C121" s="1774">
        <v>0.13</v>
      </c>
      <c r="D121" s="1774">
        <v>0.13</v>
      </c>
      <c r="E121" s="1774">
        <v>0.13</v>
      </c>
      <c r="F121" s="1775">
        <v>0.13</v>
      </c>
    </row>
    <row r="122" spans="1:6" ht="14.25" thickBot="1">
      <c r="A122" s="1769" t="s">
        <v>1398</v>
      </c>
      <c r="B122" s="1773" t="s">
        <v>1190</v>
      </c>
      <c r="C122" s="1774">
        <v>0.13</v>
      </c>
      <c r="D122" s="1774">
        <v>0.13</v>
      </c>
      <c r="E122" s="1774">
        <v>0.125</v>
      </c>
      <c r="F122" s="1775">
        <v>0.13</v>
      </c>
    </row>
    <row r="123" spans="1:6" ht="14.25" thickBot="1">
      <c r="A123" s="1769" t="s">
        <v>1398</v>
      </c>
      <c r="B123" s="1773" t="s">
        <v>1200</v>
      </c>
      <c r="C123" s="1774">
        <v>0.129</v>
      </c>
      <c r="D123" s="1774">
        <v>0.129</v>
      </c>
      <c r="E123" s="1774">
        <v>0.123</v>
      </c>
      <c r="F123" s="1775">
        <v>0.13</v>
      </c>
    </row>
    <row r="124" spans="1:6" ht="14.25" thickBot="1">
      <c r="A124" s="1769" t="s">
        <v>1398</v>
      </c>
      <c r="B124" s="1773" t="s">
        <v>1210</v>
      </c>
      <c r="C124" s="1774">
        <v>0.10199999999999999</v>
      </c>
      <c r="D124" s="1774">
        <v>0.10100000000000001</v>
      </c>
      <c r="E124" s="1774">
        <v>0.08</v>
      </c>
      <c r="F124" s="1782"/>
    </row>
    <row r="125" spans="1:6" ht="14.25" thickBot="1">
      <c r="A125" s="1769" t="s">
        <v>1398</v>
      </c>
      <c r="B125" s="1773" t="s">
        <v>1220</v>
      </c>
      <c r="C125" s="1774">
        <v>0.13</v>
      </c>
      <c r="D125" s="1774">
        <v>0.13</v>
      </c>
      <c r="E125" s="1774">
        <v>0.129</v>
      </c>
      <c r="F125" s="1782"/>
    </row>
    <row r="126" spans="1:6" ht="14.25" thickBot="1">
      <c r="A126" s="1769" t="s">
        <v>1398</v>
      </c>
      <c r="B126" s="1773" t="s">
        <v>1230</v>
      </c>
      <c r="C126" s="1774">
        <v>0.13</v>
      </c>
      <c r="D126" s="1774">
        <v>0.13</v>
      </c>
      <c r="E126" s="1774">
        <v>0.126</v>
      </c>
      <c r="F126" s="1782"/>
    </row>
    <row r="127" spans="1:6" ht="14.25" thickBot="1">
      <c r="A127" s="1769" t="s">
        <v>1398</v>
      </c>
      <c r="B127" s="1773" t="s">
        <v>1240</v>
      </c>
      <c r="C127" s="1774">
        <v>0.125</v>
      </c>
      <c r="D127" s="1774">
        <v>0.125</v>
      </c>
      <c r="E127" s="1774">
        <v>0.121</v>
      </c>
      <c r="F127" s="1782"/>
    </row>
    <row r="128" spans="1:6" ht="14.25" thickBot="1">
      <c r="A128" s="1769" t="s">
        <v>1398</v>
      </c>
      <c r="B128" s="1773" t="s">
        <v>1250</v>
      </c>
      <c r="C128" s="1774">
        <v>0.12</v>
      </c>
      <c r="D128" s="1774">
        <v>0.12</v>
      </c>
      <c r="E128" s="1774">
        <v>0.105</v>
      </c>
      <c r="F128" s="1782"/>
    </row>
    <row r="129" spans="1:6" ht="14.25" thickBot="1">
      <c r="A129" s="1769" t="s">
        <v>1398</v>
      </c>
      <c r="B129" s="1773" t="s">
        <v>1259</v>
      </c>
      <c r="C129" s="1774">
        <v>0.13</v>
      </c>
      <c r="D129" s="1774">
        <v>0.13</v>
      </c>
      <c r="E129" s="1774">
        <v>0.126</v>
      </c>
      <c r="F129" s="1782"/>
    </row>
    <row r="130" spans="1:6" ht="14.25" thickBot="1">
      <c r="A130" s="1769" t="s">
        <v>1398</v>
      </c>
      <c r="B130" s="1773" t="s">
        <v>1268</v>
      </c>
      <c r="C130" s="1774">
        <v>0.125</v>
      </c>
      <c r="D130" s="1774">
        <v>0.125</v>
      </c>
      <c r="E130" s="1774">
        <v>0.122</v>
      </c>
      <c r="F130" s="1782"/>
    </row>
    <row r="131" spans="1:6" ht="14.25" thickBot="1">
      <c r="A131" s="1769" t="s">
        <v>1398</v>
      </c>
      <c r="B131" s="1773" t="s">
        <v>1276</v>
      </c>
      <c r="C131" s="1774">
        <v>0.127</v>
      </c>
      <c r="D131" s="1774">
        <v>0.126</v>
      </c>
      <c r="E131" s="1774">
        <v>0.123</v>
      </c>
      <c r="F131" s="1782"/>
    </row>
    <row r="132" spans="1:6" ht="14.25" thickBot="1">
      <c r="A132" s="1769" t="s">
        <v>1398</v>
      </c>
      <c r="B132" s="1773" t="s">
        <v>1283</v>
      </c>
      <c r="C132" s="1774">
        <v>9.0999999999999998E-2</v>
      </c>
      <c r="D132" s="1774">
        <v>0.121</v>
      </c>
      <c r="E132" s="1774">
        <v>9.9000000000000005E-2</v>
      </c>
      <c r="F132" s="1782"/>
    </row>
    <row r="133" spans="1:6" ht="14.25" thickBot="1">
      <c r="A133" s="1769" t="s">
        <v>1398</v>
      </c>
      <c r="B133" s="1773" t="s">
        <v>1290</v>
      </c>
      <c r="C133" s="1774">
        <v>0.13</v>
      </c>
      <c r="D133" s="1774">
        <v>0.13</v>
      </c>
      <c r="E133" s="1774">
        <v>0.129</v>
      </c>
      <c r="F133" s="1782"/>
    </row>
    <row r="134" spans="1:6" ht="14.25" thickBot="1">
      <c r="A134" s="1769" t="s">
        <v>1398</v>
      </c>
      <c r="B134" s="1773" t="s">
        <v>2091</v>
      </c>
      <c r="C134" s="1774">
        <v>6.8000000000000005E-2</v>
      </c>
      <c r="D134" s="1774">
        <v>6.5000000000000002E-2</v>
      </c>
      <c r="E134" s="1774">
        <v>6.5000000000000002E-2</v>
      </c>
      <c r="F134" s="1775">
        <v>0.13</v>
      </c>
    </row>
    <row r="135" spans="1:6" ht="14.25" thickBot="1">
      <c r="A135" s="1769" t="s">
        <v>1398</v>
      </c>
      <c r="B135" s="1773" t="s">
        <v>1304</v>
      </c>
      <c r="C135" s="1774">
        <v>0.123</v>
      </c>
      <c r="D135" s="1774">
        <v>0.123</v>
      </c>
      <c r="E135" s="1774">
        <v>0.11</v>
      </c>
      <c r="F135" s="1782"/>
    </row>
    <row r="136" spans="1:6" ht="14.25" thickBot="1">
      <c r="A136" s="1769" t="s">
        <v>1398</v>
      </c>
      <c r="B136" s="1773" t="s">
        <v>1311</v>
      </c>
      <c r="C136" s="1774">
        <v>0.13</v>
      </c>
      <c r="D136" s="1774">
        <v>0.13</v>
      </c>
      <c r="E136" s="1774">
        <v>0.125</v>
      </c>
      <c r="F136" s="1782"/>
    </row>
    <row r="137" spans="1:6" ht="14.25" thickBot="1">
      <c r="A137" s="1769" t="s">
        <v>1398</v>
      </c>
      <c r="B137" s="1773" t="s">
        <v>1318</v>
      </c>
      <c r="C137" s="1774">
        <v>0.121</v>
      </c>
      <c r="D137" s="1774">
        <v>0.122</v>
      </c>
      <c r="E137" s="1774">
        <v>0.115</v>
      </c>
      <c r="F137" s="1782"/>
    </row>
    <row r="138" spans="1:6" ht="14.25" thickBot="1">
      <c r="A138" s="1769" t="s">
        <v>1398</v>
      </c>
      <c r="B138" s="1773" t="s">
        <v>2092</v>
      </c>
      <c r="C138" s="1774">
        <v>0.105</v>
      </c>
      <c r="D138" s="1774">
        <v>0.125</v>
      </c>
      <c r="E138" s="1774">
        <v>0.112</v>
      </c>
      <c r="F138" s="1782"/>
    </row>
    <row r="139" spans="1:6" ht="14.25" thickBot="1">
      <c r="A139" s="1769" t="s">
        <v>1398</v>
      </c>
      <c r="B139" s="1773" t="s">
        <v>2093</v>
      </c>
      <c r="C139" s="1774">
        <v>0.127</v>
      </c>
      <c r="D139" s="1774">
        <v>0.127</v>
      </c>
      <c r="E139" s="1774">
        <v>0.122</v>
      </c>
      <c r="F139" s="1775">
        <v>0.13</v>
      </c>
    </row>
    <row r="140" spans="1:6" ht="14.25" thickBot="1">
      <c r="A140" s="1769" t="s">
        <v>1398</v>
      </c>
      <c r="B140" s="1773" t="s">
        <v>2094</v>
      </c>
      <c r="C140" s="1774">
        <v>0.125</v>
      </c>
      <c r="D140" s="1774">
        <v>0.125</v>
      </c>
      <c r="E140" s="1774">
        <v>0.11899999999999999</v>
      </c>
      <c r="F140" s="1775">
        <v>0.13</v>
      </c>
    </row>
    <row r="141" spans="1:6" ht="14.25" thickBot="1">
      <c r="A141" s="1769" t="s">
        <v>1398</v>
      </c>
      <c r="B141" s="1773" t="s">
        <v>1337</v>
      </c>
      <c r="C141" s="1774">
        <v>0.125</v>
      </c>
      <c r="D141" s="1774">
        <v>0.125</v>
      </c>
      <c r="E141" s="1774">
        <v>0.11700000000000001</v>
      </c>
      <c r="F141" s="1782"/>
    </row>
    <row r="142" spans="1:6" ht="14.25" thickBot="1">
      <c r="A142" s="1769" t="s">
        <v>1398</v>
      </c>
      <c r="B142" s="1773" t="s">
        <v>1342</v>
      </c>
      <c r="C142" s="1774">
        <v>0.125</v>
      </c>
      <c r="D142" s="1774">
        <v>0.125</v>
      </c>
      <c r="E142" s="1774">
        <v>0.115</v>
      </c>
      <c r="F142" s="1782"/>
    </row>
    <row r="143" spans="1:6" ht="14.25" thickBot="1">
      <c r="A143" s="1769" t="s">
        <v>1398</v>
      </c>
      <c r="B143" s="1773" t="s">
        <v>1347</v>
      </c>
      <c r="C143" s="1774">
        <v>0.121</v>
      </c>
      <c r="D143" s="1774">
        <v>0.121</v>
      </c>
      <c r="E143" s="1774">
        <v>0.108</v>
      </c>
      <c r="F143" s="1782"/>
    </row>
    <row r="144" spans="1:6" ht="14.25" thickBot="1">
      <c r="A144" s="1769" t="s">
        <v>1398</v>
      </c>
      <c r="B144" s="1786" t="s">
        <v>2095</v>
      </c>
      <c r="C144" s="1787">
        <v>0.126</v>
      </c>
      <c r="D144" s="1787">
        <v>0.126</v>
      </c>
      <c r="E144" s="1787">
        <v>0.121</v>
      </c>
      <c r="F144" s="1782"/>
    </row>
    <row r="145" spans="1:6" ht="14.25" thickBot="1">
      <c r="A145" s="1777" t="s">
        <v>1398</v>
      </c>
      <c r="B145" s="1788" t="s">
        <v>2096</v>
      </c>
      <c r="C145" s="1789"/>
      <c r="D145" s="1789"/>
      <c r="E145" s="1789"/>
      <c r="F145" s="1790">
        <v>0.05</v>
      </c>
    </row>
    <row r="146" spans="1:6" ht="24.75" thickBot="1">
      <c r="A146" s="1791" t="s">
        <v>1398</v>
      </c>
      <c r="B146" s="1776" t="s">
        <v>2097</v>
      </c>
      <c r="C146" s="1783"/>
      <c r="D146" s="1783"/>
      <c r="E146" s="1783"/>
      <c r="F146" s="1792">
        <v>0.05</v>
      </c>
    </row>
    <row r="147" spans="1:6" ht="24.75" thickBot="1">
      <c r="A147" s="1769" t="s">
        <v>1398</v>
      </c>
      <c r="B147" s="1773" t="s">
        <v>2098</v>
      </c>
      <c r="C147" s="1783"/>
      <c r="D147" s="1783"/>
      <c r="E147" s="1783"/>
      <c r="F147" s="1775">
        <v>0.05</v>
      </c>
    </row>
    <row r="148" spans="1:6" ht="24.75" thickBot="1">
      <c r="A148" s="1769" t="s">
        <v>1398</v>
      </c>
      <c r="B148" s="1773" t="s">
        <v>2099</v>
      </c>
      <c r="C148" s="1783"/>
      <c r="D148" s="1783"/>
      <c r="E148" s="1783"/>
      <c r="F148" s="1775">
        <v>0.05</v>
      </c>
    </row>
    <row r="149" spans="1:6" ht="24.75" thickBot="1">
      <c r="A149" s="1769" t="s">
        <v>1398</v>
      </c>
      <c r="B149" s="1773" t="s">
        <v>2100</v>
      </c>
      <c r="C149" s="1783"/>
      <c r="D149" s="1783"/>
      <c r="E149" s="1783"/>
      <c r="F149" s="1775">
        <v>0.05</v>
      </c>
    </row>
    <row r="150" spans="1:6" ht="24.75" thickBot="1">
      <c r="A150" s="1769" t="s">
        <v>1398</v>
      </c>
      <c r="B150" s="1773" t="s">
        <v>2101</v>
      </c>
      <c r="C150" s="1783"/>
      <c r="D150" s="1783"/>
      <c r="E150" s="1783"/>
      <c r="F150" s="1775">
        <v>0.05</v>
      </c>
    </row>
    <row r="151" spans="1:6" ht="24.75" thickBot="1">
      <c r="A151" s="1769" t="s">
        <v>1398</v>
      </c>
      <c r="B151" s="1773" t="s">
        <v>2102</v>
      </c>
      <c r="C151" s="1783"/>
      <c r="D151" s="1783"/>
      <c r="E151" s="1783"/>
      <c r="F151" s="1775">
        <v>0.05</v>
      </c>
    </row>
    <row r="152" spans="1:6" ht="24.75" thickBot="1">
      <c r="A152" s="1769" t="s">
        <v>1398</v>
      </c>
      <c r="B152" s="1773" t="s">
        <v>1380</v>
      </c>
      <c r="C152" s="1783"/>
      <c r="D152" s="1783"/>
      <c r="E152" s="1783"/>
      <c r="F152" s="1775">
        <v>0.05</v>
      </c>
    </row>
    <row r="153" spans="1:6" ht="14.25" thickBot="1">
      <c r="A153" s="1769" t="s">
        <v>1398</v>
      </c>
      <c r="B153" s="1773" t="s">
        <v>2103</v>
      </c>
      <c r="C153" s="1783"/>
      <c r="D153" s="1783"/>
      <c r="E153" s="1783"/>
      <c r="F153" s="1775">
        <v>0.05</v>
      </c>
    </row>
    <row r="154" spans="1:6" ht="14.25" thickBot="1">
      <c r="A154" s="1769" t="s">
        <v>1398</v>
      </c>
      <c r="B154" s="1773" t="s">
        <v>2104</v>
      </c>
      <c r="C154" s="1783"/>
      <c r="D154" s="1783"/>
      <c r="E154" s="1783"/>
      <c r="F154" s="1775">
        <v>0.05</v>
      </c>
    </row>
    <row r="155" spans="1:6" ht="24.75" thickBot="1">
      <c r="A155" s="1769" t="s">
        <v>1398</v>
      </c>
      <c r="B155" s="1773" t="s">
        <v>2105</v>
      </c>
      <c r="C155" s="1783"/>
      <c r="D155" s="1783"/>
      <c r="E155" s="1783"/>
      <c r="F155" s="1775">
        <v>0.05</v>
      </c>
    </row>
    <row r="156" spans="1:6" ht="24.75" thickBot="1">
      <c r="A156" s="1769" t="s">
        <v>1398</v>
      </c>
      <c r="B156" s="1773" t="s">
        <v>2106</v>
      </c>
      <c r="C156" s="1783"/>
      <c r="D156" s="1783"/>
      <c r="E156" s="1783"/>
      <c r="F156" s="1775">
        <v>0.05</v>
      </c>
    </row>
    <row r="157" spans="1:6" ht="14.25" thickBot="1">
      <c r="A157" s="1777" t="s">
        <v>1398</v>
      </c>
      <c r="B157" s="1784" t="s">
        <v>2107</v>
      </c>
      <c r="C157" s="1780"/>
      <c r="D157" s="1780"/>
      <c r="E157" s="1780"/>
      <c r="F157" s="1785">
        <v>0.05</v>
      </c>
    </row>
    <row r="158" spans="1:6" ht="14.25" thickBot="1">
      <c r="A158" s="1769" t="s">
        <v>1400</v>
      </c>
      <c r="B158" s="1770" t="s">
        <v>2108</v>
      </c>
      <c r="C158" s="1771">
        <v>0.13</v>
      </c>
      <c r="D158" s="1771">
        <v>0.13</v>
      </c>
      <c r="E158" s="1771">
        <v>0.13</v>
      </c>
      <c r="F158" s="1772">
        <v>0.13</v>
      </c>
    </row>
    <row r="159" spans="1:6" ht="14.25" thickBot="1">
      <c r="A159" s="1769" t="s">
        <v>1400</v>
      </c>
      <c r="B159" s="1773" t="s">
        <v>1065</v>
      </c>
      <c r="C159" s="1774">
        <v>0.13</v>
      </c>
      <c r="D159" s="1774">
        <v>0.13</v>
      </c>
      <c r="E159" s="1774">
        <v>0.13</v>
      </c>
      <c r="F159" s="1775">
        <v>0.13</v>
      </c>
    </row>
    <row r="160" spans="1:6" ht="14.25" thickBot="1">
      <c r="A160" s="1769" t="s">
        <v>1400</v>
      </c>
      <c r="B160" s="1773" t="s">
        <v>1079</v>
      </c>
      <c r="C160" s="1774">
        <v>0.13</v>
      </c>
      <c r="D160" s="1774">
        <v>0.13</v>
      </c>
      <c r="E160" s="1774">
        <v>0.129</v>
      </c>
      <c r="F160" s="1775">
        <v>0.13</v>
      </c>
    </row>
    <row r="161" spans="1:6" ht="14.25" thickBot="1">
      <c r="A161" s="1769" t="s">
        <v>1400</v>
      </c>
      <c r="B161" s="1773" t="s">
        <v>1092</v>
      </c>
      <c r="C161" s="1774">
        <v>0.128</v>
      </c>
      <c r="D161" s="1774">
        <v>0.128</v>
      </c>
      <c r="E161" s="1774">
        <v>0.125</v>
      </c>
      <c r="F161" s="1775">
        <v>0.13</v>
      </c>
    </row>
    <row r="162" spans="1:6" ht="14.25" thickBot="1">
      <c r="A162" s="1769" t="s">
        <v>1400</v>
      </c>
      <c r="B162" s="1773" t="s">
        <v>1106</v>
      </c>
      <c r="C162" s="1774">
        <v>0.122</v>
      </c>
      <c r="D162" s="1774">
        <v>0.122</v>
      </c>
      <c r="E162" s="1774">
        <v>0.126</v>
      </c>
      <c r="F162" s="1775">
        <v>0.122</v>
      </c>
    </row>
    <row r="163" spans="1:6" ht="14.25" thickBot="1">
      <c r="A163" s="1769" t="s">
        <v>1400</v>
      </c>
      <c r="B163" s="1773" t="s">
        <v>1117</v>
      </c>
      <c r="C163" s="1774">
        <v>0.13</v>
      </c>
      <c r="D163" s="1774">
        <v>0.13</v>
      </c>
      <c r="E163" s="1774">
        <v>0.125</v>
      </c>
      <c r="F163" s="1775">
        <v>0.13</v>
      </c>
    </row>
    <row r="164" spans="1:6" ht="14.25" thickBot="1">
      <c r="A164" s="1769" t="s">
        <v>1400</v>
      </c>
      <c r="B164" s="1773" t="s">
        <v>1128</v>
      </c>
      <c r="C164" s="1774">
        <v>0.13</v>
      </c>
      <c r="D164" s="1774">
        <v>0.13</v>
      </c>
      <c r="E164" s="1774">
        <v>0.13</v>
      </c>
      <c r="F164" s="1775">
        <v>0.13</v>
      </c>
    </row>
    <row r="165" spans="1:6" ht="14.25" thickBot="1">
      <c r="A165" s="1769" t="s">
        <v>1400</v>
      </c>
      <c r="B165" s="1773" t="s">
        <v>1139</v>
      </c>
      <c r="C165" s="1774">
        <v>0.13</v>
      </c>
      <c r="D165" s="1774">
        <v>0.13</v>
      </c>
      <c r="E165" s="1774">
        <v>0.124</v>
      </c>
      <c r="F165" s="1775">
        <v>0.13</v>
      </c>
    </row>
    <row r="166" spans="1:6" ht="14.25" thickBot="1">
      <c r="A166" s="1769" t="s">
        <v>1400</v>
      </c>
      <c r="B166" s="1773" t="s">
        <v>1151</v>
      </c>
      <c r="C166" s="1774">
        <v>0.13</v>
      </c>
      <c r="D166" s="1774">
        <v>0.13</v>
      </c>
      <c r="E166" s="1774">
        <v>0.13</v>
      </c>
      <c r="F166" s="1775">
        <v>0.13</v>
      </c>
    </row>
    <row r="167" spans="1:6" ht="14.25" thickBot="1">
      <c r="A167" s="1769" t="s">
        <v>1400</v>
      </c>
      <c r="B167" s="1773" t="s">
        <v>1161</v>
      </c>
      <c r="C167" s="1774">
        <v>0.125</v>
      </c>
      <c r="D167" s="1774">
        <v>0.125</v>
      </c>
      <c r="E167" s="1774">
        <v>0.121</v>
      </c>
      <c r="F167" s="1782"/>
    </row>
    <row r="168" spans="1:6" ht="14.25" thickBot="1">
      <c r="A168" s="1769" t="s">
        <v>1400</v>
      </c>
      <c r="B168" s="1773" t="s">
        <v>1171</v>
      </c>
      <c r="C168" s="1774">
        <v>0.13</v>
      </c>
      <c r="D168" s="1774">
        <v>0.13</v>
      </c>
      <c r="E168" s="1774">
        <v>0.126</v>
      </c>
      <c r="F168" s="1782"/>
    </row>
    <row r="169" spans="1:6" ht="14.25" thickBot="1">
      <c r="A169" s="1769" t="s">
        <v>1400</v>
      </c>
      <c r="B169" s="1773" t="s">
        <v>1181</v>
      </c>
      <c r="C169" s="1774">
        <v>0.128</v>
      </c>
      <c r="D169" s="1774">
        <v>0.129</v>
      </c>
      <c r="E169" s="1774">
        <v>0.13</v>
      </c>
      <c r="F169" s="1782"/>
    </row>
    <row r="170" spans="1:6" ht="14.25" thickBot="1">
      <c r="A170" s="1769" t="s">
        <v>1400</v>
      </c>
      <c r="B170" s="1773" t="s">
        <v>1191</v>
      </c>
      <c r="C170" s="1774">
        <v>0.14099999999999999</v>
      </c>
      <c r="D170" s="1774">
        <v>0.13</v>
      </c>
      <c r="E170" s="1774">
        <v>0.125</v>
      </c>
      <c r="F170" s="1782"/>
    </row>
    <row r="171" spans="1:6" ht="14.25" thickBot="1">
      <c r="A171" s="1769" t="s">
        <v>1400</v>
      </c>
      <c r="B171" s="1773" t="s">
        <v>2109</v>
      </c>
      <c r="C171" s="1774">
        <v>0.127</v>
      </c>
      <c r="D171" s="1774">
        <v>0.126</v>
      </c>
      <c r="E171" s="1774">
        <v>0.126</v>
      </c>
      <c r="F171" s="1775">
        <v>0.11799999999999999</v>
      </c>
    </row>
    <row r="172" spans="1:6" ht="14.25" thickBot="1">
      <c r="A172" s="1769" t="s">
        <v>1400</v>
      </c>
      <c r="B172" s="1773" t="s">
        <v>2110</v>
      </c>
      <c r="C172" s="1774">
        <v>0.13</v>
      </c>
      <c r="D172" s="1774">
        <v>0.13</v>
      </c>
      <c r="E172" s="1774">
        <v>0.13</v>
      </c>
      <c r="F172" s="1782"/>
    </row>
    <row r="173" spans="1:6" ht="14.25" thickBot="1">
      <c r="A173" s="1769" t="s">
        <v>1400</v>
      </c>
      <c r="B173" s="1773" t="s">
        <v>1221</v>
      </c>
      <c r="C173" s="1774">
        <v>0.13</v>
      </c>
      <c r="D173" s="1774">
        <v>0.13</v>
      </c>
      <c r="E173" s="1774">
        <v>0.13</v>
      </c>
      <c r="F173" s="1782"/>
    </row>
    <row r="174" spans="1:6" ht="14.25" thickBot="1">
      <c r="A174" s="1769" t="s">
        <v>1400</v>
      </c>
      <c r="B174" s="1773" t="s">
        <v>2111</v>
      </c>
      <c r="C174" s="1774">
        <v>0.13</v>
      </c>
      <c r="D174" s="1774">
        <v>0.13</v>
      </c>
      <c r="E174" s="1774">
        <v>0.13</v>
      </c>
      <c r="F174" s="1775">
        <v>0.13</v>
      </c>
    </row>
    <row r="175" spans="1:6" ht="14.25" thickBot="1">
      <c r="A175" s="1769" t="s">
        <v>1400</v>
      </c>
      <c r="B175" s="1773" t="s">
        <v>2112</v>
      </c>
      <c r="C175" s="1774">
        <v>0.13</v>
      </c>
      <c r="D175" s="1774">
        <v>0.13</v>
      </c>
      <c r="E175" s="1774">
        <v>0.13</v>
      </c>
      <c r="F175" s="1775">
        <v>0.13</v>
      </c>
    </row>
    <row r="176" spans="1:6" ht="14.25" thickBot="1">
      <c r="A176" s="1769" t="s">
        <v>1400</v>
      </c>
      <c r="B176" s="1773" t="s">
        <v>1251</v>
      </c>
      <c r="C176" s="1774">
        <v>0.13</v>
      </c>
      <c r="D176" s="1774">
        <v>0.13</v>
      </c>
      <c r="E176" s="1774">
        <v>0.13</v>
      </c>
      <c r="F176" s="1775">
        <v>0.13</v>
      </c>
    </row>
    <row r="177" spans="1:6" ht="14.25" thickBot="1">
      <c r="A177" s="1769" t="s">
        <v>1400</v>
      </c>
      <c r="B177" s="1773" t="s">
        <v>2113</v>
      </c>
      <c r="C177" s="1774">
        <v>0.13</v>
      </c>
      <c r="D177" s="1774">
        <v>0.13</v>
      </c>
      <c r="E177" s="1774">
        <v>0.13</v>
      </c>
      <c r="F177" s="1775">
        <v>0.13</v>
      </c>
    </row>
    <row r="178" spans="1:6" ht="14.25" thickBot="1">
      <c r="A178" s="1769" t="s">
        <v>1400</v>
      </c>
      <c r="B178" s="1773" t="s">
        <v>1269</v>
      </c>
      <c r="C178" s="1774">
        <v>0.13</v>
      </c>
      <c r="D178" s="1774">
        <v>0.13</v>
      </c>
      <c r="E178" s="1774">
        <v>0.13</v>
      </c>
      <c r="F178" s="1775">
        <v>0.127</v>
      </c>
    </row>
    <row r="179" spans="1:6" ht="14.25" thickBot="1">
      <c r="A179" s="1769" t="s">
        <v>1400</v>
      </c>
      <c r="B179" s="1773" t="s">
        <v>1277</v>
      </c>
      <c r="C179" s="1774">
        <v>0.13</v>
      </c>
      <c r="D179" s="1774">
        <v>0.13</v>
      </c>
      <c r="E179" s="1774">
        <v>0.13</v>
      </c>
      <c r="F179" s="1782"/>
    </row>
    <row r="180" spans="1:6" ht="14.25" thickBot="1">
      <c r="A180" s="1769" t="s">
        <v>1400</v>
      </c>
      <c r="B180" s="1773" t="s">
        <v>2114</v>
      </c>
      <c r="C180" s="1774">
        <v>0.13</v>
      </c>
      <c r="D180" s="1774">
        <v>0.13</v>
      </c>
      <c r="E180" s="1774">
        <v>0.125</v>
      </c>
      <c r="F180" s="1775">
        <v>0.13</v>
      </c>
    </row>
    <row r="181" spans="1:6" ht="14.25" thickBot="1">
      <c r="A181" s="1769" t="s">
        <v>1400</v>
      </c>
      <c r="B181" s="1773" t="s">
        <v>1291</v>
      </c>
      <c r="C181" s="1774">
        <v>0.122</v>
      </c>
      <c r="D181" s="1774">
        <v>0.123</v>
      </c>
      <c r="E181" s="1774">
        <v>0.126</v>
      </c>
      <c r="F181" s="1775">
        <v>0.121</v>
      </c>
    </row>
    <row r="182" spans="1:6" ht="14.25" thickBot="1">
      <c r="A182" s="1769" t="s">
        <v>1400</v>
      </c>
      <c r="B182" s="1773" t="s">
        <v>1298</v>
      </c>
      <c r="C182" s="1774">
        <v>0.125</v>
      </c>
      <c r="D182" s="1774">
        <v>0.125</v>
      </c>
      <c r="E182" s="1774">
        <v>0.11700000000000001</v>
      </c>
      <c r="F182" s="1775">
        <v>0.13</v>
      </c>
    </row>
    <row r="183" spans="1:6" ht="14.25" thickBot="1">
      <c r="A183" s="1769" t="s">
        <v>1400</v>
      </c>
      <c r="B183" s="1773" t="s">
        <v>1305</v>
      </c>
      <c r="C183" s="1774">
        <v>0.127</v>
      </c>
      <c r="D183" s="1774">
        <v>0.127</v>
      </c>
      <c r="E183" s="1774">
        <v>0.128</v>
      </c>
      <c r="F183" s="1782"/>
    </row>
    <row r="184" spans="1:6" ht="14.25" thickBot="1">
      <c r="A184" s="1769" t="s">
        <v>1400</v>
      </c>
      <c r="B184" s="1773" t="s">
        <v>1312</v>
      </c>
      <c r="C184" s="1774">
        <v>0.125</v>
      </c>
      <c r="D184" s="1774">
        <v>0.125</v>
      </c>
      <c r="E184" s="1774">
        <v>0.127</v>
      </c>
      <c r="F184" s="1782"/>
    </row>
    <row r="185" spans="1:6" ht="14.25" thickBot="1">
      <c r="A185" s="1769" t="s">
        <v>1400</v>
      </c>
      <c r="B185" s="1773" t="s">
        <v>2115</v>
      </c>
      <c r="C185" s="1774">
        <v>0.127</v>
      </c>
      <c r="D185" s="1774">
        <v>0.127</v>
      </c>
      <c r="E185" s="1774">
        <v>0.128</v>
      </c>
      <c r="F185" s="1775">
        <v>0.13</v>
      </c>
    </row>
    <row r="186" spans="1:6" ht="24.75" thickBot="1">
      <c r="A186" s="1769" t="s">
        <v>1400</v>
      </c>
      <c r="B186" s="1773" t="s">
        <v>2116</v>
      </c>
      <c r="C186" s="1783"/>
      <c r="D186" s="1783"/>
      <c r="E186" s="1783"/>
      <c r="F186" s="1775">
        <v>0.05</v>
      </c>
    </row>
    <row r="187" spans="1:6" ht="14.25" thickBot="1">
      <c r="A187" s="1769" t="s">
        <v>1400</v>
      </c>
      <c r="B187" s="1773" t="s">
        <v>2117</v>
      </c>
      <c r="C187" s="1783"/>
      <c r="D187" s="1783"/>
      <c r="E187" s="1783"/>
      <c r="F187" s="1775">
        <v>0.05</v>
      </c>
    </row>
    <row r="188" spans="1:6" ht="14.25" thickBot="1">
      <c r="A188" s="1769" t="s">
        <v>1400</v>
      </c>
      <c r="B188" s="1773" t="s">
        <v>2118</v>
      </c>
      <c r="C188" s="1783"/>
      <c r="D188" s="1783"/>
      <c r="E188" s="1783"/>
      <c r="F188" s="1775">
        <v>0.05</v>
      </c>
    </row>
    <row r="189" spans="1:6" ht="24.75" thickBot="1">
      <c r="A189" s="1769" t="s">
        <v>1400</v>
      </c>
      <c r="B189" s="1773" t="s">
        <v>2119</v>
      </c>
      <c r="C189" s="1783"/>
      <c r="D189" s="1783"/>
      <c r="E189" s="1783"/>
      <c r="F189" s="1775">
        <v>0.05</v>
      </c>
    </row>
    <row r="190" spans="1:6" ht="24.75" thickBot="1">
      <c r="A190" s="1769" t="s">
        <v>1400</v>
      </c>
      <c r="B190" s="1773" t="s">
        <v>2120</v>
      </c>
      <c r="C190" s="1783"/>
      <c r="D190" s="1783"/>
      <c r="E190" s="1783"/>
      <c r="F190" s="1775">
        <v>0.05</v>
      </c>
    </row>
    <row r="191" spans="1:6" ht="24.75" thickBot="1">
      <c r="A191" s="1769" t="s">
        <v>1400</v>
      </c>
      <c r="B191" s="1773" t="s">
        <v>2121</v>
      </c>
      <c r="C191" s="1783"/>
      <c r="D191" s="1783"/>
      <c r="E191" s="1783"/>
      <c r="F191" s="1775">
        <v>0.05</v>
      </c>
    </row>
    <row r="192" spans="1:6" ht="24.75" thickBot="1">
      <c r="A192" s="1769" t="s">
        <v>1400</v>
      </c>
      <c r="B192" s="1773" t="s">
        <v>2122</v>
      </c>
      <c r="C192" s="1783"/>
      <c r="D192" s="1783"/>
      <c r="E192" s="1783"/>
      <c r="F192" s="1775">
        <v>0.05</v>
      </c>
    </row>
    <row r="193" spans="1:6" ht="24.75" thickBot="1">
      <c r="A193" s="1769" t="s">
        <v>1400</v>
      </c>
      <c r="B193" s="1773" t="s">
        <v>2123</v>
      </c>
      <c r="C193" s="1783"/>
      <c r="D193" s="1783"/>
      <c r="E193" s="1783"/>
      <c r="F193" s="1775">
        <v>0.05</v>
      </c>
    </row>
    <row r="194" spans="1:6" ht="24.75" thickBot="1">
      <c r="A194" s="1769" t="s">
        <v>1400</v>
      </c>
      <c r="B194" s="1773" t="s">
        <v>2124</v>
      </c>
      <c r="C194" s="1783"/>
      <c r="D194" s="1783"/>
      <c r="E194" s="1783"/>
      <c r="F194" s="1775">
        <v>0.05</v>
      </c>
    </row>
    <row r="195" spans="1:6" ht="14.25" thickBot="1">
      <c r="A195" s="1769" t="s">
        <v>1400</v>
      </c>
      <c r="B195" s="1773" t="s">
        <v>2125</v>
      </c>
      <c r="C195" s="1783"/>
      <c r="D195" s="1783"/>
      <c r="E195" s="1783"/>
      <c r="F195" s="1775">
        <v>0.05</v>
      </c>
    </row>
    <row r="196" spans="1:6" ht="24.75" thickBot="1">
      <c r="A196" s="1769" t="s">
        <v>1400</v>
      </c>
      <c r="B196" s="1773" t="s">
        <v>2126</v>
      </c>
      <c r="C196" s="1783"/>
      <c r="D196" s="1783"/>
      <c r="E196" s="1783"/>
      <c r="F196" s="1775">
        <v>0.05</v>
      </c>
    </row>
    <row r="197" spans="1:6" ht="24.75" thickBot="1">
      <c r="A197" s="1769" t="s">
        <v>1400</v>
      </c>
      <c r="B197" s="1773" t="s">
        <v>2127</v>
      </c>
      <c r="C197" s="1783"/>
      <c r="D197" s="1783"/>
      <c r="E197" s="1783"/>
      <c r="F197" s="1775">
        <v>0.05</v>
      </c>
    </row>
    <row r="198" spans="1:6" ht="24.75" thickBot="1">
      <c r="A198" s="1769" t="s">
        <v>1400</v>
      </c>
      <c r="B198" s="1773" t="s">
        <v>2128</v>
      </c>
      <c r="C198" s="1783"/>
      <c r="D198" s="1783"/>
      <c r="E198" s="1783"/>
      <c r="F198" s="1775">
        <v>0.05</v>
      </c>
    </row>
    <row r="199" spans="1:6" ht="24.75" thickBot="1">
      <c r="A199" s="1769" t="s">
        <v>1400</v>
      </c>
      <c r="B199" s="1773" t="s">
        <v>2129</v>
      </c>
      <c r="C199" s="1783"/>
      <c r="D199" s="1783"/>
      <c r="E199" s="1783"/>
      <c r="F199" s="1775">
        <v>0.05</v>
      </c>
    </row>
    <row r="200" spans="1:6" ht="24.75" thickBot="1">
      <c r="A200" s="1769" t="s">
        <v>1400</v>
      </c>
      <c r="B200" s="1773" t="s">
        <v>2130</v>
      </c>
      <c r="C200" s="1783"/>
      <c r="D200" s="1783"/>
      <c r="E200" s="1783"/>
      <c r="F200" s="1775">
        <v>0.05</v>
      </c>
    </row>
    <row r="201" spans="1:6" ht="24.75" thickBot="1">
      <c r="A201" s="1769" t="s">
        <v>1400</v>
      </c>
      <c r="B201" s="1773" t="s">
        <v>2131</v>
      </c>
      <c r="C201" s="1783"/>
      <c r="D201" s="1783"/>
      <c r="E201" s="1783"/>
      <c r="F201" s="1775">
        <v>0.05</v>
      </c>
    </row>
    <row r="202" spans="1:6" ht="24.75" thickBot="1">
      <c r="A202" s="1769" t="s">
        <v>1400</v>
      </c>
      <c r="B202" s="1773" t="s">
        <v>2132</v>
      </c>
      <c r="C202" s="1783"/>
      <c r="D202" s="1783"/>
      <c r="E202" s="1783"/>
      <c r="F202" s="1775">
        <v>0.05</v>
      </c>
    </row>
    <row r="203" spans="1:6" ht="24.75" thickBot="1">
      <c r="A203" s="1769" t="s">
        <v>1400</v>
      </c>
      <c r="B203" s="1773" t="s">
        <v>2133</v>
      </c>
      <c r="C203" s="1783"/>
      <c r="D203" s="1783"/>
      <c r="E203" s="1783"/>
      <c r="F203" s="1775">
        <v>0.05</v>
      </c>
    </row>
    <row r="204" spans="1:6" ht="14.25" thickBot="1">
      <c r="A204" s="1769" t="s">
        <v>1400</v>
      </c>
      <c r="B204" s="1773" t="s">
        <v>2134</v>
      </c>
      <c r="C204" s="1783"/>
      <c r="D204" s="1783"/>
      <c r="E204" s="1783"/>
      <c r="F204" s="1775">
        <v>0.05</v>
      </c>
    </row>
    <row r="205" spans="1:6" ht="14.25" thickBot="1">
      <c r="A205" s="1777" t="s">
        <v>1400</v>
      </c>
      <c r="B205" s="1784" t="s">
        <v>2135</v>
      </c>
      <c r="C205" s="1780"/>
      <c r="D205" s="1780"/>
      <c r="E205" s="1780"/>
      <c r="F205" s="1785">
        <v>0.05</v>
      </c>
    </row>
    <row r="206" spans="1:6" ht="14.25" thickBot="1">
      <c r="A206" s="1769" t="s">
        <v>1402</v>
      </c>
      <c r="B206" s="1770" t="s">
        <v>2136</v>
      </c>
      <c r="C206" s="1771">
        <v>0.15</v>
      </c>
      <c r="D206" s="1771">
        <v>0.15</v>
      </c>
      <c r="E206" s="1771">
        <v>0.15</v>
      </c>
      <c r="F206" s="1772">
        <v>0.15</v>
      </c>
    </row>
    <row r="207" spans="1:6" ht="14.25" thickBot="1">
      <c r="A207" s="1769" t="s">
        <v>1402</v>
      </c>
      <c r="B207" s="1773" t="s">
        <v>1066</v>
      </c>
      <c r="C207" s="1774">
        <v>0.15</v>
      </c>
      <c r="D207" s="1774">
        <v>0.15</v>
      </c>
      <c r="E207" s="1774">
        <v>0.15</v>
      </c>
      <c r="F207" s="1775">
        <v>0.14399999999999999</v>
      </c>
    </row>
    <row r="208" spans="1:6" ht="14.25" thickBot="1">
      <c r="A208" s="1769" t="s">
        <v>1402</v>
      </c>
      <c r="B208" s="1773" t="s">
        <v>1080</v>
      </c>
      <c r="C208" s="1774">
        <v>0.15</v>
      </c>
      <c r="D208" s="1774">
        <v>0.15</v>
      </c>
      <c r="E208" s="1774">
        <v>0.15</v>
      </c>
      <c r="F208" s="1775">
        <v>0.15</v>
      </c>
    </row>
    <row r="209" spans="1:6" ht="14.25" thickBot="1">
      <c r="A209" s="1769" t="s">
        <v>1402</v>
      </c>
      <c r="B209" s="1773" t="s">
        <v>1093</v>
      </c>
      <c r="C209" s="1774">
        <v>0.13700000000000001</v>
      </c>
      <c r="D209" s="1774">
        <v>0.13700000000000001</v>
      </c>
      <c r="E209" s="1774">
        <v>0.14000000000000001</v>
      </c>
      <c r="F209" s="1775">
        <v>0.11700000000000001</v>
      </c>
    </row>
    <row r="210" spans="1:6" ht="14.25" thickBot="1">
      <c r="A210" s="1769" t="s">
        <v>1402</v>
      </c>
      <c r="B210" s="1773" t="s">
        <v>2137</v>
      </c>
      <c r="C210" s="1774">
        <v>0.15</v>
      </c>
      <c r="D210" s="1774">
        <v>0.15</v>
      </c>
      <c r="E210" s="1774">
        <v>0.15</v>
      </c>
      <c r="F210" s="1775">
        <v>0.13800000000000001</v>
      </c>
    </row>
    <row r="211" spans="1:6" ht="14.25" thickBot="1">
      <c r="A211" s="1769" t="s">
        <v>1402</v>
      </c>
      <c r="B211" s="1773" t="s">
        <v>2138</v>
      </c>
      <c r="C211" s="1774">
        <v>0.13700000000000001</v>
      </c>
      <c r="D211" s="1774">
        <v>0.13500000000000001</v>
      </c>
      <c r="E211" s="1774">
        <v>0.13600000000000001</v>
      </c>
      <c r="F211" s="1775">
        <v>0.1</v>
      </c>
    </row>
    <row r="212" spans="1:6" ht="14.25" thickBot="1">
      <c r="A212" s="1769" t="s">
        <v>1402</v>
      </c>
      <c r="B212" s="1773" t="s">
        <v>2139</v>
      </c>
      <c r="C212" s="1774">
        <v>0.15</v>
      </c>
      <c r="D212" s="1774">
        <v>0.15</v>
      </c>
      <c r="E212" s="1774">
        <v>0.14799999999999999</v>
      </c>
      <c r="F212" s="1775">
        <v>0.13600000000000001</v>
      </c>
    </row>
    <row r="213" spans="1:6" ht="14.25" thickBot="1">
      <c r="A213" s="1769" t="s">
        <v>1402</v>
      </c>
      <c r="B213" s="1773" t="s">
        <v>1140</v>
      </c>
      <c r="C213" s="1774">
        <v>0.15</v>
      </c>
      <c r="D213" s="1774">
        <v>0.15</v>
      </c>
      <c r="E213" s="1774">
        <v>0.15</v>
      </c>
      <c r="F213" s="1775">
        <v>0.13800000000000001</v>
      </c>
    </row>
    <row r="214" spans="1:6" ht="14.25" thickBot="1">
      <c r="A214" s="1769" t="s">
        <v>1402</v>
      </c>
      <c r="B214" s="1773" t="s">
        <v>1152</v>
      </c>
      <c r="C214" s="1774">
        <v>9.0999999999999998E-2</v>
      </c>
      <c r="D214" s="1774">
        <v>0.09</v>
      </c>
      <c r="E214" s="1774">
        <v>9.1999999999999998E-2</v>
      </c>
      <c r="F214" s="1782"/>
    </row>
    <row r="215" spans="1:6" ht="14.25" thickBot="1">
      <c r="A215" s="1769" t="s">
        <v>1402</v>
      </c>
      <c r="B215" s="1773" t="s">
        <v>2140</v>
      </c>
      <c r="C215" s="1774">
        <v>0.15</v>
      </c>
      <c r="D215" s="1774">
        <v>0.15</v>
      </c>
      <c r="E215" s="1774">
        <v>0.15</v>
      </c>
      <c r="F215" s="1775">
        <v>0.15</v>
      </c>
    </row>
    <row r="216" spans="1:6" ht="14.25" thickBot="1">
      <c r="A216" s="1769" t="s">
        <v>1402</v>
      </c>
      <c r="B216" s="1773" t="s">
        <v>1172</v>
      </c>
      <c r="C216" s="1774">
        <v>0.14699999999999999</v>
      </c>
      <c r="D216" s="1774">
        <v>0.14699999999999999</v>
      </c>
      <c r="E216" s="1774">
        <v>0.15</v>
      </c>
      <c r="F216" s="1775">
        <v>0.14000000000000001</v>
      </c>
    </row>
    <row r="217" spans="1:6" ht="14.25" thickBot="1">
      <c r="A217" s="1769" t="s">
        <v>1402</v>
      </c>
      <c r="B217" s="1773" t="s">
        <v>1182</v>
      </c>
      <c r="C217" s="1774">
        <v>0.15</v>
      </c>
      <c r="D217" s="1774">
        <v>0.15</v>
      </c>
      <c r="E217" s="1774">
        <v>0.15</v>
      </c>
      <c r="F217" s="1775">
        <v>0.15</v>
      </c>
    </row>
    <row r="218" spans="1:6" ht="14.25" thickBot="1">
      <c r="A218" s="1769" t="s">
        <v>1402</v>
      </c>
      <c r="B218" s="1773" t="s">
        <v>2141</v>
      </c>
      <c r="C218" s="1774">
        <v>0.15</v>
      </c>
      <c r="D218" s="1774">
        <v>0.15</v>
      </c>
      <c r="E218" s="1774">
        <v>0.15</v>
      </c>
      <c r="F218" s="1775">
        <v>0.15</v>
      </c>
    </row>
    <row r="219" spans="1:6" ht="14.25" thickBot="1">
      <c r="A219" s="1769" t="s">
        <v>1402</v>
      </c>
      <c r="B219" s="1773" t="s">
        <v>1202</v>
      </c>
      <c r="C219" s="1774">
        <v>0.15</v>
      </c>
      <c r="D219" s="1774">
        <v>0.15</v>
      </c>
      <c r="E219" s="1774">
        <v>0.15</v>
      </c>
      <c r="F219" s="1775">
        <v>0.14799999999999999</v>
      </c>
    </row>
    <row r="220" spans="1:6" ht="14.25" thickBot="1">
      <c r="A220" s="1769" t="s">
        <v>1402</v>
      </c>
      <c r="B220" s="1773" t="s">
        <v>2142</v>
      </c>
      <c r="C220" s="1774">
        <v>0.15</v>
      </c>
      <c r="D220" s="1774">
        <v>0.15</v>
      </c>
      <c r="E220" s="1774">
        <v>0.15</v>
      </c>
      <c r="F220" s="1775">
        <v>0.15</v>
      </c>
    </row>
    <row r="221" spans="1:6" ht="14.25" thickBot="1">
      <c r="A221" s="1769" t="s">
        <v>1402</v>
      </c>
      <c r="B221" s="1773" t="s">
        <v>1222</v>
      </c>
      <c r="C221" s="1774"/>
      <c r="D221" s="1783"/>
      <c r="E221" s="1783"/>
      <c r="F221" s="1775">
        <v>0.14799999999999999</v>
      </c>
    </row>
    <row r="222" spans="1:6" ht="14.25" thickBot="1">
      <c r="A222" s="1769" t="s">
        <v>1402</v>
      </c>
      <c r="B222" s="1773" t="s">
        <v>1232</v>
      </c>
      <c r="C222" s="1774"/>
      <c r="D222" s="1783"/>
      <c r="E222" s="1783"/>
      <c r="F222" s="1775">
        <v>0.1</v>
      </c>
    </row>
    <row r="223" spans="1:6" ht="14.25" thickBot="1">
      <c r="A223" s="1769" t="s">
        <v>1402</v>
      </c>
      <c r="B223" s="1773" t="s">
        <v>1242</v>
      </c>
      <c r="C223" s="1774"/>
      <c r="D223" s="1783"/>
      <c r="E223" s="1783"/>
      <c r="F223" s="1775">
        <v>0.15</v>
      </c>
    </row>
    <row r="224" spans="1:6" ht="14.25" thickBot="1">
      <c r="A224" s="1769" t="s">
        <v>1402</v>
      </c>
      <c r="B224" s="1773" t="s">
        <v>1252</v>
      </c>
      <c r="C224" s="1774"/>
      <c r="D224" s="1783"/>
      <c r="E224" s="1783"/>
      <c r="F224" s="1775">
        <v>0.15</v>
      </c>
    </row>
    <row r="225" spans="1:6" ht="14.25" thickBot="1">
      <c r="A225" s="1769" t="s">
        <v>1402</v>
      </c>
      <c r="B225" s="1773" t="s">
        <v>2143</v>
      </c>
      <c r="C225" s="1774">
        <v>0.15</v>
      </c>
      <c r="D225" s="1774">
        <v>0.15</v>
      </c>
      <c r="E225" s="1774">
        <v>0.15</v>
      </c>
      <c r="F225" s="1775">
        <v>0.15</v>
      </c>
    </row>
    <row r="226" spans="1:6" ht="14.25" thickBot="1">
      <c r="A226" s="1769" t="s">
        <v>1402</v>
      </c>
      <c r="B226" s="1773" t="s">
        <v>1270</v>
      </c>
      <c r="C226" s="1774">
        <v>0.15</v>
      </c>
      <c r="D226" s="1774">
        <v>0.15</v>
      </c>
      <c r="E226" s="1774">
        <v>0.15</v>
      </c>
      <c r="F226" s="1775">
        <v>0.14799999999999999</v>
      </c>
    </row>
    <row r="227" spans="1:6" ht="14.25" thickBot="1">
      <c r="A227" s="1769" t="s">
        <v>1402</v>
      </c>
      <c r="B227" s="1773" t="s">
        <v>2144</v>
      </c>
      <c r="C227" s="1774">
        <v>0.15</v>
      </c>
      <c r="D227" s="1774">
        <v>0.15</v>
      </c>
      <c r="E227" s="1774">
        <v>0.15</v>
      </c>
      <c r="F227" s="1775">
        <v>0.15</v>
      </c>
    </row>
    <row r="228" spans="1:6" ht="14.25" thickBot="1">
      <c r="A228" s="1769" t="s">
        <v>1402</v>
      </c>
      <c r="B228" s="1773" t="s">
        <v>1285</v>
      </c>
      <c r="C228" s="1774">
        <v>0.15</v>
      </c>
      <c r="D228" s="1774">
        <v>0.15</v>
      </c>
      <c r="E228" s="1774">
        <v>0.15</v>
      </c>
      <c r="F228" s="1775">
        <v>0.15</v>
      </c>
    </row>
    <row r="229" spans="1:6" ht="14.25" thickBot="1">
      <c r="A229" s="1769" t="s">
        <v>1402</v>
      </c>
      <c r="B229" s="1773" t="s">
        <v>1292</v>
      </c>
      <c r="C229" s="1774">
        <v>0.15</v>
      </c>
      <c r="D229" s="1774">
        <v>0.15</v>
      </c>
      <c r="E229" s="1774">
        <v>0.15</v>
      </c>
      <c r="F229" s="1782"/>
    </row>
    <row r="230" spans="1:6" ht="14.25" thickBot="1">
      <c r="A230" s="1769" t="s">
        <v>1402</v>
      </c>
      <c r="B230" s="1773" t="s">
        <v>1299</v>
      </c>
      <c r="C230" s="1774">
        <v>0.14499999999999999</v>
      </c>
      <c r="D230" s="1774">
        <v>0.14499999999999999</v>
      </c>
      <c r="E230" s="1774">
        <v>0.14399999999999999</v>
      </c>
      <c r="F230" s="1782"/>
    </row>
    <row r="231" spans="1:6" ht="14.25" thickBot="1">
      <c r="A231" s="1769" t="s">
        <v>1402</v>
      </c>
      <c r="B231" s="1773" t="s">
        <v>2145</v>
      </c>
      <c r="C231" s="1774">
        <v>0.128</v>
      </c>
      <c r="D231" s="1774">
        <v>0.125</v>
      </c>
      <c r="E231" s="1774">
        <v>0.13200000000000001</v>
      </c>
      <c r="F231" s="1782"/>
    </row>
    <row r="232" spans="1:6" ht="14.25" thickBot="1">
      <c r="A232" s="1769" t="s">
        <v>1402</v>
      </c>
      <c r="B232" s="1773" t="s">
        <v>2146</v>
      </c>
      <c r="C232" s="1774">
        <v>0.14499999999999999</v>
      </c>
      <c r="D232" s="1774">
        <v>0.14399999999999999</v>
      </c>
      <c r="E232" s="1774">
        <v>0.14599999999999999</v>
      </c>
      <c r="F232" s="1775">
        <v>0.13800000000000001</v>
      </c>
    </row>
    <row r="233" spans="1:6" ht="14.25" thickBot="1">
      <c r="A233" s="1769" t="s">
        <v>1402</v>
      </c>
      <c r="B233" s="1773" t="s">
        <v>2147</v>
      </c>
      <c r="C233" s="1774">
        <v>0.14499999999999999</v>
      </c>
      <c r="D233" s="1774">
        <v>0.14299999999999999</v>
      </c>
      <c r="E233" s="1774">
        <v>0.14199999999999999</v>
      </c>
      <c r="F233" s="1782"/>
    </row>
    <row r="234" spans="1:6" ht="14.25" thickBot="1">
      <c r="A234" s="1769" t="s">
        <v>1402</v>
      </c>
      <c r="B234" s="1773" t="s">
        <v>2148</v>
      </c>
      <c r="C234" s="1774">
        <v>0.14000000000000001</v>
      </c>
      <c r="D234" s="1774">
        <v>0.14000000000000001</v>
      </c>
      <c r="E234" s="1774">
        <v>0.14399999999999999</v>
      </c>
      <c r="F234" s="1782"/>
    </row>
    <row r="235" spans="1:6" ht="14.25" thickBot="1">
      <c r="A235" s="1769" t="s">
        <v>1402</v>
      </c>
      <c r="B235" s="1773" t="s">
        <v>2149</v>
      </c>
      <c r="C235" s="1774">
        <v>0.14099999999999999</v>
      </c>
      <c r="D235" s="1774">
        <v>0.14199999999999999</v>
      </c>
      <c r="E235" s="1774">
        <v>0.14499999999999999</v>
      </c>
      <c r="F235" s="1775">
        <v>0.15</v>
      </c>
    </row>
    <row r="236" spans="1:6" ht="14.25" thickBot="1">
      <c r="A236" s="1769" t="s">
        <v>1402</v>
      </c>
      <c r="B236" s="1773" t="s">
        <v>1334</v>
      </c>
      <c r="C236" s="1783"/>
      <c r="D236" s="1783"/>
      <c r="E236" s="1783"/>
      <c r="F236" s="1775">
        <v>0.14299999999999999</v>
      </c>
    </row>
    <row r="237" spans="1:6" ht="24.75" thickBot="1">
      <c r="A237" s="1769" t="s">
        <v>1402</v>
      </c>
      <c r="B237" s="1773" t="s">
        <v>2150</v>
      </c>
      <c r="C237" s="1783"/>
      <c r="D237" s="1783"/>
      <c r="E237" s="1783"/>
      <c r="F237" s="1775">
        <v>0.05</v>
      </c>
    </row>
    <row r="238" spans="1:6" ht="24.75" thickBot="1">
      <c r="A238" s="1769" t="s">
        <v>1402</v>
      </c>
      <c r="B238" s="1773" t="s">
        <v>2151</v>
      </c>
      <c r="C238" s="1783"/>
      <c r="D238" s="1783"/>
      <c r="E238" s="1783"/>
      <c r="F238" s="1775">
        <v>0.05</v>
      </c>
    </row>
    <row r="239" spans="1:6" ht="24.75" thickBot="1">
      <c r="A239" s="1769" t="s">
        <v>1402</v>
      </c>
      <c r="B239" s="1773" t="s">
        <v>2152</v>
      </c>
      <c r="C239" s="1783"/>
      <c r="D239" s="1783"/>
      <c r="E239" s="1783"/>
      <c r="F239" s="1775">
        <v>0.05</v>
      </c>
    </row>
    <row r="240" spans="1:6" ht="24.75" thickBot="1">
      <c r="A240" s="1769" t="s">
        <v>1402</v>
      </c>
      <c r="B240" s="1773" t="s">
        <v>2153</v>
      </c>
      <c r="C240" s="1783"/>
      <c r="D240" s="1783"/>
      <c r="E240" s="1783"/>
      <c r="F240" s="1775">
        <v>0.05</v>
      </c>
    </row>
    <row r="241" spans="1:6" ht="24.75" thickBot="1">
      <c r="A241" s="1769" t="s">
        <v>1402</v>
      </c>
      <c r="B241" s="1773" t="s">
        <v>2154</v>
      </c>
      <c r="C241" s="1783"/>
      <c r="D241" s="1783"/>
      <c r="E241" s="1783"/>
      <c r="F241" s="1775">
        <v>0.05</v>
      </c>
    </row>
    <row r="242" spans="1:6" ht="24.75" thickBot="1">
      <c r="A242" s="1769" t="s">
        <v>1402</v>
      </c>
      <c r="B242" s="1773" t="s">
        <v>2155</v>
      </c>
      <c r="C242" s="1783"/>
      <c r="D242" s="1783"/>
      <c r="E242" s="1783"/>
      <c r="F242" s="1775">
        <v>0.05</v>
      </c>
    </row>
    <row r="243" spans="1:6" ht="24.75" thickBot="1">
      <c r="A243" s="1769" t="s">
        <v>1402</v>
      </c>
      <c r="B243" s="1773" t="s">
        <v>2156</v>
      </c>
      <c r="C243" s="1783"/>
      <c r="D243" s="1783"/>
      <c r="E243" s="1783"/>
      <c r="F243" s="1775">
        <v>0.05</v>
      </c>
    </row>
    <row r="244" spans="1:6" ht="24.75" thickBot="1">
      <c r="A244" s="1777" t="s">
        <v>1402</v>
      </c>
      <c r="B244" s="1784" t="s">
        <v>2157</v>
      </c>
      <c r="C244" s="1780"/>
      <c r="D244" s="1780"/>
      <c r="E244" s="1780"/>
      <c r="F244" s="1785">
        <v>0.05</v>
      </c>
    </row>
    <row r="245" spans="1:6" ht="14.25" thickBot="1">
      <c r="A245" s="1769" t="s">
        <v>1404</v>
      </c>
      <c r="B245" s="1770" t="s">
        <v>2158</v>
      </c>
      <c r="C245" s="1771">
        <v>0.15</v>
      </c>
      <c r="D245" s="1771">
        <v>0.15</v>
      </c>
      <c r="E245" s="1771">
        <v>0.15</v>
      </c>
      <c r="F245" s="1772">
        <v>0.14299999999999999</v>
      </c>
    </row>
    <row r="246" spans="1:6" ht="14.25" thickBot="1">
      <c r="A246" s="1769" t="s">
        <v>1404</v>
      </c>
      <c r="B246" s="1773" t="s">
        <v>1067</v>
      </c>
      <c r="C246" s="1774">
        <v>0.15</v>
      </c>
      <c r="D246" s="1774">
        <v>0.15</v>
      </c>
      <c r="E246" s="1774">
        <v>0.15</v>
      </c>
      <c r="F246" s="1775">
        <v>0.114</v>
      </c>
    </row>
    <row r="247" spans="1:6" ht="14.25" thickBot="1">
      <c r="A247" s="1769" t="s">
        <v>1404</v>
      </c>
      <c r="B247" s="1773" t="s">
        <v>2159</v>
      </c>
      <c r="C247" s="1774">
        <v>0.15</v>
      </c>
      <c r="D247" s="1774">
        <v>0.15</v>
      </c>
      <c r="E247" s="1774">
        <v>0.15</v>
      </c>
      <c r="F247" s="1775">
        <v>0.15</v>
      </c>
    </row>
    <row r="248" spans="1:6" ht="14.25" thickBot="1">
      <c r="A248" s="1769" t="s">
        <v>1404</v>
      </c>
      <c r="B248" s="1773" t="s">
        <v>2160</v>
      </c>
      <c r="C248" s="1774">
        <v>0.15</v>
      </c>
      <c r="D248" s="1774">
        <v>0.15</v>
      </c>
      <c r="E248" s="1774">
        <v>0.15</v>
      </c>
      <c r="F248" s="1775">
        <v>0.14000000000000001</v>
      </c>
    </row>
    <row r="249" spans="1:6" ht="14.25" thickBot="1">
      <c r="A249" s="1769" t="s">
        <v>1404</v>
      </c>
      <c r="B249" s="1773" t="s">
        <v>2161</v>
      </c>
      <c r="C249" s="1774">
        <v>0.15</v>
      </c>
      <c r="D249" s="1774">
        <v>0.14899999999999999</v>
      </c>
      <c r="E249" s="1774">
        <v>0.15</v>
      </c>
      <c r="F249" s="1775">
        <v>0.1</v>
      </c>
    </row>
    <row r="250" spans="1:6" ht="14.25" thickBot="1">
      <c r="A250" s="1769" t="s">
        <v>1404</v>
      </c>
      <c r="B250" s="1773" t="s">
        <v>2162</v>
      </c>
      <c r="C250" s="1774">
        <v>0.15</v>
      </c>
      <c r="D250" s="1774">
        <v>0.15</v>
      </c>
      <c r="E250" s="1774">
        <v>0.15</v>
      </c>
      <c r="F250" s="1775">
        <v>0.14399999999999999</v>
      </c>
    </row>
    <row r="251" spans="1:6" ht="14.25" thickBot="1">
      <c r="A251" s="1769" t="s">
        <v>1404</v>
      </c>
      <c r="B251" s="1773" t="s">
        <v>1130</v>
      </c>
      <c r="C251" s="1774">
        <v>0.15</v>
      </c>
      <c r="D251" s="1774">
        <v>0.15</v>
      </c>
      <c r="E251" s="1774">
        <v>0.15</v>
      </c>
      <c r="F251" s="1775">
        <v>0.14299999999999999</v>
      </c>
    </row>
    <row r="252" spans="1:6" ht="14.25" thickBot="1">
      <c r="A252" s="1769" t="s">
        <v>1404</v>
      </c>
      <c r="B252" s="1773" t="s">
        <v>1141</v>
      </c>
      <c r="C252" s="1774">
        <v>0.15</v>
      </c>
      <c r="D252" s="1774">
        <v>0.15</v>
      </c>
      <c r="E252" s="1774">
        <v>0.15</v>
      </c>
      <c r="F252" s="1775">
        <v>0.1</v>
      </c>
    </row>
    <row r="253" spans="1:6" ht="14.25" thickBot="1">
      <c r="A253" s="1769" t="s">
        <v>1404</v>
      </c>
      <c r="B253" s="1773" t="s">
        <v>1153</v>
      </c>
      <c r="C253" s="1774">
        <v>0.15</v>
      </c>
      <c r="D253" s="1774">
        <v>0.15</v>
      </c>
      <c r="E253" s="1774">
        <v>0.15</v>
      </c>
      <c r="F253" s="1775">
        <v>0.1</v>
      </c>
    </row>
    <row r="254" spans="1:6" ht="14.25" thickBot="1">
      <c r="A254" s="1769" t="s">
        <v>1404</v>
      </c>
      <c r="B254" s="1773" t="s">
        <v>1163</v>
      </c>
      <c r="C254" s="1783"/>
      <c r="D254" s="1783"/>
      <c r="E254" s="1783"/>
      <c r="F254" s="1775">
        <v>0.15</v>
      </c>
    </row>
    <row r="255" spans="1:6" ht="14.25" thickBot="1">
      <c r="A255" s="1769" t="s">
        <v>1404</v>
      </c>
      <c r="B255" s="1773" t="s">
        <v>1173</v>
      </c>
      <c r="C255" s="1783"/>
      <c r="D255" s="1783"/>
      <c r="E255" s="1783"/>
      <c r="F255" s="1775">
        <v>0.14299999999999999</v>
      </c>
    </row>
    <row r="256" spans="1:6" ht="14.25" thickBot="1">
      <c r="A256" s="1769" t="s">
        <v>1404</v>
      </c>
      <c r="B256" s="1773" t="s">
        <v>2163</v>
      </c>
      <c r="C256" s="1774">
        <v>0.14599999999999999</v>
      </c>
      <c r="D256" s="1774">
        <v>0.14699999999999999</v>
      </c>
      <c r="E256" s="1774">
        <v>0.15</v>
      </c>
      <c r="F256" s="1775">
        <v>0.13200000000000001</v>
      </c>
    </row>
    <row r="257" spans="1:6" ht="14.25" thickBot="1">
      <c r="A257" s="1769" t="s">
        <v>1404</v>
      </c>
      <c r="B257" s="1773" t="s">
        <v>1193</v>
      </c>
      <c r="C257" s="1774">
        <v>0.15</v>
      </c>
      <c r="D257" s="1774">
        <v>0.15</v>
      </c>
      <c r="E257" s="1774">
        <v>0.15</v>
      </c>
      <c r="F257" s="1775">
        <v>0.13900000000000001</v>
      </c>
    </row>
    <row r="258" spans="1:6" ht="14.25" thickBot="1">
      <c r="A258" s="1769" t="s">
        <v>1404</v>
      </c>
      <c r="B258" s="1773" t="s">
        <v>1203</v>
      </c>
      <c r="C258" s="1774">
        <v>0.15</v>
      </c>
      <c r="D258" s="1774">
        <v>0.15</v>
      </c>
      <c r="E258" s="1774">
        <v>0.15</v>
      </c>
      <c r="F258" s="1775">
        <v>0.13</v>
      </c>
    </row>
    <row r="259" spans="1:6" ht="14.25" thickBot="1">
      <c r="A259" s="1769" t="s">
        <v>1404</v>
      </c>
      <c r="B259" s="1773" t="s">
        <v>2164</v>
      </c>
      <c r="C259" s="1774">
        <v>0.14799999999999999</v>
      </c>
      <c r="D259" s="1774">
        <v>0.14899999999999999</v>
      </c>
      <c r="E259" s="1774">
        <v>0.15</v>
      </c>
      <c r="F259" s="1775">
        <v>0.13700000000000001</v>
      </c>
    </row>
    <row r="260" spans="1:6" ht="14.25" thickBot="1">
      <c r="A260" s="1769" t="s">
        <v>1404</v>
      </c>
      <c r="B260" s="1773" t="s">
        <v>1223</v>
      </c>
      <c r="C260" s="1774">
        <v>0.15</v>
      </c>
      <c r="D260" s="1774">
        <v>0.15</v>
      </c>
      <c r="E260" s="1774">
        <v>0.15</v>
      </c>
      <c r="F260" s="1775">
        <v>0.14199999999999999</v>
      </c>
    </row>
    <row r="261" spans="1:6" ht="14.25" thickBot="1">
      <c r="A261" s="1769" t="s">
        <v>1404</v>
      </c>
      <c r="B261" s="1773" t="s">
        <v>1233</v>
      </c>
      <c r="C261" s="1774">
        <v>0.15</v>
      </c>
      <c r="D261" s="1774">
        <v>0.15</v>
      </c>
      <c r="E261" s="1774">
        <v>0.14899999999999999</v>
      </c>
      <c r="F261" s="1775">
        <v>0.14799999999999999</v>
      </c>
    </row>
    <row r="262" spans="1:6" ht="14.25" thickBot="1">
      <c r="A262" s="1769" t="s">
        <v>1404</v>
      </c>
      <c r="B262" s="1773" t="s">
        <v>1243</v>
      </c>
      <c r="C262" s="1774">
        <v>0.15</v>
      </c>
      <c r="D262" s="1774">
        <v>0.15</v>
      </c>
      <c r="E262" s="1774">
        <v>0.15</v>
      </c>
      <c r="F262" s="1782"/>
    </row>
    <row r="263" spans="1:6" ht="14.25" thickBot="1">
      <c r="A263" s="1769" t="s">
        <v>1404</v>
      </c>
      <c r="B263" s="1773" t="s">
        <v>2165</v>
      </c>
      <c r="C263" s="1774">
        <v>0.14899999999999999</v>
      </c>
      <c r="D263" s="1774">
        <v>0.14899999999999999</v>
      </c>
      <c r="E263" s="1774">
        <v>0.15</v>
      </c>
      <c r="F263" s="1775">
        <v>0.13</v>
      </c>
    </row>
    <row r="264" spans="1:6" ht="14.25" thickBot="1">
      <c r="A264" s="1769" t="s">
        <v>1404</v>
      </c>
      <c r="B264" s="1773" t="s">
        <v>1262</v>
      </c>
      <c r="C264" s="1774">
        <v>0.14799999999999999</v>
      </c>
      <c r="D264" s="1774">
        <v>0.14699999999999999</v>
      </c>
      <c r="E264" s="1774">
        <v>0.15</v>
      </c>
      <c r="F264" s="1775">
        <v>7.8E-2</v>
      </c>
    </row>
    <row r="265" spans="1:6" ht="14.25" thickBot="1">
      <c r="A265" s="1769" t="s">
        <v>1404</v>
      </c>
      <c r="B265" s="1773" t="s">
        <v>1271</v>
      </c>
      <c r="C265" s="1774">
        <v>0.15</v>
      </c>
      <c r="D265" s="1774">
        <v>0.15</v>
      </c>
      <c r="E265" s="1774">
        <v>0.15</v>
      </c>
      <c r="F265" s="1775">
        <v>7.3999999999999996E-2</v>
      </c>
    </row>
    <row r="266" spans="1:6" ht="14.25" thickBot="1">
      <c r="A266" s="1769" t="s">
        <v>1404</v>
      </c>
      <c r="B266" s="1773" t="s">
        <v>1279</v>
      </c>
      <c r="C266" s="1774">
        <v>0.14699999999999999</v>
      </c>
      <c r="D266" s="1774">
        <v>0.14699999999999999</v>
      </c>
      <c r="E266" s="1774">
        <v>0.15</v>
      </c>
      <c r="F266" s="1775">
        <v>0.14299999999999999</v>
      </c>
    </row>
    <row r="267" spans="1:6" ht="14.25" thickBot="1">
      <c r="A267" s="1769" t="s">
        <v>1404</v>
      </c>
      <c r="B267" s="1773" t="s">
        <v>1286</v>
      </c>
      <c r="C267" s="1774">
        <v>0.14199999999999999</v>
      </c>
      <c r="D267" s="1774">
        <v>0.14299999999999999</v>
      </c>
      <c r="E267" s="1774">
        <v>0.15</v>
      </c>
      <c r="F267" s="1782"/>
    </row>
    <row r="268" spans="1:6" ht="14.25" thickBot="1">
      <c r="A268" s="1769" t="s">
        <v>1404</v>
      </c>
      <c r="B268" s="1773" t="s">
        <v>2166</v>
      </c>
      <c r="C268" s="1774">
        <v>0.15</v>
      </c>
      <c r="D268" s="1774">
        <v>0.15</v>
      </c>
      <c r="E268" s="1774">
        <v>0.15</v>
      </c>
      <c r="F268" s="1775">
        <v>0.13</v>
      </c>
    </row>
    <row r="269" spans="1:6" ht="14.25" thickBot="1">
      <c r="A269" s="1769" t="s">
        <v>1404</v>
      </c>
      <c r="B269" s="1773" t="s">
        <v>1300</v>
      </c>
      <c r="C269" s="1774">
        <v>0.15</v>
      </c>
      <c r="D269" s="1774">
        <v>0.15</v>
      </c>
      <c r="E269" s="1774">
        <v>0.15</v>
      </c>
      <c r="F269" s="1775">
        <v>0.14299999999999999</v>
      </c>
    </row>
    <row r="270" spans="1:6" ht="14.25" thickBot="1">
      <c r="A270" s="1769" t="s">
        <v>1404</v>
      </c>
      <c r="B270" s="1773" t="s">
        <v>1307</v>
      </c>
      <c r="C270" s="1774">
        <v>0.14499999999999999</v>
      </c>
      <c r="D270" s="1774">
        <v>0.14499999999999999</v>
      </c>
      <c r="E270" s="1774">
        <v>0.15</v>
      </c>
      <c r="F270" s="1775">
        <v>0.14699999999999999</v>
      </c>
    </row>
    <row r="271" spans="1:6" ht="14.25" thickBot="1">
      <c r="A271" s="1769" t="s">
        <v>1404</v>
      </c>
      <c r="B271" s="1773" t="s">
        <v>1314</v>
      </c>
      <c r="C271" s="1774">
        <v>0.15</v>
      </c>
      <c r="D271" s="1774">
        <v>0.15</v>
      </c>
      <c r="E271" s="1774">
        <v>0.15</v>
      </c>
      <c r="F271" s="1775">
        <v>0.13800000000000001</v>
      </c>
    </row>
    <row r="272" spans="1:6" ht="14.25" thickBot="1">
      <c r="A272" s="1769" t="s">
        <v>1404</v>
      </c>
      <c r="B272" s="1773" t="s">
        <v>1321</v>
      </c>
      <c r="C272" s="1783"/>
      <c r="D272" s="1783"/>
      <c r="E272" s="1783"/>
      <c r="F272" s="1775">
        <v>0.14000000000000001</v>
      </c>
    </row>
    <row r="273" spans="1:6" ht="14.25" thickBot="1">
      <c r="A273" s="1769" t="s">
        <v>1404</v>
      </c>
      <c r="B273" s="1773" t="s">
        <v>2167</v>
      </c>
      <c r="C273" s="1774">
        <v>0.14199999999999999</v>
      </c>
      <c r="D273" s="1774">
        <v>0.14299999999999999</v>
      </c>
      <c r="E273" s="1774">
        <v>0.15</v>
      </c>
      <c r="F273" s="1775">
        <v>0.1</v>
      </c>
    </row>
    <row r="274" spans="1:6" ht="14.25" thickBot="1">
      <c r="A274" s="1769" t="s">
        <v>1404</v>
      </c>
      <c r="B274" s="1773" t="s">
        <v>2168</v>
      </c>
      <c r="C274" s="1774">
        <v>0.14799999999999999</v>
      </c>
      <c r="D274" s="1774">
        <v>0.14799999999999999</v>
      </c>
      <c r="E274" s="1774">
        <v>0.15</v>
      </c>
      <c r="F274" s="1775">
        <v>6.7000000000000004E-2</v>
      </c>
    </row>
    <row r="275" spans="1:6" ht="14.25" thickBot="1">
      <c r="A275" s="1769" t="s">
        <v>1404</v>
      </c>
      <c r="B275" s="1773" t="s">
        <v>2169</v>
      </c>
      <c r="C275" s="1774">
        <v>0.15</v>
      </c>
      <c r="D275" s="1774">
        <v>0.15</v>
      </c>
      <c r="E275" s="1774">
        <v>0.15</v>
      </c>
      <c r="F275" s="1775">
        <v>0.15</v>
      </c>
    </row>
    <row r="276" spans="1:6" ht="14.25" thickBot="1">
      <c r="A276" s="1769" t="s">
        <v>1404</v>
      </c>
      <c r="B276" s="1773" t="s">
        <v>2170</v>
      </c>
      <c r="C276" s="1774">
        <v>0.14499999999999999</v>
      </c>
      <c r="D276" s="1774">
        <v>0.14299999999999999</v>
      </c>
      <c r="E276" s="1774">
        <v>0.15</v>
      </c>
      <c r="F276" s="1775">
        <v>5.8999999999999997E-2</v>
      </c>
    </row>
    <row r="277" spans="1:6" ht="14.25" thickBot="1">
      <c r="A277" s="1769" t="s">
        <v>1404</v>
      </c>
      <c r="B277" s="1773" t="s">
        <v>2171</v>
      </c>
      <c r="C277" s="1774">
        <v>0.15</v>
      </c>
      <c r="D277" s="1774">
        <v>0.15</v>
      </c>
      <c r="E277" s="1774">
        <v>0.15</v>
      </c>
      <c r="F277" s="1775">
        <v>0.121</v>
      </c>
    </row>
    <row r="278" spans="1:6" ht="14.25" thickBot="1">
      <c r="A278" s="1769" t="s">
        <v>1404</v>
      </c>
      <c r="B278" s="1773" t="s">
        <v>2172</v>
      </c>
      <c r="C278" s="1774">
        <v>0.15</v>
      </c>
      <c r="D278" s="1774">
        <v>0.15</v>
      </c>
      <c r="E278" s="1774">
        <v>0.15</v>
      </c>
      <c r="F278" s="1775">
        <v>0.13800000000000001</v>
      </c>
    </row>
    <row r="279" spans="1:6" ht="24.75" thickBot="1">
      <c r="A279" s="1769" t="s">
        <v>1404</v>
      </c>
      <c r="B279" s="1773" t="s">
        <v>2173</v>
      </c>
      <c r="C279" s="1783"/>
      <c r="D279" s="1783"/>
      <c r="E279" s="1783"/>
      <c r="F279" s="1775">
        <v>0.05</v>
      </c>
    </row>
    <row r="280" spans="1:6" ht="24.75" thickBot="1">
      <c r="A280" s="1769" t="s">
        <v>1404</v>
      </c>
      <c r="B280" s="1773" t="s">
        <v>2174</v>
      </c>
      <c r="C280" s="1783"/>
      <c r="D280" s="1783"/>
      <c r="E280" s="1783"/>
      <c r="F280" s="1775">
        <v>0.05</v>
      </c>
    </row>
    <row r="281" spans="1:6" ht="24.75" thickBot="1">
      <c r="A281" s="1769" t="s">
        <v>1404</v>
      </c>
      <c r="B281" s="1773" t="s">
        <v>2175</v>
      </c>
      <c r="C281" s="1783"/>
      <c r="D281" s="1783"/>
      <c r="E281" s="1783"/>
      <c r="F281" s="1775">
        <v>0.05</v>
      </c>
    </row>
    <row r="282" spans="1:6" ht="24.75" thickBot="1">
      <c r="A282" s="1769" t="s">
        <v>1404</v>
      </c>
      <c r="B282" s="1773" t="s">
        <v>2176</v>
      </c>
      <c r="C282" s="1783"/>
      <c r="D282" s="1783"/>
      <c r="E282" s="1783"/>
      <c r="F282" s="1775">
        <v>0.05</v>
      </c>
    </row>
    <row r="283" spans="1:6" ht="24.75" thickBot="1">
      <c r="A283" s="1769" t="s">
        <v>1404</v>
      </c>
      <c r="B283" s="1773" t="s">
        <v>2177</v>
      </c>
      <c r="C283" s="1783"/>
      <c r="D283" s="1783"/>
      <c r="E283" s="1783"/>
      <c r="F283" s="1775">
        <v>0.05</v>
      </c>
    </row>
    <row r="284" spans="1:6" ht="24.75" thickBot="1">
      <c r="A284" s="1769" t="s">
        <v>1404</v>
      </c>
      <c r="B284" s="1773" t="s">
        <v>2178</v>
      </c>
      <c r="C284" s="1783"/>
      <c r="D284" s="1783"/>
      <c r="E284" s="1783"/>
      <c r="F284" s="1775">
        <v>0.05</v>
      </c>
    </row>
    <row r="285" spans="1:6" ht="24.75" thickBot="1">
      <c r="A285" s="1769" t="s">
        <v>1404</v>
      </c>
      <c r="B285" s="1773" t="s">
        <v>2179</v>
      </c>
      <c r="C285" s="1783"/>
      <c r="D285" s="1783"/>
      <c r="E285" s="1783"/>
      <c r="F285" s="1775">
        <v>0.05</v>
      </c>
    </row>
    <row r="286" spans="1:6" ht="24.75" thickBot="1">
      <c r="A286" s="1769" t="s">
        <v>1404</v>
      </c>
      <c r="B286" s="1773" t="s">
        <v>2180</v>
      </c>
      <c r="C286" s="1783"/>
      <c r="D286" s="1783"/>
      <c r="E286" s="1783"/>
      <c r="F286" s="1775">
        <v>0.05</v>
      </c>
    </row>
    <row r="287" spans="1:6" ht="24.75" thickBot="1">
      <c r="A287" s="1769" t="s">
        <v>1404</v>
      </c>
      <c r="B287" s="1773" t="s">
        <v>2181</v>
      </c>
      <c r="C287" s="1783"/>
      <c r="D287" s="1783"/>
      <c r="E287" s="1783"/>
      <c r="F287" s="1775">
        <v>0.05</v>
      </c>
    </row>
    <row r="288" spans="1:6" ht="24.75" thickBot="1">
      <c r="A288" s="1769" t="s">
        <v>1404</v>
      </c>
      <c r="B288" s="1773" t="s">
        <v>2182</v>
      </c>
      <c r="C288" s="1783"/>
      <c r="D288" s="1783"/>
      <c r="E288" s="1783"/>
      <c r="F288" s="1775">
        <v>0.05</v>
      </c>
    </row>
    <row r="289" spans="1:6" ht="24.75" thickBot="1">
      <c r="A289" s="1777" t="s">
        <v>1404</v>
      </c>
      <c r="B289" s="1784" t="s">
        <v>2183</v>
      </c>
      <c r="C289" s="1780"/>
      <c r="D289" s="1780"/>
      <c r="E289" s="1780"/>
      <c r="F289" s="1785">
        <v>0.05</v>
      </c>
    </row>
    <row r="290" spans="1:6" ht="14.25" thickBot="1">
      <c r="A290" s="1769" t="s">
        <v>1408</v>
      </c>
      <c r="B290" s="1770" t="s">
        <v>2184</v>
      </c>
      <c r="C290" s="1771">
        <v>0.15</v>
      </c>
      <c r="D290" s="1771">
        <v>0.15</v>
      </c>
      <c r="E290" s="1771">
        <v>0.15</v>
      </c>
      <c r="F290" s="1793"/>
    </row>
    <row r="291" spans="1:6" ht="14.25" thickBot="1">
      <c r="A291" s="1769" t="s">
        <v>1408</v>
      </c>
      <c r="B291" s="1773" t="s">
        <v>1068</v>
      </c>
      <c r="C291" s="1774">
        <v>0.15</v>
      </c>
      <c r="D291" s="1774">
        <v>0.15</v>
      </c>
      <c r="E291" s="1774">
        <v>0.15</v>
      </c>
      <c r="F291" s="1782"/>
    </row>
    <row r="292" spans="1:6" ht="14.25" thickBot="1">
      <c r="A292" s="1769" t="s">
        <v>1408</v>
      </c>
      <c r="B292" s="1773" t="s">
        <v>2185</v>
      </c>
      <c r="C292" s="1774">
        <v>0.15</v>
      </c>
      <c r="D292" s="1774">
        <v>0.15</v>
      </c>
      <c r="E292" s="1774">
        <v>0.15</v>
      </c>
      <c r="F292" s="1775">
        <v>0.14699999999999999</v>
      </c>
    </row>
    <row r="293" spans="1:6" ht="14.25" thickBot="1">
      <c r="A293" s="1769" t="s">
        <v>1408</v>
      </c>
      <c r="B293" s="1773" t="s">
        <v>2186</v>
      </c>
      <c r="C293" s="1783"/>
      <c r="D293" s="1783"/>
      <c r="E293" s="1783"/>
      <c r="F293" s="1775">
        <v>0.1</v>
      </c>
    </row>
    <row r="294" spans="1:6" ht="14.25" thickBot="1">
      <c r="A294" s="1769" t="s">
        <v>1408</v>
      </c>
      <c r="B294" s="1773" t="s">
        <v>2187</v>
      </c>
      <c r="C294" s="1774">
        <v>0.15</v>
      </c>
      <c r="D294" s="1774">
        <v>0.15</v>
      </c>
      <c r="E294" s="1774">
        <v>0.15</v>
      </c>
      <c r="F294" s="1775">
        <v>0.15</v>
      </c>
    </row>
    <row r="295" spans="1:6" ht="14.25" thickBot="1">
      <c r="A295" s="1769" t="s">
        <v>1408</v>
      </c>
      <c r="B295" s="1773" t="s">
        <v>1109</v>
      </c>
      <c r="C295" s="1774">
        <v>0.15</v>
      </c>
      <c r="D295" s="1774">
        <v>0.15</v>
      </c>
      <c r="E295" s="1774">
        <v>0.15</v>
      </c>
      <c r="F295" s="1775">
        <v>0.15</v>
      </c>
    </row>
    <row r="296" spans="1:6" ht="14.25" thickBot="1">
      <c r="A296" s="1769" t="s">
        <v>1408</v>
      </c>
      <c r="B296" s="1773" t="s">
        <v>2188</v>
      </c>
      <c r="C296" s="1774">
        <v>0.15</v>
      </c>
      <c r="D296" s="1774">
        <v>0.15</v>
      </c>
      <c r="E296" s="1774">
        <v>0.15</v>
      </c>
      <c r="F296" s="1775">
        <v>0.15</v>
      </c>
    </row>
    <row r="297" spans="1:6" ht="14.25" thickBot="1">
      <c r="A297" s="1769" t="s">
        <v>1408</v>
      </c>
      <c r="B297" s="1773" t="s">
        <v>2189</v>
      </c>
      <c r="C297" s="1774">
        <v>0.14799999999999999</v>
      </c>
      <c r="D297" s="1774">
        <v>0.14899999999999999</v>
      </c>
      <c r="E297" s="1774">
        <v>0.15</v>
      </c>
      <c r="F297" s="1775">
        <v>0.13700000000000001</v>
      </c>
    </row>
    <row r="298" spans="1:6" ht="14.25" thickBot="1">
      <c r="A298" s="1769" t="s">
        <v>1408</v>
      </c>
      <c r="B298" s="1773" t="s">
        <v>1142</v>
      </c>
      <c r="C298" s="1774">
        <v>0.13400000000000001</v>
      </c>
      <c r="D298" s="1774">
        <v>0.13400000000000001</v>
      </c>
      <c r="E298" s="1774">
        <v>0.14499999999999999</v>
      </c>
      <c r="F298" s="1775">
        <v>0.14799999999999999</v>
      </c>
    </row>
    <row r="299" spans="1:6" ht="14.25" thickBot="1">
      <c r="A299" s="1769" t="s">
        <v>1408</v>
      </c>
      <c r="B299" s="1773" t="s">
        <v>1154</v>
      </c>
      <c r="C299" s="1774">
        <v>0.15</v>
      </c>
      <c r="D299" s="1774">
        <v>0.15</v>
      </c>
      <c r="E299" s="1774">
        <v>0.15</v>
      </c>
      <c r="F299" s="1782"/>
    </row>
    <row r="300" spans="1:6" ht="14.25" thickBot="1">
      <c r="A300" s="1769" t="s">
        <v>1408</v>
      </c>
      <c r="B300" s="1773" t="s">
        <v>2190</v>
      </c>
      <c r="C300" s="1774">
        <v>0.15</v>
      </c>
      <c r="D300" s="1774">
        <v>0.15</v>
      </c>
      <c r="E300" s="1774">
        <v>0.15</v>
      </c>
      <c r="F300" s="1775">
        <v>0.15</v>
      </c>
    </row>
    <row r="301" spans="1:6" ht="14.25" thickBot="1">
      <c r="A301" s="1769" t="s">
        <v>1408</v>
      </c>
      <c r="B301" s="1773" t="s">
        <v>1174</v>
      </c>
      <c r="C301" s="1774">
        <v>0.15</v>
      </c>
      <c r="D301" s="1774">
        <v>0.15</v>
      </c>
      <c r="E301" s="1774">
        <v>0.15</v>
      </c>
      <c r="F301" s="1782"/>
    </row>
    <row r="302" spans="1:6" ht="14.25" thickBot="1">
      <c r="A302" s="1769" t="s">
        <v>1408</v>
      </c>
      <c r="B302" s="1773" t="s">
        <v>2191</v>
      </c>
      <c r="C302" s="1774">
        <v>0.15</v>
      </c>
      <c r="D302" s="1774">
        <v>0.15</v>
      </c>
      <c r="E302" s="1774">
        <v>0.15</v>
      </c>
      <c r="F302" s="1775">
        <v>0.15</v>
      </c>
    </row>
    <row r="303" spans="1:6" ht="14.25" thickBot="1">
      <c r="A303" s="1769" t="s">
        <v>1408</v>
      </c>
      <c r="B303" s="1773" t="s">
        <v>1194</v>
      </c>
      <c r="C303" s="1774">
        <v>0.15</v>
      </c>
      <c r="D303" s="1774">
        <v>0.15</v>
      </c>
      <c r="E303" s="1774">
        <v>0.15</v>
      </c>
      <c r="F303" s="1775">
        <v>0.15</v>
      </c>
    </row>
    <row r="304" spans="1:6" ht="14.25" thickBot="1">
      <c r="A304" s="1769" t="s">
        <v>1408</v>
      </c>
      <c r="B304" s="1773" t="s">
        <v>1204</v>
      </c>
      <c r="C304" s="1774">
        <v>0.15</v>
      </c>
      <c r="D304" s="1774">
        <v>0.15</v>
      </c>
      <c r="E304" s="1774">
        <v>0.15</v>
      </c>
      <c r="F304" s="1782"/>
    </row>
    <row r="305" spans="1:6" ht="14.25" thickBot="1">
      <c r="A305" s="1769" t="s">
        <v>1408</v>
      </c>
      <c r="B305" s="1773" t="s">
        <v>2192</v>
      </c>
      <c r="C305" s="1774">
        <v>0.15</v>
      </c>
      <c r="D305" s="1774">
        <v>0.15</v>
      </c>
      <c r="E305" s="1774">
        <v>0.15</v>
      </c>
      <c r="F305" s="1775">
        <v>0.14000000000000001</v>
      </c>
    </row>
    <row r="306" spans="1:6" ht="14.25" thickBot="1">
      <c r="A306" s="1769" t="s">
        <v>1408</v>
      </c>
      <c r="B306" s="1773" t="s">
        <v>1224</v>
      </c>
      <c r="C306" s="1774">
        <v>0.15</v>
      </c>
      <c r="D306" s="1774">
        <v>0.15</v>
      </c>
      <c r="E306" s="1774">
        <v>0.15</v>
      </c>
      <c r="F306" s="1782"/>
    </row>
    <row r="307" spans="1:6" ht="14.25" thickBot="1">
      <c r="A307" s="1769" t="s">
        <v>1408</v>
      </c>
      <c r="B307" s="1773" t="s">
        <v>2193</v>
      </c>
      <c r="C307" s="1774">
        <v>0.15</v>
      </c>
      <c r="D307" s="1774">
        <v>0.15</v>
      </c>
      <c r="E307" s="1774">
        <v>0.15</v>
      </c>
      <c r="F307" s="1775">
        <v>0.14299999999999999</v>
      </c>
    </row>
    <row r="308" spans="1:6" ht="14.25" thickBot="1">
      <c r="A308" s="1769" t="s">
        <v>1408</v>
      </c>
      <c r="B308" s="1773" t="s">
        <v>1244</v>
      </c>
      <c r="C308" s="1774">
        <v>0.15</v>
      </c>
      <c r="D308" s="1774">
        <v>0.15</v>
      </c>
      <c r="E308" s="1774">
        <v>0.15</v>
      </c>
      <c r="F308" s="1775">
        <v>0.15</v>
      </c>
    </row>
    <row r="309" spans="1:6" ht="14.25" thickBot="1">
      <c r="A309" s="1769" t="s">
        <v>1408</v>
      </c>
      <c r="B309" s="1773" t="s">
        <v>1254</v>
      </c>
      <c r="C309" s="1774">
        <v>0.15</v>
      </c>
      <c r="D309" s="1774">
        <v>0.15</v>
      </c>
      <c r="E309" s="1774">
        <v>0.15</v>
      </c>
      <c r="F309" s="1782"/>
    </row>
    <row r="310" spans="1:6" ht="14.25" thickBot="1">
      <c r="A310" s="1769" t="s">
        <v>1408</v>
      </c>
      <c r="B310" s="1773" t="s">
        <v>2194</v>
      </c>
      <c r="C310" s="1774">
        <v>0.15</v>
      </c>
      <c r="D310" s="1774">
        <v>0.15</v>
      </c>
      <c r="E310" s="1774">
        <v>0.15</v>
      </c>
      <c r="F310" s="1775">
        <v>0.13700000000000001</v>
      </c>
    </row>
    <row r="311" spans="1:6" ht="14.25" thickBot="1">
      <c r="A311" s="1769" t="s">
        <v>1408</v>
      </c>
      <c r="B311" s="1773" t="s">
        <v>2195</v>
      </c>
      <c r="C311" s="1774">
        <v>0.15</v>
      </c>
      <c r="D311" s="1774">
        <v>0.15</v>
      </c>
      <c r="E311" s="1774">
        <v>0.15</v>
      </c>
      <c r="F311" s="1775">
        <v>0.15</v>
      </c>
    </row>
    <row r="312" spans="1:6" ht="14.25" thickBot="1">
      <c r="A312" s="1769" t="s">
        <v>1408</v>
      </c>
      <c r="B312" s="1773" t="s">
        <v>1280</v>
      </c>
      <c r="C312" s="1774">
        <v>0.15</v>
      </c>
      <c r="D312" s="1774">
        <v>0.15</v>
      </c>
      <c r="E312" s="1774">
        <v>0.15</v>
      </c>
      <c r="F312" s="1775">
        <v>0.1</v>
      </c>
    </row>
    <row r="313" spans="1:6" ht="14.25" thickBot="1">
      <c r="A313" s="1769" t="s">
        <v>1408</v>
      </c>
      <c r="B313" s="1773" t="s">
        <v>2196</v>
      </c>
      <c r="C313" s="1774">
        <v>0.15</v>
      </c>
      <c r="D313" s="1774">
        <v>0.15</v>
      </c>
      <c r="E313" s="1774">
        <v>0.15</v>
      </c>
      <c r="F313" s="1775">
        <v>0.15</v>
      </c>
    </row>
    <row r="314" spans="1:6" ht="24.75" thickBot="1">
      <c r="A314" s="1769" t="s">
        <v>1408</v>
      </c>
      <c r="B314" s="1773" t="s">
        <v>2197</v>
      </c>
      <c r="C314" s="1783"/>
      <c r="D314" s="1783"/>
      <c r="E314" s="1783"/>
      <c r="F314" s="1775">
        <v>0.05</v>
      </c>
    </row>
    <row r="315" spans="1:6" ht="24.75" thickBot="1">
      <c r="A315" s="1769" t="s">
        <v>1408</v>
      </c>
      <c r="B315" s="1773" t="s">
        <v>2198</v>
      </c>
      <c r="C315" s="1783"/>
      <c r="D315" s="1783"/>
      <c r="E315" s="1783"/>
      <c r="F315" s="1775">
        <v>0.05</v>
      </c>
    </row>
    <row r="316" spans="1:6" ht="24.75" thickBot="1">
      <c r="A316" s="1777" t="s">
        <v>1408</v>
      </c>
      <c r="B316" s="1784" t="s">
        <v>2199</v>
      </c>
      <c r="C316" s="1780"/>
      <c r="D316" s="1780"/>
      <c r="E316" s="1780"/>
      <c r="F316" s="1785">
        <v>0.05</v>
      </c>
    </row>
    <row r="317" spans="1:6" ht="14.25" thickBot="1">
      <c r="A317" s="1769" t="s">
        <v>2200</v>
      </c>
      <c r="B317" s="1770" t="s">
        <v>2201</v>
      </c>
      <c r="C317" s="1771">
        <v>0.15</v>
      </c>
      <c r="D317" s="1771">
        <v>0.15</v>
      </c>
      <c r="E317" s="1771">
        <v>0.15</v>
      </c>
      <c r="F317" s="1772">
        <v>0.15</v>
      </c>
    </row>
    <row r="318" spans="1:6" ht="14.25" thickBot="1">
      <c r="A318" s="1769" t="s">
        <v>2200</v>
      </c>
      <c r="B318" s="1773" t="s">
        <v>2202</v>
      </c>
      <c r="C318" s="1774">
        <v>0.107</v>
      </c>
      <c r="D318" s="1774">
        <v>0.11</v>
      </c>
      <c r="E318" s="1774">
        <v>0.112</v>
      </c>
      <c r="F318" s="1782"/>
    </row>
    <row r="319" spans="1:6" ht="14.25" thickBot="1">
      <c r="A319" s="1769" t="s">
        <v>2200</v>
      </c>
      <c r="B319" s="1773" t="s">
        <v>2203</v>
      </c>
      <c r="C319" s="1774">
        <v>0.15</v>
      </c>
      <c r="D319" s="1774">
        <v>0.15</v>
      </c>
      <c r="E319" s="1774">
        <v>0.15</v>
      </c>
      <c r="F319" s="1775">
        <v>0.15</v>
      </c>
    </row>
    <row r="320" spans="1:6" ht="14.25" thickBot="1">
      <c r="A320" s="1769" t="s">
        <v>2200</v>
      </c>
      <c r="B320" s="1773" t="s">
        <v>1096</v>
      </c>
      <c r="C320" s="1774">
        <v>0.15</v>
      </c>
      <c r="D320" s="1774">
        <v>0.15</v>
      </c>
      <c r="E320" s="1774">
        <v>0.15</v>
      </c>
      <c r="F320" s="1782"/>
    </row>
    <row r="321" spans="1:6" ht="14.25" thickBot="1">
      <c r="A321" s="1769" t="s">
        <v>2200</v>
      </c>
      <c r="B321" s="1773" t="s">
        <v>2204</v>
      </c>
      <c r="C321" s="1774">
        <v>0.15</v>
      </c>
      <c r="D321" s="1774">
        <v>0.15</v>
      </c>
      <c r="E321" s="1774">
        <v>0.15</v>
      </c>
      <c r="F321" s="1782"/>
    </row>
    <row r="322" spans="1:6" ht="14.25" thickBot="1">
      <c r="A322" s="1769" t="s">
        <v>2200</v>
      </c>
      <c r="B322" s="1773" t="s">
        <v>2205</v>
      </c>
      <c r="C322" s="1774">
        <v>0.15</v>
      </c>
      <c r="D322" s="1774">
        <v>0.15</v>
      </c>
      <c r="E322" s="1774">
        <v>0.15</v>
      </c>
      <c r="F322" s="1775">
        <v>0.15</v>
      </c>
    </row>
    <row r="323" spans="1:6" ht="14.25" thickBot="1">
      <c r="A323" s="1769" t="s">
        <v>2200</v>
      </c>
      <c r="B323" s="1773" t="s">
        <v>2206</v>
      </c>
      <c r="C323" s="1774">
        <v>0.15</v>
      </c>
      <c r="D323" s="1774">
        <v>0.15</v>
      </c>
      <c r="E323" s="1774">
        <v>0.15</v>
      </c>
      <c r="F323" s="1782"/>
    </row>
    <row r="324" spans="1:6" ht="14.25" thickBot="1">
      <c r="A324" s="1769" t="s">
        <v>2200</v>
      </c>
      <c r="B324" s="1773" t="s">
        <v>2207</v>
      </c>
      <c r="C324" s="1774">
        <v>0.15</v>
      </c>
      <c r="D324" s="1774">
        <v>0.15</v>
      </c>
      <c r="E324" s="1774">
        <v>0.15</v>
      </c>
      <c r="F324" s="1782"/>
    </row>
    <row r="325" spans="1:6" ht="14.25" thickBot="1">
      <c r="A325" s="1769" t="s">
        <v>2200</v>
      </c>
      <c r="B325" s="1773" t="s">
        <v>2208</v>
      </c>
      <c r="C325" s="1774">
        <v>0.15</v>
      </c>
      <c r="D325" s="1774">
        <v>0.15</v>
      </c>
      <c r="E325" s="1774">
        <v>0.15</v>
      </c>
      <c r="F325" s="1775">
        <v>0.14699999999999999</v>
      </c>
    </row>
    <row r="326" spans="1:6" ht="14.25" thickBot="1">
      <c r="A326" s="1769" t="s">
        <v>2200</v>
      </c>
      <c r="B326" s="1773" t="s">
        <v>1165</v>
      </c>
      <c r="C326" s="1774">
        <v>0.15</v>
      </c>
      <c r="D326" s="1774">
        <v>0.15</v>
      </c>
      <c r="E326" s="1774">
        <v>0.15</v>
      </c>
      <c r="F326" s="1782"/>
    </row>
    <row r="327" spans="1:6" ht="14.25" thickBot="1">
      <c r="A327" s="1769" t="s">
        <v>2200</v>
      </c>
      <c r="B327" s="1773" t="s">
        <v>2209</v>
      </c>
      <c r="C327" s="1774">
        <v>0.15</v>
      </c>
      <c r="D327" s="1774">
        <v>0.15</v>
      </c>
      <c r="E327" s="1774">
        <v>0.15</v>
      </c>
      <c r="F327" s="1775">
        <v>0.15</v>
      </c>
    </row>
    <row r="328" spans="1:6" ht="14.25" thickBot="1">
      <c r="A328" s="1769" t="s">
        <v>2200</v>
      </c>
      <c r="B328" s="1773" t="s">
        <v>1185</v>
      </c>
      <c r="C328" s="1774">
        <v>0.15</v>
      </c>
      <c r="D328" s="1774">
        <v>0.15</v>
      </c>
      <c r="E328" s="1774">
        <v>0.15</v>
      </c>
      <c r="F328" s="1775">
        <v>0.14099999999999999</v>
      </c>
    </row>
    <row r="329" spans="1:6" ht="14.25" thickBot="1">
      <c r="A329" s="1769" t="s">
        <v>2200</v>
      </c>
      <c r="B329" s="1773" t="s">
        <v>1195</v>
      </c>
      <c r="C329" s="1774">
        <v>0.15</v>
      </c>
      <c r="D329" s="1774">
        <v>0.15</v>
      </c>
      <c r="E329" s="1774">
        <v>0.15</v>
      </c>
      <c r="F329" s="1775">
        <v>0.15</v>
      </c>
    </row>
    <row r="330" spans="1:6" ht="14.25" thickBot="1">
      <c r="A330" s="1769" t="s">
        <v>2200</v>
      </c>
      <c r="B330" s="1773" t="s">
        <v>1205</v>
      </c>
      <c r="C330" s="1774">
        <v>0.15</v>
      </c>
      <c r="D330" s="1774">
        <v>0.15</v>
      </c>
      <c r="E330" s="1774">
        <v>0.15</v>
      </c>
      <c r="F330" s="1782"/>
    </row>
    <row r="331" spans="1:6" ht="14.25" thickBot="1">
      <c r="A331" s="1769" t="s">
        <v>2200</v>
      </c>
      <c r="B331" s="1773" t="s">
        <v>2210</v>
      </c>
      <c r="C331" s="1774">
        <v>0.15</v>
      </c>
      <c r="D331" s="1774">
        <v>0.15</v>
      </c>
      <c r="E331" s="1774">
        <v>0.15</v>
      </c>
      <c r="F331" s="1775">
        <v>0.15</v>
      </c>
    </row>
    <row r="332" spans="1:6" ht="14.25" thickBot="1">
      <c r="A332" s="1769" t="s">
        <v>2200</v>
      </c>
      <c r="B332" s="1773" t="s">
        <v>1225</v>
      </c>
      <c r="C332" s="1774">
        <v>0.15</v>
      </c>
      <c r="D332" s="1774">
        <v>0.15</v>
      </c>
      <c r="E332" s="1774">
        <v>0.15</v>
      </c>
      <c r="F332" s="1775">
        <v>0.15</v>
      </c>
    </row>
    <row r="333" spans="1:6" ht="14.25" thickBot="1">
      <c r="A333" s="1769" t="s">
        <v>2200</v>
      </c>
      <c r="B333" s="1773" t="s">
        <v>2211</v>
      </c>
      <c r="C333" s="1774">
        <v>0.15</v>
      </c>
      <c r="D333" s="1774">
        <v>0.15</v>
      </c>
      <c r="E333" s="1774">
        <v>0.15</v>
      </c>
      <c r="F333" s="1775">
        <v>0.14099999999999999</v>
      </c>
    </row>
    <row r="334" spans="1:6" ht="14.25" thickBot="1">
      <c r="A334" s="1769" t="s">
        <v>2200</v>
      </c>
      <c r="B334" s="1773" t="s">
        <v>1245</v>
      </c>
      <c r="C334" s="1774">
        <v>0.15</v>
      </c>
      <c r="D334" s="1774">
        <v>0.15</v>
      </c>
      <c r="E334" s="1774">
        <v>0.15</v>
      </c>
      <c r="F334" s="1775">
        <v>0.15</v>
      </c>
    </row>
    <row r="335" spans="1:6" ht="14.25" thickBot="1">
      <c r="A335" s="1769" t="s">
        <v>2200</v>
      </c>
      <c r="B335" s="1773" t="s">
        <v>1255</v>
      </c>
      <c r="C335" s="1774">
        <v>0.15</v>
      </c>
      <c r="D335" s="1774">
        <v>0.15</v>
      </c>
      <c r="E335" s="1774">
        <v>0.15</v>
      </c>
      <c r="F335" s="1782"/>
    </row>
    <row r="336" spans="1:6" ht="14.25" thickBot="1">
      <c r="A336" s="1769" t="s">
        <v>2200</v>
      </c>
      <c r="B336" s="1773" t="s">
        <v>2212</v>
      </c>
      <c r="C336" s="1774">
        <v>0.15</v>
      </c>
      <c r="D336" s="1774">
        <v>0.15</v>
      </c>
      <c r="E336" s="1774">
        <v>0.15</v>
      </c>
      <c r="F336" s="1775">
        <v>0.11799999999999999</v>
      </c>
    </row>
    <row r="337" spans="1:6" ht="14.25" thickBot="1">
      <c r="A337" s="1777" t="s">
        <v>2200</v>
      </c>
      <c r="B337" s="1784" t="s">
        <v>1273</v>
      </c>
      <c r="C337" s="1780"/>
      <c r="D337" s="1780"/>
      <c r="E337" s="1780"/>
      <c r="F337" s="1785">
        <v>0.14299999999999999</v>
      </c>
    </row>
    <row r="338" spans="1:6" ht="14.25" thickBot="1">
      <c r="A338" s="1769" t="s">
        <v>2213</v>
      </c>
      <c r="B338" s="1770" t="s">
        <v>2214</v>
      </c>
      <c r="C338" s="1771">
        <v>0.15</v>
      </c>
      <c r="D338" s="1771">
        <v>0.15</v>
      </c>
      <c r="E338" s="1771">
        <v>0.15</v>
      </c>
      <c r="F338" s="1793"/>
    </row>
    <row r="339" spans="1:6" ht="14.25" thickBot="1">
      <c r="A339" s="1769" t="s">
        <v>2213</v>
      </c>
      <c r="B339" s="1773" t="s">
        <v>2215</v>
      </c>
      <c r="C339" s="1774">
        <v>0.15</v>
      </c>
      <c r="D339" s="1774">
        <v>0.15</v>
      </c>
      <c r="E339" s="1774">
        <v>0.15</v>
      </c>
      <c r="F339" s="1782"/>
    </row>
    <row r="340" spans="1:6" ht="14.25" thickBot="1">
      <c r="A340" s="1769" t="s">
        <v>2213</v>
      </c>
      <c r="B340" s="1773" t="s">
        <v>2216</v>
      </c>
      <c r="C340" s="1774">
        <v>0.15</v>
      </c>
      <c r="D340" s="1774">
        <v>0.15</v>
      </c>
      <c r="E340" s="1774">
        <v>0.15</v>
      </c>
      <c r="F340" s="1782"/>
    </row>
    <row r="341" spans="1:6" ht="14.25" thickBot="1">
      <c r="A341" s="1769" t="s">
        <v>2217</v>
      </c>
      <c r="B341" s="1773" t="s">
        <v>2218</v>
      </c>
      <c r="C341" s="1774">
        <v>0.15</v>
      </c>
      <c r="D341" s="1774">
        <v>0.15</v>
      </c>
      <c r="E341" s="1774">
        <v>0.15</v>
      </c>
      <c r="F341" s="1775">
        <v>0.15</v>
      </c>
    </row>
    <row r="342" spans="1:6" ht="14.25" thickBot="1">
      <c r="A342" s="1769" t="s">
        <v>2213</v>
      </c>
      <c r="B342" s="1773" t="s">
        <v>2219</v>
      </c>
      <c r="C342" s="1774">
        <v>0.15</v>
      </c>
      <c r="D342" s="1774">
        <v>0.15</v>
      </c>
      <c r="E342" s="1774">
        <v>0.15</v>
      </c>
      <c r="F342" s="1775">
        <v>0.15</v>
      </c>
    </row>
    <row r="343" spans="1:6" ht="14.25" thickBot="1">
      <c r="A343" s="1769" t="s">
        <v>2213</v>
      </c>
      <c r="B343" s="1773" t="s">
        <v>2220</v>
      </c>
      <c r="C343" s="1774">
        <v>0.15</v>
      </c>
      <c r="D343" s="1774">
        <v>0.15</v>
      </c>
      <c r="E343" s="1774">
        <v>0.15</v>
      </c>
      <c r="F343" s="1775">
        <v>0.15</v>
      </c>
    </row>
    <row r="344" spans="1:6" ht="14.25" thickBot="1">
      <c r="A344" s="1777" t="s">
        <v>2213</v>
      </c>
      <c r="B344" s="1784" t="s">
        <v>2221</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R118"/>
  <sheetViews>
    <sheetView view="pageBreakPreview" topLeftCell="A25" zoomScale="80" zoomScaleNormal="60" zoomScaleSheetLayoutView="80" workbookViewId="0">
      <selection activeCell="C65" sqref="C65"/>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1680</v>
      </c>
      <c r="B1" s="1348"/>
      <c r="C1" s="1354" t="s">
        <v>980</v>
      </c>
      <c r="D1" s="1460">
        <f>SUM(D29:D30,D33:D39)</f>
        <v>71189.150999999998</v>
      </c>
      <c r="E1" s="1354" t="s">
        <v>2407</v>
      </c>
      <c r="F1" s="2307">
        <f>'数据-基础表'!A3</f>
        <v>32358.705000000002</v>
      </c>
      <c r="G1" s="1349"/>
      <c r="H1" s="1349"/>
      <c r="I1" s="1349"/>
      <c r="J1" s="1349"/>
      <c r="K1" s="2070"/>
      <c r="L1" s="1796" t="s">
        <v>2222</v>
      </c>
      <c r="M1" s="1797">
        <f>SUMPRODUCT((区片价!B5:B9=I2)*(区片价!C3:F3=E2)*(区片价!C5:F9))</f>
        <v>0</v>
      </c>
      <c r="N1" s="1798">
        <f>SUMPRODUCT((因素修正幅度!B5:B9=I2)*(因素修正幅度!C3:F3=E2)*(因素修正幅度!C5:F9))</f>
        <v>0</v>
      </c>
      <c r="O1" s="2070"/>
      <c r="P1" s="2070"/>
      <c r="Q1" s="2070"/>
      <c r="R1" s="2653" t="s">
        <v>2736</v>
      </c>
      <c r="S1" s="2653" t="s">
        <v>1624</v>
      </c>
      <c r="T1" s="2653" t="s">
        <v>2758</v>
      </c>
      <c r="U1" s="2653" t="s">
        <v>2759</v>
      </c>
      <c r="V1" s="2653" t="s">
        <v>981</v>
      </c>
      <c r="W1" s="2070"/>
      <c r="X1" s="2070"/>
      <c r="Y1" s="2070"/>
      <c r="Z1" s="2070"/>
      <c r="AA1" s="2070"/>
      <c r="AB1" s="2070"/>
      <c r="AC1" s="2071"/>
    </row>
    <row r="2" spans="1:39" ht="15.75">
      <c r="A2" s="1354" t="s">
        <v>909</v>
      </c>
      <c r="B2" s="1025">
        <f>C26</f>
        <v>52317</v>
      </c>
      <c r="C2" s="1355" t="s">
        <v>910</v>
      </c>
      <c r="D2" s="1356" t="s">
        <v>887</v>
      </c>
      <c r="E2" s="1357" t="s">
        <v>1665</v>
      </c>
      <c r="F2" s="1356" t="s">
        <v>888</v>
      </c>
      <c r="G2" s="1580" t="str">
        <f>IF(E2="商业",项目基本情况!B43,IF(E2="办公",项目基本情况!C43,IF(E2="住宅",项目基本情况!D43,项目基本情况!E43)))</f>
        <v>八级</v>
      </c>
      <c r="H2" s="1356" t="s">
        <v>915</v>
      </c>
      <c r="I2" s="1581" t="str">
        <f>IF(E2="商业",项目基本情况!B44,IF(E2="办公",项目基本情况!C44,IF(E2="住宅",项目基本情况!D44,项目基本情况!E44)))</f>
        <v>Ⅷ-通1</v>
      </c>
      <c r="J2" s="1358"/>
      <c r="K2" s="3228"/>
      <c r="L2" s="1799" t="s">
        <v>2223</v>
      </c>
      <c r="M2" s="1800">
        <f>SUMPRODUCT((区片价!B10:B28=I2)*(区片价!C3:F3=E2)*(区片价!C10:F28))</f>
        <v>0</v>
      </c>
      <c r="N2" s="1801">
        <f>SUMPRODUCT((因素修正幅度!B10:B28=I2)*(因素修正幅度!C3:F3=E2)*(因素修正幅度!C10:F28))</f>
        <v>0</v>
      </c>
      <c r="O2" s="3228"/>
      <c r="P2" s="2070"/>
      <c r="Q2" s="2070"/>
      <c r="R2" s="2654">
        <v>1</v>
      </c>
      <c r="S2" s="2654">
        <f>ROUND(IF(G3&gt;1,IF(R2&lt;7,SUMPRODUCT((B93:B98=R2)*(C92:N92=G2)*(C93:N98)),SUMIF(C92:N92,G2,C100:N100)),IF(R2&lt;7,SUMPRODUCT((B102:B107=R2)*(C92:N92=G2)*(C102:N107)),SUMIF(C92:N92,G2,C109:N109))),4)</f>
        <v>1.9419999999999999</v>
      </c>
      <c r="T2" s="2654">
        <f>ROUND($C$5*$C$18*$C$19*$C$20*S2*$C$24,0)</f>
        <v>14729</v>
      </c>
      <c r="U2" s="2643"/>
      <c r="V2" s="2654">
        <f>ROUND(T2*U2/10000,0)</f>
        <v>0</v>
      </c>
      <c r="W2" s="2070"/>
      <c r="X2" s="2070"/>
      <c r="Y2" s="2070"/>
      <c r="Z2" s="2070"/>
      <c r="AA2" s="2070"/>
      <c r="AB2" s="2070"/>
      <c r="AC2" s="2071"/>
    </row>
    <row r="3" spans="1:39" ht="24">
      <c r="A3" s="1359" t="s">
        <v>1673</v>
      </c>
      <c r="B3" s="1025">
        <f>ROUND(B2*10000/D1,0)</f>
        <v>7349</v>
      </c>
      <c r="C3" s="1355" t="s">
        <v>916</v>
      </c>
      <c r="D3" s="1356" t="s">
        <v>917</v>
      </c>
      <c r="E3" s="1360" t="s">
        <v>3031</v>
      </c>
      <c r="F3" s="1361" t="s">
        <v>3006</v>
      </c>
      <c r="G3" s="1026">
        <f>IF(F3="宗地容积率",'数据-汇总表'!I4,IF(F3="估价对象容积率",'数据-汇总表'!I6,'数据-汇总表'!I7))</f>
        <v>2.2000000000000002</v>
      </c>
      <c r="H3" s="1362" t="s">
        <v>918</v>
      </c>
      <c r="I3" s="1027">
        <v>8</v>
      </c>
      <c r="J3" s="1358" t="s">
        <v>919</v>
      </c>
      <c r="K3" s="3228"/>
      <c r="L3" s="1799" t="s">
        <v>2224</v>
      </c>
      <c r="M3" s="1800">
        <f>SUMPRODUCT((区片价!B29:B48=I2)*(区片价!C3:F3=E2)*(区片价!C29:F48))</f>
        <v>0</v>
      </c>
      <c r="N3" s="1801">
        <f>SUMPRODUCT((因素修正幅度!B29:B48=I2)*(因素修正幅度!C3:F3=E2)*(因素修正幅度!C29:F48))</f>
        <v>0</v>
      </c>
      <c r="O3" s="3228"/>
      <c r="P3" s="2070"/>
      <c r="Q3" s="2070"/>
      <c r="R3" s="2654">
        <v>2</v>
      </c>
      <c r="S3" s="2654">
        <f>ROUND(IF(G3&gt;1,IF(R3&lt;7,SUMPRODUCT((B93:B98=R3)*(C92:N92=G2)*(C93:N98)),SUMIF(C92:N92,G2,C100:N100)),IF(R3&lt;7,SUMPRODUCT((B102:B107=R3)*(C92:N92=G2)*(C102:N107)),SUMIF(C92:N92,G2,C109:N109))),4)</f>
        <v>1.2799</v>
      </c>
      <c r="T3" s="2654">
        <f t="shared" ref="T3:T16" si="0">ROUND($C$5*$C$18*$C$19*$C$20*S3*$C$24,0)</f>
        <v>9708</v>
      </c>
      <c r="U3" s="2643"/>
      <c r="V3" s="2654">
        <f t="shared" ref="V3:V16" si="1">ROUND(T3*U3/10000,0)</f>
        <v>0</v>
      </c>
      <c r="W3" s="2070"/>
      <c r="X3" s="2070"/>
      <c r="Y3" s="2070"/>
      <c r="Z3" s="2070"/>
      <c r="AA3" s="2070"/>
      <c r="AB3" s="2070"/>
      <c r="AC3" s="2071"/>
    </row>
    <row r="4" spans="1:39" ht="28.5">
      <c r="A4" s="1805" t="s">
        <v>2263</v>
      </c>
      <c r="B4" s="2308">
        <f>ROUND(B2*10000/F1,0)</f>
        <v>16168</v>
      </c>
      <c r="C4" s="1808" t="s">
        <v>2238</v>
      </c>
      <c r="D4" s="1808">
        <f>ROUND(B2/(F1/666.67),0)</f>
        <v>1078</v>
      </c>
      <c r="E4" s="1808" t="s">
        <v>2239</v>
      </c>
      <c r="F4" s="1806"/>
      <c r="G4" s="1806"/>
      <c r="H4" s="1806"/>
      <c r="I4" s="1806"/>
      <c r="J4" s="1807"/>
      <c r="K4" s="3229"/>
      <c r="L4" s="1799" t="s">
        <v>2225</v>
      </c>
      <c r="M4" s="1800">
        <f>SUMPRODUCT((区片价!B49:B75=I2)*(区片价!C3:F3=E2)*(区片价!C49:F75))</f>
        <v>0</v>
      </c>
      <c r="N4" s="1801">
        <f>SUMPRODUCT((因素修正幅度!B49:B75=I2)*(因素修正幅度!C3:F3=E2)*(因素修正幅度!C49:F75))</f>
        <v>0</v>
      </c>
      <c r="O4" s="3229"/>
      <c r="P4" s="2070"/>
      <c r="Q4" s="2070"/>
      <c r="R4" s="2654">
        <v>3</v>
      </c>
      <c r="S4" s="2654">
        <f>ROUND(IF(G3&gt;1,IF(R4&lt;7,SUMPRODUCT((B93:B98=R4)*(C92:N92=G2)*(C93:N98)),SUMIF(C92:N92,G2,C100:N100)),IF(R4&lt;7,SUMPRODUCT((B102:B107=R4)*(C92:N92=G2)*(C102:N107)),SUMIF(C92:N92,G2,C109:N109))),4)</f>
        <v>1.0072000000000001</v>
      </c>
      <c r="T4" s="2654">
        <f t="shared" si="0"/>
        <v>7639</v>
      </c>
      <c r="U4" s="2643"/>
      <c r="V4" s="2654">
        <f t="shared" si="1"/>
        <v>0</v>
      </c>
      <c r="W4" s="2070"/>
      <c r="X4" s="2070"/>
      <c r="Y4" s="2070"/>
      <c r="Z4" s="2070"/>
      <c r="AA4" s="2070"/>
      <c r="AB4" s="2070"/>
      <c r="AC4" s="2071"/>
    </row>
    <row r="5" spans="1:39" s="1369" customFormat="1" ht="15.75" thickBot="1">
      <c r="A5" s="1566" t="s">
        <v>1809</v>
      </c>
      <c r="B5" s="1363" t="s">
        <v>920</v>
      </c>
      <c r="C5" s="1028">
        <f>ROUND(IF(E2="商业",C6*C7+C16,(IF(E2="住宅",C6*C12+C16,C6+C16))),0)</f>
        <v>5280</v>
      </c>
      <c r="D5" s="2792">
        <f>ROUND(C6+C16,0)</f>
        <v>5280</v>
      </c>
      <c r="E5" s="2792"/>
      <c r="F5" s="1364"/>
      <c r="G5" s="1365"/>
      <c r="H5" s="1365"/>
      <c r="I5" s="1365"/>
      <c r="J5" s="1366"/>
      <c r="K5" s="3230"/>
      <c r="L5" s="1799" t="s">
        <v>2226</v>
      </c>
      <c r="M5" s="1800">
        <f>SUMPRODUCT((区片价!B76:B109=I2)*(区片价!C3:F3=E2)*(区片价!C76:F109))</f>
        <v>0</v>
      </c>
      <c r="N5" s="1801">
        <f>SUMPRODUCT((因素修正幅度!B76:B109=I2)*(因素修正幅度!C3:F3=E2)*(因素修正幅度!C76:F109))</f>
        <v>0</v>
      </c>
      <c r="O5" s="3230"/>
      <c r="P5" s="3233"/>
      <c r="Q5" s="2070"/>
      <c r="R5" s="2654">
        <v>4</v>
      </c>
      <c r="S5" s="2654">
        <f>ROUND(IF(G3&gt;1,IF(R5&lt;7,SUMPRODUCT((B93:B98=R5)*(C92:N92=G2)*(C93:N98)),SUMIF(C92:N92,G2,C100:N100)),IF(R5&lt;7,SUMPRODUCT((B102:B107=R5)*(C92:N92=G2)*(C102:N107)),SUMIF(C92:N92,G2,C109:N109))),4)</f>
        <v>0.75249999999999995</v>
      </c>
      <c r="T5" s="2654">
        <f t="shared" si="0"/>
        <v>5707</v>
      </c>
      <c r="U5" s="2643"/>
      <c r="V5" s="2654">
        <f t="shared" si="1"/>
        <v>0</v>
      </c>
      <c r="W5" s="2070"/>
      <c r="X5" s="2070"/>
      <c r="Y5" s="2070"/>
      <c r="Z5" s="2070"/>
      <c r="AA5" s="2070"/>
      <c r="AB5" s="2070"/>
      <c r="AC5" s="2072"/>
      <c r="AD5" s="1367"/>
      <c r="AE5" s="1367"/>
      <c r="AF5" s="1367"/>
      <c r="AG5" s="1367"/>
      <c r="AH5" s="1367"/>
      <c r="AI5" s="1367"/>
      <c r="AJ5" s="1368"/>
      <c r="AK5" s="1368"/>
      <c r="AL5" s="1368"/>
      <c r="AM5" s="1368"/>
    </row>
    <row r="6" spans="1:39" ht="15.75" thickBot="1">
      <c r="A6" s="1567" t="s">
        <v>1856</v>
      </c>
      <c r="B6" s="1370" t="s">
        <v>920</v>
      </c>
      <c r="C6" s="1029">
        <f>SUMIF(L1:L12,'基准地价-办'!G2,M1:M12)</f>
        <v>5250</v>
      </c>
      <c r="D6" s="1371" t="s">
        <v>1681</v>
      </c>
      <c r="E6" s="1372"/>
      <c r="F6" s="1372"/>
      <c r="G6" s="1373"/>
      <c r="H6" s="1373"/>
      <c r="I6" s="1373"/>
      <c r="J6" s="1374"/>
      <c r="K6" s="3231"/>
      <c r="L6" s="1799" t="s">
        <v>2227</v>
      </c>
      <c r="M6" s="1800">
        <f>SUMPRODUCT((区片价!B110:B157=I2)*(区片价!C3:F3=E2)*(区片价!C110:F157))</f>
        <v>0</v>
      </c>
      <c r="N6" s="1801">
        <f>SUMPRODUCT((因素修正幅度!B110:B157=I2)*(因素修正幅度!C3:F3=E2)*(因素修正幅度!C110:F157))</f>
        <v>0</v>
      </c>
      <c r="O6" s="3231"/>
      <c r="P6" s="3234"/>
      <c r="Q6" s="2070"/>
      <c r="R6" s="2654">
        <v>5</v>
      </c>
      <c r="S6" s="2654">
        <f>ROUND(IF(G3&gt;1,IF(R6&lt;7,SUMPRODUCT((B93:B98=R6)*(C92:N92=G2)*(C93:N98)),SUMIF(C92:N92,G2,C100:N100)),IF(R6&lt;7,SUMPRODUCT((B102:B107=R6)*(C92:N92=G2)*(C102:N107)),SUMIF(C92:N92,G2,C109:N109))),4)</f>
        <v>0.56589999999999996</v>
      </c>
      <c r="T6" s="2654">
        <f t="shared" si="0"/>
        <v>4292</v>
      </c>
      <c r="U6" s="2643"/>
      <c r="V6" s="2654">
        <f t="shared" si="1"/>
        <v>0</v>
      </c>
      <c r="W6" s="2070"/>
      <c r="X6" s="2070"/>
      <c r="Y6" s="2070"/>
      <c r="Z6" s="2070"/>
      <c r="AA6" s="2070"/>
      <c r="AB6" s="2070"/>
      <c r="AC6" s="2072"/>
      <c r="AD6" s="1367"/>
      <c r="AE6" s="1367"/>
      <c r="AF6" s="1367"/>
      <c r="AG6" s="1367"/>
      <c r="AH6" s="1367"/>
      <c r="AI6" s="1367"/>
      <c r="AJ6" s="1368"/>
    </row>
    <row r="7" spans="1:39" ht="24">
      <c r="A7" s="3612" t="str">
        <f>IF(E2="商业",IF(C8="不临58条商业街","",2),"")</f>
        <v/>
      </c>
      <c r="B7" s="1375" t="s">
        <v>921</v>
      </c>
      <c r="C7" s="1030">
        <f>IF(C8="不临58条商业街",1,ROUND(1+(1.6*E8+1.2*E9+0.8*E10+0.4*E11)*C9,4))</f>
        <v>1</v>
      </c>
      <c r="D7" s="1376" t="s">
        <v>922</v>
      </c>
      <c r="E7" s="1031"/>
      <c r="F7" s="1377"/>
      <c r="G7" s="1378"/>
      <c r="H7" s="1378"/>
      <c r="I7" s="1378"/>
      <c r="J7" s="1379"/>
      <c r="K7" s="3231"/>
      <c r="L7" s="1799" t="s">
        <v>2228</v>
      </c>
      <c r="M7" s="1800">
        <f>SUMPRODUCT((区片价!B158:B205=I2)*(区片价!C3:F3=E2)*(区片价!C158:F205))</f>
        <v>0</v>
      </c>
      <c r="N7" s="1801">
        <f>SUMPRODUCT((因素修正幅度!B158:B205=I2)*(因素修正幅度!C3:F3=E2)*(因素修正幅度!C158:F205))</f>
        <v>0</v>
      </c>
      <c r="O7" s="3231"/>
      <c r="P7" s="3234"/>
      <c r="Q7" s="2070"/>
      <c r="R7" s="2654">
        <v>6</v>
      </c>
      <c r="S7" s="2654">
        <f>ROUND(IF(G3&gt;1,IF(R7&lt;7,SUMPRODUCT((B93:B98=R7)*(C92:N92=G2)*(C93:N98)),SUMIF(C92:N92,G2,C100:N100)),IF(R7&lt;7,SUMPRODUCT((B102:B107=R7)*(C92:N92=G2)*(C102:N107)),SUMIF(C92:N92,G2,C109:N109))),4)</f>
        <v>0.45250000000000001</v>
      </c>
      <c r="T7" s="2654">
        <f t="shared" si="0"/>
        <v>3432</v>
      </c>
      <c r="U7" s="2643"/>
      <c r="V7" s="2654">
        <f t="shared" si="1"/>
        <v>0</v>
      </c>
      <c r="W7" s="3289" t="s">
        <v>2739</v>
      </c>
      <c r="X7" s="2644" t="str">
        <f>G2</f>
        <v>八级</v>
      </c>
      <c r="Y7" s="2644" t="s">
        <v>2740</v>
      </c>
      <c r="Z7" s="2645">
        <f>G3</f>
        <v>2.2000000000000002</v>
      </c>
      <c r="AA7" s="2073"/>
      <c r="AB7" s="2073"/>
      <c r="AC7" s="2074"/>
      <c r="AD7" s="2646"/>
      <c r="AE7" s="2646"/>
      <c r="AF7" s="2646"/>
      <c r="AG7" s="2646"/>
      <c r="AH7" s="2646"/>
      <c r="AI7" s="2646"/>
      <c r="AJ7" s="2647"/>
    </row>
    <row r="8" spans="1:39" ht="25.5">
      <c r="A8" s="3613"/>
      <c r="B8" s="1362" t="s">
        <v>923</v>
      </c>
      <c r="C8" s="1468" t="s">
        <v>3007</v>
      </c>
      <c r="D8" s="1032" t="s">
        <v>924</v>
      </c>
      <c r="E8" s="1033" t="e">
        <f>ROUND(C11/E7,4)</f>
        <v>#DIV/0!</v>
      </c>
      <c r="F8" s="1380" t="s">
        <v>925</v>
      </c>
      <c r="G8" s="1381"/>
      <c r="H8" s="1381"/>
      <c r="I8" s="1381"/>
      <c r="J8" s="1382"/>
      <c r="K8" s="3231"/>
      <c r="L8" s="1799" t="s">
        <v>2229</v>
      </c>
      <c r="M8" s="1800">
        <f>SUMPRODUCT((区片价!B206:B244=I2)*(区片价!C3:F3=E2)*(区片价!C206:F244))</f>
        <v>5250</v>
      </c>
      <c r="N8" s="1801">
        <f>SUMPRODUCT((因素修正幅度!B206:B244=I2)*(因素修正幅度!C3:F3=E2)*(因素修正幅度!C206:F244))</f>
        <v>0.15</v>
      </c>
      <c r="O8" s="3231"/>
      <c r="P8" s="2070"/>
      <c r="Q8" s="2070"/>
      <c r="R8" s="2654">
        <v>7</v>
      </c>
      <c r="S8" s="2643"/>
      <c r="T8" s="2654">
        <f t="shared" si="0"/>
        <v>0</v>
      </c>
      <c r="U8" s="2643"/>
      <c r="V8" s="2654">
        <f t="shared" si="1"/>
        <v>0</v>
      </c>
      <c r="W8" s="3623" t="s">
        <v>2757</v>
      </c>
      <c r="X8" s="3624"/>
      <c r="Y8" s="1763" t="s">
        <v>2741</v>
      </c>
      <c r="Z8" s="1763" t="s">
        <v>2742</v>
      </c>
      <c r="AA8" s="1763" t="s">
        <v>2743</v>
      </c>
      <c r="AB8" s="1763" t="s">
        <v>2744</v>
      </c>
      <c r="AC8" s="1763" t="s">
        <v>2745</v>
      </c>
      <c r="AD8" s="1763" t="s">
        <v>2746</v>
      </c>
      <c r="AE8" s="1763" t="s">
        <v>2747</v>
      </c>
      <c r="AF8" s="1763" t="s">
        <v>2748</v>
      </c>
      <c r="AG8" s="1763" t="s">
        <v>2749</v>
      </c>
      <c r="AH8" s="1763" t="s">
        <v>2750</v>
      </c>
      <c r="AI8" s="1763" t="s">
        <v>2751</v>
      </c>
      <c r="AJ8" s="1763" t="s">
        <v>2752</v>
      </c>
    </row>
    <row r="9" spans="1:39" ht="15">
      <c r="A9" s="3613"/>
      <c r="B9" s="1362" t="s">
        <v>926</v>
      </c>
      <c r="C9" s="1034">
        <f>SUMIF(修正!C59:C119,C8,修正!E59:E119)</f>
        <v>0</v>
      </c>
      <c r="D9" s="1035" t="s">
        <v>927</v>
      </c>
      <c r="E9" s="1035" t="e">
        <f>ROUND(C11/E7,4)</f>
        <v>#DIV/0!</v>
      </c>
      <c r="F9" s="1380" t="s">
        <v>928</v>
      </c>
      <c r="G9" s="1381"/>
      <c r="H9" s="1381"/>
      <c r="I9" s="1381"/>
      <c r="J9" s="1382"/>
      <c r="K9" s="3231"/>
      <c r="L9" s="1799" t="s">
        <v>2230</v>
      </c>
      <c r="M9" s="1800">
        <f>SUMPRODUCT((区片价!B245:B289=I2)*(区片价!C3:F3=E2)*(区片价!C245:F289))</f>
        <v>0</v>
      </c>
      <c r="N9" s="1801">
        <f>SUMPRODUCT((因素修正幅度!B245:B289=I2)*(因素修正幅度!C3:F3=E2)*(因素修正幅度!C245:F289))</f>
        <v>0</v>
      </c>
      <c r="O9" s="3231"/>
      <c r="P9" s="2070"/>
      <c r="Q9" s="2070"/>
      <c r="R9" s="2654">
        <v>8</v>
      </c>
      <c r="S9" s="2643"/>
      <c r="T9" s="2654">
        <f t="shared" si="0"/>
        <v>0</v>
      </c>
      <c r="U9" s="2643"/>
      <c r="V9" s="2654">
        <f t="shared" si="1"/>
        <v>0</v>
      </c>
      <c r="W9" s="3622" t="s">
        <v>2753</v>
      </c>
      <c r="X9" s="2648" t="s">
        <v>2754</v>
      </c>
      <c r="Y9" s="2785"/>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613"/>
      <c r="B10" s="1362" t="s">
        <v>929</v>
      </c>
      <c r="C10" s="1035">
        <f>SUMIF(修正!C59:C119,C8,修正!F59:F119)</f>
        <v>0</v>
      </c>
      <c r="D10" s="1035" t="s">
        <v>930</v>
      </c>
      <c r="E10" s="1035" t="e">
        <f>ROUND(C11/E7,4)</f>
        <v>#DIV/0!</v>
      </c>
      <c r="F10" s="1380" t="s">
        <v>931</v>
      </c>
      <c r="G10" s="1381"/>
      <c r="H10" s="1381"/>
      <c r="I10" s="1381"/>
      <c r="J10" s="1382"/>
      <c r="K10" s="3231"/>
      <c r="L10" s="1799" t="s">
        <v>2231</v>
      </c>
      <c r="M10" s="1800">
        <f>SUMPRODUCT((区片价!B290:B316=I2)*(区片价!C3:F3=E2)*(区片价!C290:F316))</f>
        <v>0</v>
      </c>
      <c r="N10" s="1801">
        <f>SUMPRODUCT((因素修正幅度!B290:B316=I2)*(因素修正幅度!C3:F3=E2)*(因素修正幅度!C290:F316))</f>
        <v>0</v>
      </c>
      <c r="O10" s="3231"/>
      <c r="P10" s="2070"/>
      <c r="Q10" s="2070"/>
      <c r="R10" s="2654">
        <v>9</v>
      </c>
      <c r="S10" s="2643"/>
      <c r="T10" s="2654">
        <f t="shared" si="0"/>
        <v>0</v>
      </c>
      <c r="U10" s="2643"/>
      <c r="V10" s="2654">
        <f t="shared" si="1"/>
        <v>0</v>
      </c>
      <c r="W10" s="3622"/>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613"/>
      <c r="B11" s="1383" t="s">
        <v>932</v>
      </c>
      <c r="C11" s="1036">
        <f>C10/4</f>
        <v>0</v>
      </c>
      <c r="D11" s="1036" t="s">
        <v>933</v>
      </c>
      <c r="E11" s="1036" t="e">
        <f>ROUND(C11/E7,4)</f>
        <v>#DIV/0!</v>
      </c>
      <c r="F11" s="1384" t="s">
        <v>934</v>
      </c>
      <c r="G11" s="1385"/>
      <c r="H11" s="1385"/>
      <c r="I11" s="1385"/>
      <c r="J11" s="1386"/>
      <c r="K11" s="3231"/>
      <c r="L11" s="1799" t="s">
        <v>2232</v>
      </c>
      <c r="M11" s="1800">
        <f>SUMPRODUCT((区片价!B317:B337=I2)*(区片价!C3:F3=E2)*(区片价!C317:F337))</f>
        <v>0</v>
      </c>
      <c r="N11" s="1801">
        <f>SUMPRODUCT((因素修正幅度!B317:B337=I2)*(因素修正幅度!C3:F3=E2)*(因素修正幅度!C317:F337))</f>
        <v>0</v>
      </c>
      <c r="O11" s="3231"/>
      <c r="P11" s="2070"/>
      <c r="Q11" s="2070"/>
      <c r="R11" s="2654">
        <v>10</v>
      </c>
      <c r="S11" s="2643"/>
      <c r="T11" s="2654">
        <f t="shared" si="0"/>
        <v>0</v>
      </c>
      <c r="U11" s="2643"/>
      <c r="V11" s="2654">
        <f t="shared" si="1"/>
        <v>0</v>
      </c>
      <c r="W11" s="3622" t="s">
        <v>2755</v>
      </c>
      <c r="X11" s="1035" t="s">
        <v>2740</v>
      </c>
      <c r="Y11" s="1581">
        <f>$G$3</f>
        <v>2.2000000000000002</v>
      </c>
      <c r="Z11" s="1581">
        <f t="shared" ref="Z11:AJ11" si="3">$G$3</f>
        <v>2.2000000000000002</v>
      </c>
      <c r="AA11" s="1581">
        <f t="shared" si="3"/>
        <v>2.2000000000000002</v>
      </c>
      <c r="AB11" s="1581">
        <f t="shared" si="3"/>
        <v>2.2000000000000002</v>
      </c>
      <c r="AC11" s="1581">
        <f t="shared" si="3"/>
        <v>2.2000000000000002</v>
      </c>
      <c r="AD11" s="1581">
        <f t="shared" si="3"/>
        <v>2.2000000000000002</v>
      </c>
      <c r="AE11" s="1581">
        <f t="shared" si="3"/>
        <v>2.2000000000000002</v>
      </c>
      <c r="AF11" s="1581">
        <f t="shared" si="3"/>
        <v>2.2000000000000002</v>
      </c>
      <c r="AG11" s="1581">
        <f t="shared" si="3"/>
        <v>2.2000000000000002</v>
      </c>
      <c r="AH11" s="1581">
        <f t="shared" si="3"/>
        <v>2.2000000000000002</v>
      </c>
      <c r="AI11" s="1581">
        <f t="shared" si="3"/>
        <v>2.2000000000000002</v>
      </c>
      <c r="AJ11" s="1581">
        <f t="shared" si="3"/>
        <v>2.2000000000000002</v>
      </c>
    </row>
    <row r="12" spans="1:39" ht="25.5" thickBot="1">
      <c r="A12" s="3612" t="s">
        <v>1857</v>
      </c>
      <c r="B12" s="1387" t="s">
        <v>935</v>
      </c>
      <c r="C12" s="1030">
        <f>ROUND(C15*D15*E15*F15*G15*H15*I15*J15,4)</f>
        <v>1</v>
      </c>
      <c r="D12" s="1388" t="s">
        <v>936</v>
      </c>
      <c r="E12" s="1389"/>
      <c r="F12" s="1389"/>
      <c r="G12" s="1390"/>
      <c r="H12" s="1390"/>
      <c r="I12" s="1390"/>
      <c r="J12" s="1391"/>
      <c r="K12" s="3231"/>
      <c r="L12" s="1802" t="s">
        <v>2233</v>
      </c>
      <c r="M12" s="1803">
        <f>SUMPRODUCT((区片价!B338:B344=I2)*(区片价!C3:F3=E2)*(区片价!C338:F344))</f>
        <v>0</v>
      </c>
      <c r="N12" s="1804">
        <f>SUMPRODUCT((因素修正幅度!B338:B344=I2)*(因素修正幅度!C3:F3=E2)*(因素修正幅度!C338:F344))</f>
        <v>0</v>
      </c>
      <c r="O12" s="3231"/>
      <c r="P12" s="2070"/>
      <c r="Q12" s="2070"/>
      <c r="R12" s="2654">
        <v>11</v>
      </c>
      <c r="S12" s="2643"/>
      <c r="T12" s="2654">
        <f t="shared" si="0"/>
        <v>0</v>
      </c>
      <c r="U12" s="2643"/>
      <c r="V12" s="2654">
        <f t="shared" si="1"/>
        <v>0</v>
      </c>
      <c r="W12" s="3622"/>
      <c r="X12" s="2651" t="s">
        <v>2756</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614"/>
      <c r="B13" s="1392" t="s">
        <v>1682</v>
      </c>
      <c r="C13" s="1393" t="s">
        <v>1683</v>
      </c>
      <c r="D13" s="1071" t="s">
        <v>1684</v>
      </c>
      <c r="E13" s="1071" t="s">
        <v>1685</v>
      </c>
      <c r="F13" s="1394" t="s">
        <v>937</v>
      </c>
      <c r="G13" s="1395" t="s">
        <v>1630</v>
      </c>
      <c r="H13" s="1396" t="s">
        <v>1630</v>
      </c>
      <c r="I13" s="1397" t="s">
        <v>1630</v>
      </c>
      <c r="J13" s="1398" t="s">
        <v>1630</v>
      </c>
      <c r="K13" s="2842"/>
      <c r="L13" s="2842"/>
      <c r="M13" s="2842"/>
      <c r="N13" s="2842"/>
      <c r="O13" s="2842"/>
      <c r="P13" s="2070"/>
      <c r="Q13" s="2070"/>
      <c r="R13" s="2654">
        <v>12</v>
      </c>
      <c r="S13" s="2643"/>
      <c r="T13" s="2654">
        <f t="shared" si="0"/>
        <v>0</v>
      </c>
      <c r="U13" s="2643"/>
      <c r="V13" s="2654">
        <f t="shared" si="1"/>
        <v>0</v>
      </c>
      <c r="W13" s="3622"/>
      <c r="X13" s="2651"/>
      <c r="Y13" s="2650">
        <f>(-0.163*(Y12^2)-0.59*Y12+7617)*(10^(-4))/Y11</f>
        <v>0.34622727272727272</v>
      </c>
      <c r="Z13" s="2650">
        <f t="shared" ref="Z13:AJ13" si="5">(-0.163*(Z12^2)-0.59*Z12+7617)*(10^(-4))/Z11</f>
        <v>0.34622727272727272</v>
      </c>
      <c r="AA13" s="2650">
        <f t="shared" si="5"/>
        <v>0.34622727272727272</v>
      </c>
      <c r="AB13" s="2650">
        <f t="shared" si="5"/>
        <v>0.34622727272727272</v>
      </c>
      <c r="AC13" s="2650">
        <f t="shared" si="5"/>
        <v>0.34622727272727272</v>
      </c>
      <c r="AD13" s="2650">
        <f t="shared" si="5"/>
        <v>0.34622727272727272</v>
      </c>
      <c r="AE13" s="2650">
        <f t="shared" si="5"/>
        <v>0.34622727272727272</v>
      </c>
      <c r="AF13" s="2650">
        <f t="shared" si="5"/>
        <v>0.34622727272727272</v>
      </c>
      <c r="AG13" s="2650">
        <f t="shared" si="5"/>
        <v>0.34622727272727272</v>
      </c>
      <c r="AH13" s="2650">
        <f t="shared" si="5"/>
        <v>0.34622727272727272</v>
      </c>
      <c r="AI13" s="2650">
        <f t="shared" si="5"/>
        <v>0.34622727272727272</v>
      </c>
      <c r="AJ13" s="2650">
        <f t="shared" si="5"/>
        <v>0.34622727272727272</v>
      </c>
    </row>
    <row r="14" spans="1:39" ht="12.75" customHeight="1">
      <c r="A14" s="3614"/>
      <c r="B14" s="1399"/>
      <c r="C14" s="1400"/>
      <c r="D14" s="1401"/>
      <c r="E14" s="1401"/>
      <c r="F14" s="1402"/>
      <c r="G14" s="1403" t="s">
        <v>938</v>
      </c>
      <c r="H14" s="1404"/>
      <c r="I14" s="1405"/>
      <c r="J14" s="1406"/>
      <c r="K14" s="3232"/>
      <c r="L14" s="3232"/>
      <c r="M14" s="3232"/>
      <c r="N14" s="3232"/>
      <c r="O14" s="3232"/>
      <c r="P14" s="2070"/>
      <c r="Q14" s="2070"/>
      <c r="R14" s="2654">
        <v>13</v>
      </c>
      <c r="S14" s="2643"/>
      <c r="T14" s="2654">
        <f t="shared" si="0"/>
        <v>0</v>
      </c>
      <c r="U14" s="2643"/>
      <c r="V14" s="2654">
        <f t="shared" si="1"/>
        <v>0</v>
      </c>
      <c r="W14" s="2070"/>
      <c r="X14" s="2070"/>
      <c r="Y14" s="2070"/>
      <c r="Z14" s="2070"/>
      <c r="AA14" s="2070"/>
      <c r="AB14" s="2070"/>
      <c r="AC14" s="2071"/>
    </row>
    <row r="15" spans="1:39" ht="13.5" customHeight="1" thickBot="1">
      <c r="A15" s="3615"/>
      <c r="B15" s="2847" t="s">
        <v>1686</v>
      </c>
      <c r="C15" s="1036">
        <f>IF(C14="有",1.1,1)</f>
        <v>1</v>
      </c>
      <c r="D15" s="1036">
        <f>IF(D14="有",1.1,1)</f>
        <v>1</v>
      </c>
      <c r="E15" s="1036">
        <f>IF(E14="有",1.1,1)</f>
        <v>1</v>
      </c>
      <c r="F15" s="1036">
        <f>IF(F14="500米范围内",1.2,IF(F14="500-1000米",1.1,1))</f>
        <v>1</v>
      </c>
      <c r="G15" s="2839">
        <v>1</v>
      </c>
      <c r="H15" s="2839">
        <v>1</v>
      </c>
      <c r="I15" s="2839">
        <v>1</v>
      </c>
      <c r="J15" s="2840">
        <v>1</v>
      </c>
      <c r="K15" s="2843"/>
      <c r="L15" s="2843"/>
      <c r="M15" s="2843"/>
      <c r="N15" s="2843"/>
      <c r="O15" s="2843"/>
      <c r="P15" s="2070"/>
      <c r="Q15" s="2070"/>
      <c r="R15" s="2654">
        <v>14</v>
      </c>
      <c r="S15" s="2643"/>
      <c r="T15" s="2654">
        <f t="shared" si="0"/>
        <v>0</v>
      </c>
      <c r="U15" s="2643"/>
      <c r="V15" s="2654">
        <f t="shared" si="1"/>
        <v>0</v>
      </c>
      <c r="W15" s="2070"/>
      <c r="X15" s="2070"/>
      <c r="Y15" s="2070"/>
      <c r="Z15" s="2070"/>
      <c r="AA15" s="2070"/>
      <c r="AB15" s="2070"/>
      <c r="AC15" s="2071"/>
    </row>
    <row r="16" spans="1:39" ht="24.6" customHeight="1">
      <c r="A16" s="3612" t="s">
        <v>1824</v>
      </c>
      <c r="B16" s="1375" t="s">
        <v>939</v>
      </c>
      <c r="C16" s="1039">
        <f>ROUND(IF(F17="与级别开发程度一致",0,(G17-E17)/C17),0)</f>
        <v>30</v>
      </c>
      <c r="D16" s="3630" t="s">
        <v>943</v>
      </c>
      <c r="E16" s="3631"/>
      <c r="F16" s="3630" t="s">
        <v>940</v>
      </c>
      <c r="G16" s="3631"/>
      <c r="H16" s="1407" t="s">
        <v>3009</v>
      </c>
      <c r="I16" s="1407" t="s">
        <v>3010</v>
      </c>
      <c r="J16" s="1407" t="s">
        <v>3011</v>
      </c>
      <c r="K16" s="1407" t="s">
        <v>3012</v>
      </c>
      <c r="L16" s="1407" t="s">
        <v>3013</v>
      </c>
      <c r="M16" s="1407" t="s">
        <v>3014</v>
      </c>
      <c r="N16" s="1407" t="s">
        <v>3015</v>
      </c>
      <c r="O16" s="2852"/>
      <c r="P16" s="2070"/>
      <c r="Q16" s="2073"/>
      <c r="R16" s="2654">
        <v>15</v>
      </c>
      <c r="S16" s="2643"/>
      <c r="T16" s="2654">
        <f t="shared" si="0"/>
        <v>0</v>
      </c>
      <c r="U16" s="2643"/>
      <c r="V16" s="2654">
        <f t="shared" si="1"/>
        <v>0</v>
      </c>
      <c r="W16" s="2073"/>
      <c r="X16" s="2073"/>
      <c r="Y16" s="2073"/>
      <c r="Z16" s="2073"/>
      <c r="AA16" s="2073"/>
      <c r="AB16" s="2073"/>
      <c r="AC16" s="2074"/>
    </row>
    <row r="17" spans="1:40" ht="24.75" thickBot="1">
      <c r="A17" s="3616"/>
      <c r="B17" s="2853" t="s">
        <v>942</v>
      </c>
      <c r="C17" s="2854">
        <f>SUMPRODUCT((修正!A2:A5=E2)*(修正!B1:M1=G2)*(修正!B2:M5))</f>
        <v>2</v>
      </c>
      <c r="D17" s="2855" t="str">
        <f>IF(OR(G2="八级",G2="九级",G2="十级",G2="十一级",G2="十二级"),"五通一平","七通一平")</f>
        <v>五通一平</v>
      </c>
      <c r="E17" s="2845">
        <f>SUMPRODUCT((修正!B1:M1=G2)*(修正!B15:M15))</f>
        <v>155</v>
      </c>
      <c r="F17" s="2846" t="s">
        <v>3008</v>
      </c>
      <c r="G17" s="2845">
        <f>SUM(H17:O17)</f>
        <v>215</v>
      </c>
      <c r="H17" s="1038">
        <f>SUMPRODUCT((七通一平=H16)*(修正!B1:M1=G2)*(修正!B6:M14))</f>
        <v>50</v>
      </c>
      <c r="I17" s="1038">
        <f>SUMPRODUCT((七通一平=I16)*(修正!B1:M1=G2)*(修正!B6:M14))</f>
        <v>40</v>
      </c>
      <c r="J17" s="1038">
        <f>SUMPRODUCT((七通一平=J16)*(修正!B1:M1=G2)*(修正!B6:M14))</f>
        <v>20</v>
      </c>
      <c r="K17" s="1038">
        <f>SUMPRODUCT((七通一平=K16)*(修正!B1:M1=G2)*(修正!B6:M14))</f>
        <v>25</v>
      </c>
      <c r="L17" s="1038">
        <f>SUMPRODUCT((七通一平=L16)*(修正!B1:M1=G2)*(修正!B6:M14))</f>
        <v>40</v>
      </c>
      <c r="M17" s="1038">
        <f>SUMPRODUCT((七通一平=M16)*(修正!B1:M1=G2)*(修正!B6:M14))</f>
        <v>30</v>
      </c>
      <c r="N17" s="1038">
        <f>SUMPRODUCT((七通一平=N16)*(修正!B1:M1=G2)*(修正!B6:M14))</f>
        <v>10</v>
      </c>
      <c r="O17" s="2856">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1812</v>
      </c>
      <c r="B18" s="2848" t="s">
        <v>944</v>
      </c>
      <c r="C18" s="2849">
        <f>SUMIF(修正!C18:C39,E3,修正!E18:E39)</f>
        <v>1</v>
      </c>
      <c r="D18" s="2850"/>
      <c r="E18" s="2851"/>
      <c r="F18" s="2834"/>
      <c r="G18" s="2833"/>
      <c r="H18" s="2833"/>
      <c r="I18" s="2833"/>
      <c r="J18" s="2841"/>
      <c r="K18" s="3230"/>
      <c r="L18" s="2833"/>
      <c r="M18" s="2833"/>
      <c r="N18" s="2833"/>
      <c r="O18" s="2833"/>
      <c r="P18" s="3235"/>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1813</v>
      </c>
      <c r="B19" s="1410" t="s">
        <v>945</v>
      </c>
      <c r="C19" s="3369">
        <f>'基准地价-商'!C19</f>
        <v>1.3906000000000001</v>
      </c>
      <c r="D19" s="1414" t="s">
        <v>946</v>
      </c>
      <c r="E19" s="1040">
        <v>41640</v>
      </c>
      <c r="F19" s="1414" t="s">
        <v>947</v>
      </c>
      <c r="G19" s="1041">
        <f>'数据-取费表'!B2</f>
        <v>44463</v>
      </c>
      <c r="H19" s="1415" t="s">
        <v>2945</v>
      </c>
      <c r="I19" s="2503" t="str">
        <f>IF(H19="季度增幅（自定义）",SUMIF(N21:N24,E2,O21:O24),"")</f>
        <v/>
      </c>
      <c r="J19" s="1411"/>
      <c r="K19" s="3230"/>
      <c r="L19" s="2752" t="s">
        <v>2815</v>
      </c>
      <c r="M19" s="2753">
        <f>ROUND(SUMIF(地价!B2:F2,E2,地价!B35:F35),0)</f>
        <v>258</v>
      </c>
      <c r="N19" s="2505" t="s">
        <v>1664</v>
      </c>
      <c r="O19" s="2504">
        <f>ROUNDDOWN(DATEDIF(E19,G19,"M")/3,0)</f>
        <v>30</v>
      </c>
      <c r="P19" s="2074"/>
      <c r="Q19" s="2642"/>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1814</v>
      </c>
      <c r="B20" s="2498" t="s">
        <v>960</v>
      </c>
      <c r="C20" s="2499">
        <f>ROUND(POWER(1+G20,J20-I20)*(POWER(1+G20,I20)-1)/(POWER(1+G20,J20)-1),4)</f>
        <v>1</v>
      </c>
      <c r="D20" s="2500" t="s">
        <v>961</v>
      </c>
      <c r="E20" s="2782">
        <f>存贷款利率!E18/100</f>
        <v>4.3499999999999997E-2</v>
      </c>
      <c r="F20" s="2500" t="s">
        <v>962</v>
      </c>
      <c r="G20" s="2501">
        <f>SUMIF(M26:P26,E2,M28:P28)</f>
        <v>5.1999999999999998E-2</v>
      </c>
      <c r="H20" s="2500" t="s">
        <v>963</v>
      </c>
      <c r="I20" s="2496">
        <f>SUMIF('数据-取费表'!C6:C15,E2,'数据-取费表'!F6:F15)/COUNTIF('数据-取费表'!C6:C15,E2)</f>
        <v>50</v>
      </c>
      <c r="J20" s="2502">
        <f>IF(E2="住宅",70,IF(E2="商业",40,50))</f>
        <v>50</v>
      </c>
      <c r="K20" s="2843"/>
      <c r="L20" s="2754" t="s">
        <v>2816</v>
      </c>
      <c r="M20" s="2836">
        <f>ROUND(SUMPRODUCT((地价!A4:A35=YEAR(G19)&amp;"-"&amp;ROUNDUP(MONTH(G19)/3,0))*(地价!B2:F2=E2)*(地价!B4:F35)),0)</f>
        <v>350</v>
      </c>
      <c r="N20" s="2508" t="s">
        <v>2620</v>
      </c>
      <c r="O20" s="2506" t="s">
        <v>2619</v>
      </c>
      <c r="P20" s="2507" t="s">
        <v>2625</v>
      </c>
      <c r="Q20" s="2642"/>
      <c r="R20" s="2076"/>
      <c r="S20" s="2076"/>
      <c r="T20" s="2076"/>
      <c r="U20" s="2076"/>
      <c r="V20" s="2076"/>
      <c r="W20" s="2076"/>
      <c r="X20" s="2076"/>
      <c r="Y20" s="1412"/>
      <c r="Z20" s="1412"/>
      <c r="AA20" s="1412"/>
      <c r="AB20" s="1412"/>
      <c r="AC20" s="1412"/>
      <c r="AD20" s="1412"/>
    </row>
    <row r="21" spans="1:40" s="1369" customFormat="1" ht="14.25">
      <c r="A21" s="1570" t="s">
        <v>1823</v>
      </c>
      <c r="B21" s="1420" t="s">
        <v>2979</v>
      </c>
      <c r="C21" s="1140">
        <f>IF(B21="容积率修正",IF(G3&lt;=10,D22,J22),C23)</f>
        <v>0.96889999999999998</v>
      </c>
      <c r="D21" s="1421"/>
      <c r="E21" s="1421"/>
      <c r="F21" s="1421"/>
      <c r="G21" s="1421"/>
      <c r="H21" s="1421"/>
      <c r="I21" s="1421"/>
      <c r="J21" s="1422"/>
      <c r="K21" s="3230"/>
      <c r="L21" s="1421"/>
      <c r="M21" s="1421"/>
      <c r="N21" s="1418" t="s">
        <v>964</v>
      </c>
      <c r="O21" s="1481"/>
      <c r="P21" s="2495">
        <f>SUMPRODUCT((地价!A3:A35=YEAR(G19)&amp;"-"&amp;ROUNDUP(MONTH(G19)/3,0))*(地价!AD2:AH2=N21)*(地价!AD3:AH35))</f>
        <v>1.0699999999999999E-2</v>
      </c>
      <c r="Q21" s="2642"/>
      <c r="R21" s="2076"/>
      <c r="S21" s="2076"/>
      <c r="T21" s="2076"/>
      <c r="U21" s="2076"/>
      <c r="V21" s="2076"/>
      <c r="W21" s="2076"/>
      <c r="X21" s="2076"/>
      <c r="Y21" s="1351"/>
      <c r="Z21" s="1351"/>
      <c r="AA21" s="1351"/>
      <c r="AB21" s="1351"/>
      <c r="AC21" s="1412"/>
      <c r="AD21" s="1412"/>
    </row>
    <row r="22" spans="1:40" s="1369" customFormat="1" ht="14.25">
      <c r="A22" s="1571" t="s">
        <v>1856</v>
      </c>
      <c r="B22" s="1423" t="s">
        <v>965</v>
      </c>
      <c r="C22" s="1042" t="s">
        <v>1688</v>
      </c>
      <c r="D22" s="1042">
        <f>IF(E22=G22,F22,IF(G3&lt;=10,ROUND(F22+(H22-F22)*(G3-E22)/(G22-E22),4),"——"))</f>
        <v>0.96889999999999998</v>
      </c>
      <c r="E22" s="1026">
        <f>ROUNDDOWN(G3,1)</f>
        <v>2.2000000000000002</v>
      </c>
      <c r="F22" s="1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0.96889999999999998</v>
      </c>
      <c r="G22" s="1026">
        <f>ROUNDUP(G3,1)</f>
        <v>2.2000000000000002</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0.96889999999999998</v>
      </c>
      <c r="I22" s="1042" t="s">
        <v>966</v>
      </c>
      <c r="J22" s="1042" t="str">
        <f>IF(G3&gt;10,D113,"——")</f>
        <v>——</v>
      </c>
      <c r="K22" s="3236"/>
      <c r="L22" s="1421"/>
      <c r="M22" s="1421"/>
      <c r="N22" s="1418" t="s">
        <v>967</v>
      </c>
      <c r="O22" s="1481"/>
      <c r="P22" s="2495">
        <f>SUMPRODUCT((地价!A3:A35=YEAR(G19)&amp;"-"&amp;ROUNDUP(MONTH(G19)/3,0))*(地价!AD2:AH2=N22)*(地价!AD3:AH35))</f>
        <v>1.0699999999999999E-2</v>
      </c>
      <c r="Q22" s="2642"/>
      <c r="R22" s="2076"/>
      <c r="S22" s="2076"/>
      <c r="T22" s="2076"/>
      <c r="U22" s="2076"/>
      <c r="V22" s="2076"/>
      <c r="W22" s="2076"/>
      <c r="X22" s="2076"/>
      <c r="Y22" s="1412"/>
      <c r="Z22" s="1412"/>
      <c r="AA22" s="1412"/>
      <c r="AB22" s="1412"/>
      <c r="AC22" s="1412"/>
      <c r="AD22" s="1412"/>
    </row>
    <row r="23" spans="1:40" ht="15.75" thickBot="1">
      <c r="A23" s="1571" t="s">
        <v>1857</v>
      </c>
      <c r="B23" s="1423" t="s">
        <v>968</v>
      </c>
      <c r="C23" s="1043">
        <f>ROUND(IF(G3&gt;1,IF(I3&lt;7,SUMPRODUCT((B93:B98=I3)*(C92:N92=G2)*(C93:N98)),SUMIF(C92:N92,G2,C100:N100)),IF(I3&lt;7,SUMPRODUCT((B102:B107=I3)*(C92:N92=G2)*(C102:N107)),SUMIF(C92:N92,G2,C109:N109))),4)</f>
        <v>0.44750000000000001</v>
      </c>
      <c r="D23" s="1469"/>
      <c r="E23" s="1469"/>
      <c r="F23" s="1470"/>
      <c r="G23" s="1471"/>
      <c r="H23" s="1472"/>
      <c r="I23" s="1473"/>
      <c r="J23" s="1473"/>
      <c r="K23" s="3237"/>
      <c r="L23" s="1349"/>
      <c r="M23" s="1349"/>
      <c r="N23" s="1418" t="s">
        <v>912</v>
      </c>
      <c r="O23" s="1481"/>
      <c r="P23" s="2495">
        <f>SUMPRODUCT((地价!A3:A35=YEAR(G19)&amp;"-"&amp;ROUNDUP(MONTH(G19)/3,0))*(地价!AD2:AH2=N23)*(地价!AD3:AH35))</f>
        <v>1.8700000000000001E-2</v>
      </c>
      <c r="Q23" s="2642"/>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1858</v>
      </c>
      <c r="B24" s="1363" t="s">
        <v>969</v>
      </c>
      <c r="C24" s="1044">
        <f>SUMIF(A44:A87,E2,B44:B87)</f>
        <v>1.0329999999999999</v>
      </c>
      <c r="D24" s="1474"/>
      <c r="E24" s="1475"/>
      <c r="F24" s="1475"/>
      <c r="G24" s="1475"/>
      <c r="H24" s="1475"/>
      <c r="I24" s="1475"/>
      <c r="J24" s="1475"/>
      <c r="K24" s="3237"/>
      <c r="L24" s="1421"/>
      <c r="M24" s="1421"/>
      <c r="N24" s="1418" t="s">
        <v>970</v>
      </c>
      <c r="O24" s="2835"/>
      <c r="P24" s="2495">
        <f>SUMPRODUCT((地价!A3:A35=YEAR(G19)&amp;"-"&amp;ROUNDUP(MONTH(G19)/3,0))*(地价!AD2:AH2=N24)*(地价!AD3:AH35))</f>
        <v>1.24E-2</v>
      </c>
      <c r="Q24" s="2642"/>
      <c r="R24" s="2076"/>
      <c r="S24" s="2076"/>
      <c r="T24" s="2076"/>
      <c r="U24" s="2076"/>
      <c r="V24" s="2076"/>
      <c r="W24" s="2076"/>
      <c r="X24" s="2076"/>
      <c r="Y24" s="1412"/>
      <c r="Z24" s="1412"/>
      <c r="AA24" s="1412"/>
      <c r="AB24" s="1412"/>
      <c r="AC24" s="1412"/>
      <c r="AD24" s="1412"/>
    </row>
    <row r="25" spans="1:40" ht="15" thickBot="1">
      <c r="A25" s="1569" t="s">
        <v>1859</v>
      </c>
      <c r="B25" s="1425" t="s">
        <v>971</v>
      </c>
      <c r="C25" s="1426"/>
      <c r="D25" s="1378"/>
      <c r="E25" s="1378"/>
      <c r="F25" s="1427"/>
      <c r="G25" s="1378"/>
      <c r="H25" s="1378"/>
      <c r="I25" s="1378"/>
      <c r="J25" s="1379"/>
      <c r="K25" s="3231"/>
      <c r="L25" s="2076"/>
      <c r="M25" s="2076"/>
      <c r="N25" s="2837" t="s">
        <v>2623</v>
      </c>
      <c r="O25" s="2838"/>
      <c r="P25" s="2302">
        <f>SUMPRODUCT((地价!A3:A35=YEAR(G19)&amp;"-"&amp;ROUNDUP(MONTH(G19)/3,0))*(地价!AD2:AH2=N25)*(地价!AD3:AH35))</f>
        <v>1.7000000000000001E-2</v>
      </c>
      <c r="Q25" s="2642"/>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975</v>
      </c>
      <c r="C26" s="3016">
        <f>IF(B21="容积率修正",E29+SUM(E33:E39),SUM(V2:V16)+SUM(E33:E39))</f>
        <v>52317</v>
      </c>
      <c r="D26" s="1429"/>
      <c r="E26" s="1404"/>
      <c r="F26" s="1430"/>
      <c r="G26" s="1404"/>
      <c r="H26" s="1404"/>
      <c r="I26" s="1404"/>
      <c r="J26" s="1431"/>
      <c r="K26" s="3231"/>
      <c r="L26" s="1528" t="s">
        <v>887</v>
      </c>
      <c r="M26" s="1376" t="s">
        <v>964</v>
      </c>
      <c r="N26" s="1376" t="s">
        <v>967</v>
      </c>
      <c r="O26" s="1376" t="s">
        <v>891</v>
      </c>
      <c r="P26" s="1416" t="s">
        <v>974</v>
      </c>
      <c r="Q26" s="2642"/>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977</v>
      </c>
      <c r="C27" s="1046">
        <f>E30+SUM(I33:I39)</f>
        <v>0</v>
      </c>
      <c r="D27" s="1433"/>
      <c r="E27" s="1434"/>
      <c r="F27" s="1435"/>
      <c r="G27" s="1434"/>
      <c r="H27" s="1434"/>
      <c r="I27" s="1434"/>
      <c r="J27" s="1436"/>
      <c r="K27" s="3231"/>
      <c r="L27" s="1408" t="s">
        <v>976</v>
      </c>
      <c r="M27" s="1034">
        <v>0.25</v>
      </c>
      <c r="N27" s="1034">
        <v>0.2</v>
      </c>
      <c r="O27" s="1034">
        <v>0.15</v>
      </c>
      <c r="P27" s="1478">
        <v>0.1</v>
      </c>
      <c r="Q27" s="2076"/>
      <c r="R27" s="2642"/>
      <c r="S27" s="2642"/>
      <c r="T27" s="2642"/>
      <c r="U27" s="2642"/>
      <c r="V27" s="2642"/>
      <c r="W27" s="2076"/>
      <c r="X27" s="2076"/>
      <c r="Y27" s="2076"/>
      <c r="Z27" s="2076"/>
      <c r="AA27" s="2076"/>
      <c r="AB27" s="2076"/>
      <c r="AC27" s="2076"/>
    </row>
    <row r="28" spans="1:40" ht="15" thickBot="1">
      <c r="A28" s="1424"/>
      <c r="B28" s="1437" t="s">
        <v>978</v>
      </c>
      <c r="C28" s="1438" t="s">
        <v>979</v>
      </c>
      <c r="D28" s="1438" t="s">
        <v>980</v>
      </c>
      <c r="E28" s="1439" t="s">
        <v>981</v>
      </c>
      <c r="F28" s="1440"/>
      <c r="G28" s="1390"/>
      <c r="H28" s="1390"/>
      <c r="I28" s="1390"/>
      <c r="J28" s="1391"/>
      <c r="K28" s="3231"/>
      <c r="L28" s="1409" t="s">
        <v>962</v>
      </c>
      <c r="M28" s="1479">
        <f>ROUND($E$20*(1+M27),3)</f>
        <v>5.3999999999999999E-2</v>
      </c>
      <c r="N28" s="1479">
        <f>ROUND($E$20*(1+N27),3)</f>
        <v>5.1999999999999998E-2</v>
      </c>
      <c r="O28" s="1479">
        <f>ROUND($E$20*(1+O27),3)</f>
        <v>0.05</v>
      </c>
      <c r="P28" s="1480">
        <f>ROUND($E$20*(1+P27),3)</f>
        <v>4.8000000000000001E-2</v>
      </c>
      <c r="Q28" s="2076"/>
      <c r="R28" s="2642"/>
      <c r="S28" s="2642"/>
      <c r="T28" s="2642"/>
      <c r="U28" s="2642"/>
      <c r="V28" s="2642"/>
      <c r="W28" s="2076"/>
      <c r="X28" s="2076"/>
      <c r="Y28" s="2076"/>
      <c r="Z28" s="2076"/>
      <c r="AA28" s="2076"/>
      <c r="AB28" s="2076"/>
      <c r="AC28" s="2076"/>
      <c r="AD28" s="1412"/>
      <c r="AE28" s="1412"/>
      <c r="AF28" s="1412"/>
      <c r="AG28" s="1412"/>
    </row>
    <row r="29" spans="1:40" ht="14.25">
      <c r="A29" s="1441"/>
      <c r="B29" s="1442" t="s">
        <v>982</v>
      </c>
      <c r="C29" s="1045">
        <f>ROUND(C5*C18*C19*C20*C21*C24,0)</f>
        <v>7349</v>
      </c>
      <c r="D29" s="1443">
        <f>'数据-基础表'!K13</f>
        <v>71189.150999999998</v>
      </c>
      <c r="E29" s="1763">
        <f>ROUND(C29*D29/10000,0)</f>
        <v>52317</v>
      </c>
      <c r="F29" s="1444" t="s">
        <v>1687</v>
      </c>
      <c r="G29" s="1445"/>
      <c r="H29" s="1445"/>
      <c r="I29" s="1445"/>
      <c r="J29" s="1446"/>
      <c r="K29" s="3238"/>
      <c r="L29" s="3238"/>
      <c r="M29" s="3238"/>
      <c r="N29" s="3238"/>
      <c r="O29" s="3238"/>
      <c r="P29" s="2070"/>
      <c r="Q29" s="2076"/>
      <c r="R29" s="2076"/>
      <c r="S29" s="2076"/>
      <c r="T29" s="2076"/>
      <c r="U29" s="2076"/>
      <c r="V29" s="2076"/>
      <c r="W29" s="2642"/>
      <c r="X29" s="2642"/>
      <c r="Y29" s="2642"/>
      <c r="Z29" s="2642"/>
      <c r="AA29" s="2642"/>
      <c r="AB29" s="2076"/>
      <c r="AC29" s="2076"/>
      <c r="AD29" s="2076"/>
      <c r="AE29" s="2076"/>
      <c r="AF29" s="2076"/>
      <c r="AG29" s="2076"/>
      <c r="AH29" s="2076"/>
      <c r="AJ29" s="1351"/>
      <c r="AK29" s="1351"/>
      <c r="AL29" s="1351"/>
      <c r="AM29" s="1350"/>
      <c r="AN29" s="1350"/>
    </row>
    <row r="30" spans="1:40" ht="24.75" thickBot="1">
      <c r="A30" s="1447"/>
      <c r="B30" s="1448" t="s">
        <v>983</v>
      </c>
      <c r="C30" s="1038">
        <f>ROUND(IF(E2="工业",C29*M39,C29*M38),0)</f>
        <v>1837</v>
      </c>
      <c r="D30" s="1449"/>
      <c r="E30" s="1763">
        <f>ROUND(C30*D30/10000,0)</f>
        <v>0</v>
      </c>
      <c r="F30" s="1450" t="s">
        <v>984</v>
      </c>
      <c r="G30" s="1451"/>
      <c r="H30" s="1451"/>
      <c r="I30" s="1451"/>
      <c r="J30" s="1452"/>
      <c r="K30" s="3231"/>
      <c r="L30" s="3231"/>
      <c r="M30" s="3231"/>
      <c r="N30" s="3231"/>
      <c r="O30" s="3231"/>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985</v>
      </c>
      <c r="C31" s="1455" t="s">
        <v>986</v>
      </c>
      <c r="D31" s="1390"/>
      <c r="E31" s="1455"/>
      <c r="F31" s="1455"/>
      <c r="G31" s="1388" t="s">
        <v>984</v>
      </c>
      <c r="H31" s="1390"/>
      <c r="I31" s="1456"/>
      <c r="J31" s="1391"/>
      <c r="K31" s="3231"/>
      <c r="L31" s="3231"/>
      <c r="M31" s="3231"/>
      <c r="N31" s="3231"/>
      <c r="O31" s="3231"/>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979</v>
      </c>
      <c r="D32" s="1459" t="s">
        <v>980</v>
      </c>
      <c r="E32" s="1459" t="s">
        <v>981</v>
      </c>
      <c r="F32" s="1460" t="s">
        <v>987</v>
      </c>
      <c r="G32" s="1419" t="s">
        <v>979</v>
      </c>
      <c r="H32" s="1419" t="s">
        <v>980</v>
      </c>
      <c r="I32" s="1419" t="s">
        <v>981</v>
      </c>
      <c r="J32" s="1461"/>
      <c r="K32" s="3239"/>
      <c r="L32" s="3239"/>
      <c r="M32" s="3239"/>
      <c r="N32" s="3239"/>
      <c r="O32" s="3239"/>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619"/>
      <c r="B33" s="1463" t="s">
        <v>988</v>
      </c>
      <c r="C33" s="1045">
        <f>ROUND(D5*C19*C20*C24*F33,0)</f>
        <v>4551</v>
      </c>
      <c r="D33" s="1476"/>
      <c r="E33" s="1035">
        <f>ROUND(C33*D33/10000,0)</f>
        <v>0</v>
      </c>
      <c r="F33" s="1035">
        <f>SUMIF(修正!A45:A56,G2,修正!B45:B56)</f>
        <v>0.6</v>
      </c>
      <c r="G33" s="1035">
        <f t="shared" ref="G33" si="6">ROUND(IF(E2="工业",C33*$M$39,C33*$M$38),0)</f>
        <v>1138</v>
      </c>
      <c r="H33" s="1035">
        <f>D33</f>
        <v>0</v>
      </c>
      <c r="I33" s="1035">
        <f>ROUND(G33*H33/10000,0)</f>
        <v>0</v>
      </c>
      <c r="J33" s="3619" t="s">
        <v>2983</v>
      </c>
      <c r="K33" s="2842"/>
      <c r="L33" s="2842"/>
      <c r="M33" s="2842"/>
      <c r="N33" s="2842"/>
      <c r="O33" s="2842"/>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620"/>
      <c r="B34" s="1393" t="s">
        <v>989</v>
      </c>
      <c r="C34" s="1045">
        <f>ROUND(D5*C19*C20*C24*F34,0)</f>
        <v>2275</v>
      </c>
      <c r="D34" s="1476"/>
      <c r="E34" s="1035">
        <f t="shared" ref="E34:E39" si="7">ROUND(C34*D34/10000,0)</f>
        <v>0</v>
      </c>
      <c r="F34" s="1035">
        <f>SUMIF(修正!A45:A56,G2,修正!C45:C56)</f>
        <v>0.3</v>
      </c>
      <c r="G34" s="1035">
        <f>ROUND(IF(E2="工业",C34*$M$39,C34*$M$38),0)</f>
        <v>569</v>
      </c>
      <c r="H34" s="1035">
        <f t="shared" ref="H34:H39" si="8">D34</f>
        <v>0</v>
      </c>
      <c r="I34" s="1035">
        <f t="shared" ref="I34:I39" si="9">ROUND(G34*H34/10000,0)</f>
        <v>0</v>
      </c>
      <c r="J34" s="3620"/>
      <c r="K34" s="2842"/>
      <c r="L34" s="2842"/>
      <c r="M34" s="2842"/>
      <c r="N34" s="2842"/>
      <c r="O34" s="2842"/>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620"/>
      <c r="B35" s="1393" t="s">
        <v>990</v>
      </c>
      <c r="C35" s="1045">
        <f>ROUND(D5*C19*C20*C24*F35,0)</f>
        <v>1517</v>
      </c>
      <c r="D35" s="1476"/>
      <c r="E35" s="1035">
        <f t="shared" si="7"/>
        <v>0</v>
      </c>
      <c r="F35" s="1035">
        <f>SUMIF(修正!A45:A56,G2,修正!D45:D56)</f>
        <v>0.2</v>
      </c>
      <c r="G35" s="1035">
        <f>ROUND(IF(E2="工业",C35*$M$39,C35*$M$38),0)</f>
        <v>379</v>
      </c>
      <c r="H35" s="1035">
        <f t="shared" si="8"/>
        <v>0</v>
      </c>
      <c r="I35" s="1035">
        <f t="shared" si="9"/>
        <v>0</v>
      </c>
      <c r="J35" s="3620"/>
      <c r="K35" s="2842"/>
      <c r="L35" s="2842"/>
      <c r="M35" s="2842"/>
      <c r="N35" s="2842"/>
      <c r="O35" s="2842"/>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621"/>
      <c r="B36" s="1393" t="s">
        <v>991</v>
      </c>
      <c r="C36" s="1045">
        <f>ROUND(D5*C19*C20*C24*F36,0)</f>
        <v>1517</v>
      </c>
      <c r="D36" s="1476"/>
      <c r="E36" s="1035">
        <f t="shared" si="7"/>
        <v>0</v>
      </c>
      <c r="F36" s="1035">
        <f>SUMIF(修正!A45:A56,G2,修正!E45:E56)</f>
        <v>0.2</v>
      </c>
      <c r="G36" s="1035">
        <f>ROUND(IF(E2="工业",C36*$M$39,C36*$M$38),0)</f>
        <v>379</v>
      </c>
      <c r="H36" s="1035">
        <f t="shared" si="8"/>
        <v>0</v>
      </c>
      <c r="I36" s="1035">
        <f t="shared" si="9"/>
        <v>0</v>
      </c>
      <c r="J36" s="3621"/>
      <c r="K36" s="2842"/>
      <c r="L36" s="2842"/>
      <c r="M36" s="2842"/>
      <c r="N36" s="2842"/>
      <c r="O36" s="2842"/>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992</v>
      </c>
      <c r="C37" s="1035">
        <f>ROUND(D5*C19*C20*C24*F37,0)</f>
        <v>1517</v>
      </c>
      <c r="D37" s="1476"/>
      <c r="E37" s="1035">
        <f t="shared" si="7"/>
        <v>0</v>
      </c>
      <c r="F37" s="1045">
        <f>SUMIF(修正!A45:A56,G2,修正!F45:F56)</f>
        <v>0.2</v>
      </c>
      <c r="G37" s="1035">
        <f>ROUND(IF(E2="工业",C37*$M$39,C37*$M$38),0)</f>
        <v>379</v>
      </c>
      <c r="H37" s="1035">
        <f t="shared" si="8"/>
        <v>0</v>
      </c>
      <c r="I37" s="1035">
        <f t="shared" si="9"/>
        <v>0</v>
      </c>
      <c r="J37" s="1464"/>
      <c r="K37" s="2070"/>
      <c r="L37" s="1482" t="s">
        <v>1689</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993</v>
      </c>
      <c r="C38" s="1035">
        <f>ROUND(D5*C19*C41*C24*F38,0)</f>
        <v>0</v>
      </c>
      <c r="D38" s="1476"/>
      <c r="E38" s="1035">
        <f t="shared" si="7"/>
        <v>0</v>
      </c>
      <c r="F38" s="1045">
        <f>SUMIF(修正!A45:A56,G2,修正!G45:G56)</f>
        <v>0.2</v>
      </c>
      <c r="G38" s="1035">
        <f>ROUND(IF(E2="工业",C38*$M$39,C38*$M$38),0)</f>
        <v>0</v>
      </c>
      <c r="H38" s="1035">
        <f t="shared" si="8"/>
        <v>0</v>
      </c>
      <c r="I38" s="1035">
        <f t="shared" si="9"/>
        <v>0</v>
      </c>
      <c r="J38" s="1464"/>
      <c r="K38" s="2070"/>
      <c r="L38" s="1484" t="s">
        <v>1691</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994</v>
      </c>
      <c r="C39" s="1038">
        <f>ROUND(D5*C19*C41*C24*F39,0)</f>
        <v>0</v>
      </c>
      <c r="D39" s="1477"/>
      <c r="E39" s="1038">
        <f t="shared" si="7"/>
        <v>0</v>
      </c>
      <c r="F39" s="1047">
        <f>SUMIF(修正!A45:A56,G2,修正!H45:H56)</f>
        <v>0.15</v>
      </c>
      <c r="G39" s="1038">
        <f>ROUND(IF(E2="工业",C39*$M$39,C39*$M$38),0)</f>
        <v>0</v>
      </c>
      <c r="H39" s="1038">
        <f t="shared" si="8"/>
        <v>0</v>
      </c>
      <c r="I39" s="1038">
        <f t="shared" si="9"/>
        <v>0</v>
      </c>
      <c r="J39" s="1466"/>
      <c r="K39" s="2070"/>
      <c r="L39" s="1486" t="s">
        <v>1690</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2" t="s">
        <v>2939</v>
      </c>
      <c r="C41" s="828">
        <f>ROUND(POWER(1+E41,H41-G41)*(POWER(1+E41,G41)-1)/(POWER(1+E41,H41)-1),4)</f>
        <v>0</v>
      </c>
      <c r="D41" s="372" t="s">
        <v>2937</v>
      </c>
      <c r="E41" s="2831">
        <f>G20</f>
        <v>5.1999999999999998E-2</v>
      </c>
      <c r="F41" s="372" t="s">
        <v>2938</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995</v>
      </c>
      <c r="B44" s="2275"/>
      <c r="C44" s="2276"/>
      <c r="D44" s="2277"/>
      <c r="E44" s="2277"/>
      <c r="F44" s="2278"/>
      <c r="G44" s="1048"/>
      <c r="H44" s="2278"/>
      <c r="I44" s="1048"/>
      <c r="J44" s="1048"/>
      <c r="K44" s="1048"/>
      <c r="L44" s="1048"/>
      <c r="M44" s="1048"/>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hidden="1">
      <c r="A45" s="2279" t="s">
        <v>964</v>
      </c>
      <c r="B45" s="2280">
        <f>1+E47</f>
        <v>1.0314000000000001</v>
      </c>
      <c r="C45" s="2281"/>
      <c r="D45" s="2282"/>
      <c r="E45" s="2283"/>
      <c r="F45" s="2284"/>
      <c r="G45" s="2278"/>
      <c r="H45" s="2278"/>
      <c r="I45" s="1048"/>
      <c r="J45" s="1048"/>
      <c r="K45" s="1048"/>
      <c r="L45" s="1048"/>
      <c r="M45" s="1048"/>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hidden="1">
      <c r="A46" s="1049" t="s">
        <v>997</v>
      </c>
      <c r="B46" s="2263" t="s">
        <v>998</v>
      </c>
      <c r="C46" s="2285" t="s">
        <v>999</v>
      </c>
      <c r="D46" s="2286" t="s">
        <v>1000</v>
      </c>
      <c r="E46" s="2287" t="s">
        <v>1002</v>
      </c>
      <c r="F46" s="2288" t="s">
        <v>2234</v>
      </c>
      <c r="G46" s="2286" t="s">
        <v>1003</v>
      </c>
      <c r="H46" s="2269" t="s">
        <v>2398</v>
      </c>
      <c r="I46" s="2286" t="s">
        <v>1001</v>
      </c>
      <c r="J46" s="2289" t="s">
        <v>1004</v>
      </c>
      <c r="K46" s="2289" t="s">
        <v>1005</v>
      </c>
      <c r="L46" s="2289" t="s">
        <v>1006</v>
      </c>
      <c r="M46" s="2289" t="s">
        <v>1007</v>
      </c>
      <c r="N46" s="2289" t="s">
        <v>1008</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96" hidden="1">
      <c r="A47" s="1049" t="s">
        <v>1009</v>
      </c>
      <c r="B47" s="2266" t="str">
        <f>估价对象房地状况!C16</f>
        <v>估价对象位于通州区经济开发区西区南扩区，估价对象周边有世纪华联超市、福联美超市、美乐购超市、新世纪大卖场等商业服务设施，距离均在2公里范围外，且分布较为分散，综合考虑商业繁华度一般。</v>
      </c>
      <c r="C47" s="1037" t="s">
        <v>3017</v>
      </c>
      <c r="D47" s="2272">
        <f t="shared" ref="D47:D55" si="10">SUMIF($J$46:$N$46,C47,J47:N47)</f>
        <v>0</v>
      </c>
      <c r="E47" s="2291">
        <f>ROUND(SUM(D47:D55),4)</f>
        <v>3.1399999999999997E-2</v>
      </c>
      <c r="F47" s="2292" t="str">
        <f>IF(E2="商业",SUMIF(L1:L12,G2,N1:N12),"——")</f>
        <v>——</v>
      </c>
      <c r="G47" s="2270">
        <v>2.47E-2</v>
      </c>
      <c r="H47" s="2315" t="str">
        <f t="shared" ref="H47:H55" si="11">IFERROR(ROUNDDOWN(($F$47*I47/2),4),"——")</f>
        <v>——</v>
      </c>
      <c r="I47" s="2290">
        <v>0.33</v>
      </c>
      <c r="J47" s="2293">
        <f t="shared" ref="J47:J55" si="12">K47+$G47</f>
        <v>4.9399999999999999E-2</v>
      </c>
      <c r="K47" s="2293">
        <f t="shared" ref="K47:K55" si="13">$L47+$G47</f>
        <v>2.47E-2</v>
      </c>
      <c r="L47" s="2293">
        <v>0</v>
      </c>
      <c r="M47" s="2293">
        <f t="shared" ref="M47:N55" si="14">L47-$G47</f>
        <v>-2.47E-2</v>
      </c>
      <c r="N47" s="2293">
        <f t="shared" si="14"/>
        <v>-4.9399999999999999E-2</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48" hidden="1">
      <c r="A48" s="1049" t="s">
        <v>1010</v>
      </c>
      <c r="B48" s="2263" t="str">
        <f>估价对象房地状况!C18</f>
        <v>估价对象周边有通14路、通50路、通64路等公交线路；距地铁7号线（花庄站）约2公里，交通便捷度一般</v>
      </c>
      <c r="C48" s="1037" t="s">
        <v>3017</v>
      </c>
      <c r="D48" s="2272">
        <f t="shared" si="10"/>
        <v>0</v>
      </c>
      <c r="E48" s="2294"/>
      <c r="F48" s="2292"/>
      <c r="G48" s="2270">
        <v>1.8700000000000001E-2</v>
      </c>
      <c r="H48" s="2315" t="str">
        <f t="shared" si="11"/>
        <v>——</v>
      </c>
      <c r="I48" s="2290">
        <v>0.25</v>
      </c>
      <c r="J48" s="2293">
        <f t="shared" si="12"/>
        <v>3.7400000000000003E-2</v>
      </c>
      <c r="K48" s="2293">
        <f t="shared" si="13"/>
        <v>1.8700000000000001E-2</v>
      </c>
      <c r="L48" s="2293">
        <v>0</v>
      </c>
      <c r="M48" s="2293">
        <f t="shared" si="14"/>
        <v>-1.8700000000000001E-2</v>
      </c>
      <c r="N48" s="2293">
        <f t="shared" si="14"/>
        <v>-3.7400000000000003E-2</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hidden="1">
      <c r="A49" s="1049" t="s">
        <v>1011</v>
      </c>
      <c r="B49" s="2263">
        <f>估价对象房地状况!C19</f>
        <v>0</v>
      </c>
      <c r="C49" s="1037" t="s">
        <v>3017</v>
      </c>
      <c r="D49" s="2272">
        <f t="shared" si="10"/>
        <v>0</v>
      </c>
      <c r="E49" s="2294"/>
      <c r="F49" s="2292"/>
      <c r="G49" s="2270">
        <v>3.7000000000000002E-3</v>
      </c>
      <c r="H49" s="2315" t="str">
        <f t="shared" si="11"/>
        <v>——</v>
      </c>
      <c r="I49" s="2290">
        <v>0.05</v>
      </c>
      <c r="J49" s="2293">
        <f t="shared" si="12"/>
        <v>7.4000000000000003E-3</v>
      </c>
      <c r="K49" s="2293">
        <f t="shared" si="13"/>
        <v>3.7000000000000002E-3</v>
      </c>
      <c r="L49" s="2293">
        <v>0</v>
      </c>
      <c r="M49" s="2293">
        <f t="shared" si="14"/>
        <v>-3.7000000000000002E-3</v>
      </c>
      <c r="N49" s="2293">
        <f t="shared" si="14"/>
        <v>-7.4000000000000003E-3</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hidden="1">
      <c r="A50" s="1049" t="s">
        <v>1012</v>
      </c>
      <c r="B50" s="2784" t="s">
        <v>2895</v>
      </c>
      <c r="C50" s="1037" t="s">
        <v>3018</v>
      </c>
      <c r="D50" s="2272">
        <f t="shared" si="10"/>
        <v>3.7000000000000002E-3</v>
      </c>
      <c r="E50" s="2294"/>
      <c r="F50" s="2292"/>
      <c r="G50" s="2270">
        <v>3.7000000000000002E-3</v>
      </c>
      <c r="H50" s="2315" t="str">
        <f t="shared" si="11"/>
        <v>——</v>
      </c>
      <c r="I50" s="2290">
        <v>0.05</v>
      </c>
      <c r="J50" s="2293">
        <f t="shared" si="12"/>
        <v>7.4000000000000003E-3</v>
      </c>
      <c r="K50" s="2293">
        <f t="shared" si="13"/>
        <v>3.7000000000000002E-3</v>
      </c>
      <c r="L50" s="2293">
        <v>0</v>
      </c>
      <c r="M50" s="2293">
        <f t="shared" si="14"/>
        <v>-3.7000000000000002E-3</v>
      </c>
      <c r="N50" s="2293">
        <f t="shared" si="14"/>
        <v>-7.4000000000000003E-3</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hidden="1">
      <c r="A51" s="1049" t="s">
        <v>1013</v>
      </c>
      <c r="B51" s="2263" t="str">
        <f>估价对象房地状况!C24</f>
        <v>城市主干道——张凤路</v>
      </c>
      <c r="C51" s="1037" t="s">
        <v>3018</v>
      </c>
      <c r="D51" s="2272">
        <f t="shared" si="10"/>
        <v>6.0000000000000001E-3</v>
      </c>
      <c r="E51" s="2294"/>
      <c r="F51" s="2292"/>
      <c r="G51" s="2270">
        <v>6.0000000000000001E-3</v>
      </c>
      <c r="H51" s="2315" t="str">
        <f t="shared" si="11"/>
        <v>——</v>
      </c>
      <c r="I51" s="2290">
        <v>0.08</v>
      </c>
      <c r="J51" s="2293">
        <f t="shared" si="12"/>
        <v>1.2E-2</v>
      </c>
      <c r="K51" s="2293">
        <f t="shared" si="13"/>
        <v>6.0000000000000001E-3</v>
      </c>
      <c r="L51" s="2293">
        <v>0</v>
      </c>
      <c r="M51" s="2293">
        <f t="shared" si="14"/>
        <v>-6.0000000000000001E-3</v>
      </c>
      <c r="N51" s="2293">
        <f t="shared" si="14"/>
        <v>-1.2E-2</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hidden="1">
      <c r="A52" s="1049" t="s">
        <v>1014</v>
      </c>
      <c r="B52" s="2783" t="s">
        <v>2894</v>
      </c>
      <c r="C52" s="1037" t="s">
        <v>3018</v>
      </c>
      <c r="D52" s="2272">
        <f t="shared" si="10"/>
        <v>2.2000000000000001E-3</v>
      </c>
      <c r="E52" s="2294"/>
      <c r="F52" s="2292"/>
      <c r="G52" s="2270">
        <v>2.2000000000000001E-3</v>
      </c>
      <c r="H52" s="2315" t="str">
        <f t="shared" si="11"/>
        <v>——</v>
      </c>
      <c r="I52" s="2290">
        <v>0.03</v>
      </c>
      <c r="J52" s="2293">
        <f t="shared" si="12"/>
        <v>4.4000000000000003E-3</v>
      </c>
      <c r="K52" s="2293">
        <f t="shared" si="13"/>
        <v>2.2000000000000001E-3</v>
      </c>
      <c r="L52" s="2293">
        <v>0</v>
      </c>
      <c r="M52" s="2293">
        <f t="shared" si="14"/>
        <v>-2.2000000000000001E-3</v>
      </c>
      <c r="N52" s="2293">
        <f t="shared" si="14"/>
        <v>-4.4000000000000003E-3</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108" hidden="1">
      <c r="A53" s="2295" t="s">
        <v>1015</v>
      </c>
      <c r="B53" s="2264" t="str">
        <f>估价对象房地状况!C21</f>
        <v>估价对象所在区域有张家湾中心幼儿园、张家湾中心小学、张家湾中学等教育资源，有中国建设银行、北京市农村商业银行等金融机构，有世纪华联超市等商业服务设施，有北京运通中医医院等医疗设施，公共服务设施齐备度一般</v>
      </c>
      <c r="C53" s="1037" t="s">
        <v>3017</v>
      </c>
      <c r="D53" s="2272">
        <f t="shared" si="10"/>
        <v>0</v>
      </c>
      <c r="E53" s="2294"/>
      <c r="F53" s="2292"/>
      <c r="G53" s="2270">
        <v>3.7000000000000002E-3</v>
      </c>
      <c r="H53" s="2315" t="str">
        <f t="shared" si="11"/>
        <v>——</v>
      </c>
      <c r="I53" s="2290">
        <v>0.05</v>
      </c>
      <c r="J53" s="2293">
        <f t="shared" si="12"/>
        <v>7.4000000000000003E-3</v>
      </c>
      <c r="K53" s="2293">
        <f t="shared" si="13"/>
        <v>3.7000000000000002E-3</v>
      </c>
      <c r="L53" s="2293">
        <v>0</v>
      </c>
      <c r="M53" s="2293">
        <f t="shared" si="14"/>
        <v>-3.7000000000000002E-3</v>
      </c>
      <c r="N53" s="2293">
        <f t="shared" si="14"/>
        <v>-7.4000000000000003E-3</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hidden="1">
      <c r="A54" s="2295" t="s">
        <v>1016</v>
      </c>
      <c r="B54" s="2263" t="str">
        <f>估价对象房地状况!C22</f>
        <v>七通</v>
      </c>
      <c r="C54" s="1037" t="s">
        <v>3044</v>
      </c>
      <c r="D54" s="2272">
        <f t="shared" si="10"/>
        <v>1.4999999999999999E-2</v>
      </c>
      <c r="E54" s="2294"/>
      <c r="F54" s="2292"/>
      <c r="G54" s="2270">
        <v>7.4999999999999997E-3</v>
      </c>
      <c r="H54" s="2315" t="str">
        <f t="shared" si="11"/>
        <v>——</v>
      </c>
      <c r="I54" s="2290">
        <v>0.1</v>
      </c>
      <c r="J54" s="2293">
        <f t="shared" si="12"/>
        <v>1.4999999999999999E-2</v>
      </c>
      <c r="K54" s="2293">
        <f t="shared" si="13"/>
        <v>7.4999999999999997E-3</v>
      </c>
      <c r="L54" s="2293">
        <v>0</v>
      </c>
      <c r="M54" s="2293">
        <f t="shared" si="14"/>
        <v>-7.4999999999999997E-3</v>
      </c>
      <c r="N54" s="2293">
        <f t="shared" si="14"/>
        <v>-1.4999999999999999E-2</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48.75" hidden="1" thickBot="1">
      <c r="A55" s="2296" t="s">
        <v>1017</v>
      </c>
      <c r="B55" s="2267" t="str">
        <f>估价对象房地状况!C20</f>
        <v>区域自然环境：通州大运河森林公园、凉水河；人文环境：北京环球度假区；综合评价环境状况较好</v>
      </c>
      <c r="C55" s="1037" t="s">
        <v>3018</v>
      </c>
      <c r="D55" s="2272">
        <f t="shared" si="10"/>
        <v>4.4999999999999997E-3</v>
      </c>
      <c r="E55" s="2298"/>
      <c r="F55" s="2292"/>
      <c r="G55" s="2270">
        <v>4.4999999999999997E-3</v>
      </c>
      <c r="H55" s="2315" t="str">
        <f t="shared" si="11"/>
        <v>——</v>
      </c>
      <c r="I55" s="2297">
        <v>0.06</v>
      </c>
      <c r="J55" s="2293">
        <f t="shared" si="12"/>
        <v>8.9999999999999993E-3</v>
      </c>
      <c r="K55" s="2293">
        <f t="shared" si="13"/>
        <v>4.4999999999999997E-3</v>
      </c>
      <c r="L55" s="2293">
        <v>0</v>
      </c>
      <c r="M55" s="2293">
        <f t="shared" si="14"/>
        <v>-4.4999999999999997E-3</v>
      </c>
      <c r="N55" s="2293">
        <f t="shared" si="14"/>
        <v>-8.9999999999999993E-3</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967</v>
      </c>
      <c r="B56" s="2280">
        <f>1+E58</f>
        <v>1.0329999999999999</v>
      </c>
      <c r="C56" s="2299"/>
      <c r="D56" s="2282"/>
      <c r="E56" s="2283"/>
      <c r="F56" s="2284"/>
      <c r="G56" s="2278"/>
      <c r="H56" s="2278"/>
      <c r="I56" s="2278"/>
      <c r="J56" s="1048"/>
      <c r="K56" s="1048"/>
      <c r="L56" s="1048"/>
      <c r="M56" s="1048"/>
      <c r="N56" s="1048"/>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49" t="s">
        <v>997</v>
      </c>
      <c r="B57" s="2263"/>
      <c r="C57" s="2285" t="s">
        <v>999</v>
      </c>
      <c r="D57" s="2286" t="s">
        <v>1000</v>
      </c>
      <c r="E57" s="2287" t="s">
        <v>1002</v>
      </c>
      <c r="F57" s="2288" t="s">
        <v>2234</v>
      </c>
      <c r="G57" s="2286" t="s">
        <v>1003</v>
      </c>
      <c r="H57" s="2269" t="s">
        <v>2398</v>
      </c>
      <c r="I57" s="2286" t="s">
        <v>1001</v>
      </c>
      <c r="J57" s="2289" t="s">
        <v>1004</v>
      </c>
      <c r="K57" s="2289" t="s">
        <v>1005</v>
      </c>
      <c r="L57" s="2289" t="s">
        <v>1006</v>
      </c>
      <c r="M57" s="2289" t="s">
        <v>1007</v>
      </c>
      <c r="N57" s="2289" t="s">
        <v>1008</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48">
      <c r="A58" s="1049" t="s">
        <v>1019</v>
      </c>
      <c r="B58" s="2266" t="str">
        <f>估价对象房地状况!C17</f>
        <v>估价对象周边有科技大厦、森工大厦、方和正元工业园等办公楼项目，但分布较为分散，办公集聚程度一般。</v>
      </c>
      <c r="C58" s="1037" t="s">
        <v>3017</v>
      </c>
      <c r="D58" s="2272">
        <f t="shared" ref="D58:D66" si="15">SUMIF($J$57:$N$57,C58,J58:N58)</f>
        <v>0</v>
      </c>
      <c r="E58" s="2291">
        <f>ROUND(SUM(D58:D66),4)</f>
        <v>3.3000000000000002E-2</v>
      </c>
      <c r="F58" s="2292">
        <f>IF(E2="办公",SUMIF(L1:L12,G2,N1:N12),"——")</f>
        <v>0.15</v>
      </c>
      <c r="G58" s="2270">
        <v>1.9E-2</v>
      </c>
      <c r="H58" s="2315">
        <f>IFERROR(ROUNDDOWN($F$58*I58/2,4),"——")</f>
        <v>1.7999999999999999E-2</v>
      </c>
      <c r="I58" s="2290">
        <v>0.24</v>
      </c>
      <c r="J58" s="2293">
        <f t="shared" ref="J58:J66" si="16">K58+$G58</f>
        <v>3.7999999999999999E-2</v>
      </c>
      <c r="K58" s="2293">
        <f t="shared" ref="K58:K66" si="17">$L58+$G58</f>
        <v>1.9E-2</v>
      </c>
      <c r="L58" s="2293">
        <v>0</v>
      </c>
      <c r="M58" s="2293">
        <f t="shared" ref="M58:N66" si="18">L58-$G58</f>
        <v>-1.9E-2</v>
      </c>
      <c r="N58" s="2293">
        <f t="shared" si="18"/>
        <v>-3.7999999999999999E-2</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48">
      <c r="A59" s="1049" t="s">
        <v>1010</v>
      </c>
      <c r="B59" s="2263" t="str">
        <f>估价对象房地状况!C18</f>
        <v>估价对象周边有通14路、通50路、通64路等公交线路；距地铁7号线（花庄站）约2公里，交通便捷度一般</v>
      </c>
      <c r="C59" s="1037" t="s">
        <v>3017</v>
      </c>
      <c r="D59" s="2272">
        <f t="shared" si="15"/>
        <v>0</v>
      </c>
      <c r="E59" s="2294"/>
      <c r="F59" s="2292"/>
      <c r="G59" s="2270">
        <v>2.2499999999999999E-2</v>
      </c>
      <c r="H59" s="2271">
        <f t="shared" ref="H59:H66" si="19">IFERROR($F$58*I59/2,"——")</f>
        <v>2.2499999999999999E-2</v>
      </c>
      <c r="I59" s="2290">
        <v>0.3</v>
      </c>
      <c r="J59" s="2293">
        <f t="shared" si="16"/>
        <v>4.4999999999999998E-2</v>
      </c>
      <c r="K59" s="2293">
        <f t="shared" si="17"/>
        <v>2.2499999999999999E-2</v>
      </c>
      <c r="L59" s="2293">
        <v>0</v>
      </c>
      <c r="M59" s="2293">
        <f t="shared" si="18"/>
        <v>-2.2499999999999999E-2</v>
      </c>
      <c r="N59" s="2293">
        <f t="shared" si="18"/>
        <v>-4.4999999999999998E-2</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49" t="s">
        <v>1011</v>
      </c>
      <c r="B60" s="2263">
        <f>估价对象房地状况!C19</f>
        <v>0</v>
      </c>
      <c r="C60" s="1037" t="s">
        <v>3017</v>
      </c>
      <c r="D60" s="2272">
        <f t="shared" si="15"/>
        <v>0</v>
      </c>
      <c r="E60" s="2294"/>
      <c r="F60" s="2292"/>
      <c r="G60" s="2270">
        <v>6.0000000000000001E-3</v>
      </c>
      <c r="H60" s="2271">
        <f t="shared" si="19"/>
        <v>6.0000000000000001E-3</v>
      </c>
      <c r="I60" s="2290">
        <v>0.08</v>
      </c>
      <c r="J60" s="2293">
        <f t="shared" si="16"/>
        <v>1.2E-2</v>
      </c>
      <c r="K60" s="2293">
        <f t="shared" si="17"/>
        <v>6.0000000000000001E-3</v>
      </c>
      <c r="L60" s="2293">
        <v>0</v>
      </c>
      <c r="M60" s="2293">
        <f t="shared" si="18"/>
        <v>-6.0000000000000001E-3</v>
      </c>
      <c r="N60" s="2293">
        <f t="shared" si="18"/>
        <v>-1.2E-2</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49" t="s">
        <v>1012</v>
      </c>
      <c r="B61" s="2784" t="s">
        <v>2895</v>
      </c>
      <c r="C61" s="1037" t="s">
        <v>3018</v>
      </c>
      <c r="D61" s="2272">
        <f t="shared" si="15"/>
        <v>3.0000000000000001E-3</v>
      </c>
      <c r="E61" s="2294"/>
      <c r="F61" s="2292"/>
      <c r="G61" s="2270">
        <v>3.0000000000000001E-3</v>
      </c>
      <c r="H61" s="2271">
        <f t="shared" si="19"/>
        <v>3.0000000000000001E-3</v>
      </c>
      <c r="I61" s="2290">
        <v>0.04</v>
      </c>
      <c r="J61" s="2293">
        <f t="shared" si="16"/>
        <v>6.0000000000000001E-3</v>
      </c>
      <c r="K61" s="2293">
        <f t="shared" si="17"/>
        <v>3.0000000000000001E-3</v>
      </c>
      <c r="L61" s="2293">
        <v>0</v>
      </c>
      <c r="M61" s="2293">
        <f t="shared" si="18"/>
        <v>-3.0000000000000001E-3</v>
      </c>
      <c r="N61" s="2293">
        <f t="shared" si="18"/>
        <v>-6.0000000000000001E-3</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49" t="s">
        <v>1013</v>
      </c>
      <c r="B62" s="2263" t="str">
        <f>估价对象房地状况!C24</f>
        <v>城市主干道——张凤路</v>
      </c>
      <c r="C62" s="1037" t="s">
        <v>3018</v>
      </c>
      <c r="D62" s="2272">
        <f t="shared" si="15"/>
        <v>3.7499999999999999E-3</v>
      </c>
      <c r="E62" s="2294"/>
      <c r="F62" s="2292"/>
      <c r="G62" s="3368">
        <v>3.7499999999999999E-3</v>
      </c>
      <c r="H62" s="2271">
        <f t="shared" si="19"/>
        <v>3.7499999999999999E-3</v>
      </c>
      <c r="I62" s="2290">
        <v>0.05</v>
      </c>
      <c r="J62" s="2293">
        <f t="shared" si="16"/>
        <v>7.4999999999999997E-3</v>
      </c>
      <c r="K62" s="2293">
        <f t="shared" si="17"/>
        <v>3.7499999999999999E-3</v>
      </c>
      <c r="L62" s="2293">
        <v>0</v>
      </c>
      <c r="M62" s="2293">
        <f t="shared" si="18"/>
        <v>-3.7499999999999999E-3</v>
      </c>
      <c r="N62" s="2293">
        <f t="shared" si="18"/>
        <v>-7.4999999999999997E-3</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49" t="s">
        <v>1014</v>
      </c>
      <c r="B63" s="2783" t="s">
        <v>2894</v>
      </c>
      <c r="C63" s="1037" t="s">
        <v>3018</v>
      </c>
      <c r="D63" s="2272">
        <f t="shared" si="15"/>
        <v>3.7499999999999999E-3</v>
      </c>
      <c r="E63" s="2294"/>
      <c r="F63" s="2292"/>
      <c r="G63" s="3368">
        <v>3.7499999999999999E-3</v>
      </c>
      <c r="H63" s="2271">
        <f t="shared" si="19"/>
        <v>3.7499999999999999E-3</v>
      </c>
      <c r="I63" s="2290">
        <v>0.05</v>
      </c>
      <c r="J63" s="2293">
        <f t="shared" si="16"/>
        <v>7.4999999999999997E-3</v>
      </c>
      <c r="K63" s="2293">
        <f t="shared" si="17"/>
        <v>3.7499999999999999E-3</v>
      </c>
      <c r="L63" s="2293">
        <v>0</v>
      </c>
      <c r="M63" s="2293">
        <f t="shared" si="18"/>
        <v>-3.7499999999999999E-3</v>
      </c>
      <c r="N63" s="2293">
        <f t="shared" si="18"/>
        <v>-7.4999999999999997E-3</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108">
      <c r="A64" s="1049" t="s">
        <v>1015</v>
      </c>
      <c r="B64" s="2264" t="str">
        <f>估价对象房地状况!C21</f>
        <v>估价对象所在区域有张家湾中心幼儿园、张家湾中心小学、张家湾中学等教育资源，有中国建设银行、北京市农村商业银行等金融机构，有世纪华联超市等商业服务设施，有北京运通中医医院等医疗设施，公共服务设施齐备度一般</v>
      </c>
      <c r="C64" s="1037" t="s">
        <v>3017</v>
      </c>
      <c r="D64" s="2272">
        <f t="shared" si="15"/>
        <v>0</v>
      </c>
      <c r="E64" s="2294"/>
      <c r="F64" s="2292"/>
      <c r="G64" s="2270">
        <v>4.4999999999999997E-3</v>
      </c>
      <c r="H64" s="2271">
        <f t="shared" si="19"/>
        <v>4.4999999999999997E-3</v>
      </c>
      <c r="I64" s="2290">
        <v>0.06</v>
      </c>
      <c r="J64" s="2293">
        <f t="shared" si="16"/>
        <v>8.9999999999999993E-3</v>
      </c>
      <c r="K64" s="2293">
        <f t="shared" si="17"/>
        <v>4.4999999999999997E-3</v>
      </c>
      <c r="L64" s="2293">
        <v>0</v>
      </c>
      <c r="M64" s="2293">
        <f t="shared" si="18"/>
        <v>-4.4999999999999997E-3</v>
      </c>
      <c r="N64" s="2293">
        <f t="shared" si="18"/>
        <v>-8.9999999999999993E-3</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49" t="s">
        <v>1016</v>
      </c>
      <c r="B65" s="2264" t="str">
        <f>估价对象房地状况!C22</f>
        <v>七通</v>
      </c>
      <c r="C65" s="1037" t="s">
        <v>3044</v>
      </c>
      <c r="D65" s="2272">
        <f t="shared" si="15"/>
        <v>1.7999999999999999E-2</v>
      </c>
      <c r="E65" s="2294"/>
      <c r="F65" s="2292"/>
      <c r="G65" s="2270">
        <v>8.9999999999999993E-3</v>
      </c>
      <c r="H65" s="2271">
        <f t="shared" si="19"/>
        <v>8.9999999999999993E-3</v>
      </c>
      <c r="I65" s="2290">
        <v>0.12</v>
      </c>
      <c r="J65" s="2293">
        <f t="shared" si="16"/>
        <v>1.7999999999999999E-2</v>
      </c>
      <c r="K65" s="2293">
        <f t="shared" si="17"/>
        <v>8.9999999999999993E-3</v>
      </c>
      <c r="L65" s="2293">
        <v>0</v>
      </c>
      <c r="M65" s="2293">
        <f t="shared" si="18"/>
        <v>-8.9999999999999993E-3</v>
      </c>
      <c r="N65" s="2293">
        <f t="shared" si="18"/>
        <v>-1.7999999999999999E-2</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48.75" thickBot="1">
      <c r="A66" s="2296" t="s">
        <v>1017</v>
      </c>
      <c r="B66" s="2268" t="str">
        <f>估价对象房地状况!C20</f>
        <v>区域自然环境：通州大运河森林公园、凉水河；人文环境：北京环球度假区；综合评价环境状况较好</v>
      </c>
      <c r="C66" s="1037" t="s">
        <v>3018</v>
      </c>
      <c r="D66" s="2272">
        <f t="shared" si="15"/>
        <v>4.4999999999999997E-3</v>
      </c>
      <c r="E66" s="2298"/>
      <c r="F66" s="2292"/>
      <c r="G66" s="2270">
        <v>4.4999999999999997E-3</v>
      </c>
      <c r="H66" s="2271">
        <f t="shared" si="19"/>
        <v>4.4999999999999997E-3</v>
      </c>
      <c r="I66" s="2297">
        <v>0.06</v>
      </c>
      <c r="J66" s="2293">
        <f t="shared" si="16"/>
        <v>8.9999999999999993E-3</v>
      </c>
      <c r="K66" s="2293">
        <f t="shared" si="17"/>
        <v>4.4999999999999997E-3</v>
      </c>
      <c r="L66" s="2293">
        <v>0</v>
      </c>
      <c r="M66" s="2293">
        <f t="shared" si="18"/>
        <v>-4.4999999999999997E-3</v>
      </c>
      <c r="N66" s="2293">
        <f t="shared" si="18"/>
        <v>-8.9999999999999993E-3</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891</v>
      </c>
      <c r="B67" s="2280">
        <f>1+E69</f>
        <v>1</v>
      </c>
      <c r="C67" s="2299"/>
      <c r="D67" s="2282"/>
      <c r="E67" s="2283"/>
      <c r="F67" s="2284"/>
      <c r="G67" s="2278"/>
      <c r="H67" s="2278"/>
      <c r="I67" s="2278"/>
      <c r="J67" s="1048"/>
      <c r="K67" s="1048"/>
      <c r="L67" s="1048"/>
      <c r="M67" s="1048"/>
      <c r="N67" s="1048"/>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49" t="s">
        <v>997</v>
      </c>
      <c r="B68" s="2263"/>
      <c r="C68" s="2285" t="s">
        <v>999</v>
      </c>
      <c r="D68" s="2286" t="s">
        <v>1000</v>
      </c>
      <c r="E68" s="2287" t="s">
        <v>1002</v>
      </c>
      <c r="F68" s="2288" t="s">
        <v>2234</v>
      </c>
      <c r="G68" s="2286" t="s">
        <v>1003</v>
      </c>
      <c r="H68" s="2269" t="s">
        <v>2398</v>
      </c>
      <c r="I68" s="2286" t="s">
        <v>1001</v>
      </c>
      <c r="J68" s="2289" t="s">
        <v>1004</v>
      </c>
      <c r="K68" s="2289" t="s">
        <v>1005</v>
      </c>
      <c r="L68" s="2289" t="s">
        <v>1006</v>
      </c>
      <c r="M68" s="2289" t="s">
        <v>1007</v>
      </c>
      <c r="N68" s="2289" t="s">
        <v>1008</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72">
      <c r="A69" s="1049" t="s">
        <v>1021</v>
      </c>
      <c r="B69" s="2266" t="str">
        <f>估价对象房地状况!C15</f>
        <v>估价对象位于北京市通州区经济开发区西区南扩区，周边有芳草园小区、环湖小镇、月亮湾小镇、太玉园等住宅小区，入住率较好，居住社区成熟度一般。</v>
      </c>
      <c r="C69" s="1141"/>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48">
      <c r="A70" s="1049" t="s">
        <v>1010</v>
      </c>
      <c r="B70" s="2263" t="str">
        <f>估价对象房地状况!C18</f>
        <v>估价对象周边有通14路、通50路、通64路等公交线路；距地铁7号线（花庄站）约2公里，交通便捷度一般</v>
      </c>
      <c r="C70" s="1141"/>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49" t="s">
        <v>1011</v>
      </c>
      <c r="B71" s="2263">
        <f>估价对象房地状况!C19</f>
        <v>0</v>
      </c>
      <c r="C71" s="1141"/>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49" t="s">
        <v>1023</v>
      </c>
      <c r="B72" s="2263" t="str">
        <f>估价对象房地状况!C24</f>
        <v>城市主干道——张凤路</v>
      </c>
      <c r="C72" s="1141"/>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108">
      <c r="A73" s="1049" t="s">
        <v>1015</v>
      </c>
      <c r="B73" s="2264" t="str">
        <f>估价对象房地状况!C21</f>
        <v>估价对象所在区域有张家湾中心幼儿园、张家湾中心小学、张家湾中学等教育资源，有中国建设银行、北京市农村商业银行等金融机构，有世纪华联超市等商业服务设施，有北京运通中医医院等医疗设施，公共服务设施齐备度一般</v>
      </c>
      <c r="C73" s="1141"/>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49" t="s">
        <v>1016</v>
      </c>
      <c r="B74" s="2264" t="str">
        <f>估价对象房地状况!C22</f>
        <v>七通</v>
      </c>
      <c r="C74" s="1141"/>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49" t="s">
        <v>1014</v>
      </c>
      <c r="B75" s="2783" t="s">
        <v>2894</v>
      </c>
      <c r="C75" s="1141"/>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48">
      <c r="A76" s="1049" t="s">
        <v>1017</v>
      </c>
      <c r="B76" s="2266" t="str">
        <f>估价对象房地状况!C20</f>
        <v>区域自然环境：通州大运河森林公园、凉水河；人文环境：北京环球度假区；综合评价环境状况较好</v>
      </c>
      <c r="C76" s="1141"/>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1024</v>
      </c>
      <c r="B77" s="1764"/>
      <c r="C77" s="1141"/>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974</v>
      </c>
      <c r="B78" s="2280">
        <f>1+E80</f>
        <v>1</v>
      </c>
      <c r="C78" s="2299"/>
      <c r="D78" s="2282"/>
      <c r="E78" s="2283"/>
      <c r="F78" s="2284"/>
      <c r="G78" s="2278"/>
      <c r="H78" s="2278"/>
      <c r="I78" s="2278"/>
      <c r="J78" s="1048"/>
      <c r="K78" s="1048"/>
      <c r="L78" s="1048"/>
      <c r="M78" s="1048"/>
      <c r="N78" s="1048"/>
      <c r="AC78" s="1353"/>
      <c r="AD78" s="1352"/>
      <c r="AJ78" s="1351"/>
      <c r="AN78" s="1352"/>
    </row>
    <row r="79" spans="1:40" ht="24">
      <c r="A79" s="1049" t="s">
        <v>997</v>
      </c>
      <c r="B79" s="2263"/>
      <c r="C79" s="2285" t="s">
        <v>999</v>
      </c>
      <c r="D79" s="2286" t="s">
        <v>1000</v>
      </c>
      <c r="E79" s="2287" t="s">
        <v>1002</v>
      </c>
      <c r="F79" s="2288" t="s">
        <v>2234</v>
      </c>
      <c r="G79" s="2286" t="s">
        <v>1003</v>
      </c>
      <c r="H79" s="2269" t="s">
        <v>2398</v>
      </c>
      <c r="I79" s="2286" t="s">
        <v>1001</v>
      </c>
      <c r="J79" s="2289" t="s">
        <v>1004</v>
      </c>
      <c r="K79" s="2289" t="s">
        <v>1005</v>
      </c>
      <c r="L79" s="2289" t="s">
        <v>1006</v>
      </c>
      <c r="M79" s="2289" t="s">
        <v>1007</v>
      </c>
      <c r="N79" s="2289" t="s">
        <v>1008</v>
      </c>
      <c r="AC79" s="1353"/>
      <c r="AD79" s="1352"/>
      <c r="AJ79" s="1351"/>
      <c r="AN79" s="1352"/>
    </row>
    <row r="80" spans="1:40" ht="36">
      <c r="A80" s="1049" t="s">
        <v>1026</v>
      </c>
      <c r="B80" s="2263" t="str">
        <f>估价对象房地状况!G15</f>
        <v>估价对象位于XX开发区，园区建设成熟度XX，产业集聚程度XX</v>
      </c>
      <c r="C80" s="1037"/>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49" t="s">
        <v>1010</v>
      </c>
      <c r="B81" s="2263" t="str">
        <f>估价对象房地状况!G16</f>
        <v>估价对象周边道路状况、公共交通通达情况、停车便捷程度，综合评价交通便捷度较好</v>
      </c>
      <c r="C81" s="1037"/>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49" t="s">
        <v>1011</v>
      </c>
      <c r="B82" s="2263">
        <f>估价对象房地状况!G17</f>
        <v>0</v>
      </c>
      <c r="C82" s="1037"/>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49" t="s">
        <v>1023</v>
      </c>
      <c r="B83" s="2263">
        <f>估价对象房地状况!G22</f>
        <v>0</v>
      </c>
      <c r="C83" s="1037"/>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49" t="s">
        <v>1015</v>
      </c>
      <c r="B84" s="2264" t="str">
        <f>估价对象房地状况!G19</f>
        <v>估价对象所在区域公共配套设施齐备情况</v>
      </c>
      <c r="C84" s="1037"/>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49" t="s">
        <v>1016</v>
      </c>
      <c r="B85" s="2264" t="str">
        <f>估价对象房地状况!G20</f>
        <v>估价对象所在区域基础设施水平</v>
      </c>
      <c r="C85" s="1037"/>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49" t="s">
        <v>1014</v>
      </c>
      <c r="B86" s="2783" t="s">
        <v>2894</v>
      </c>
      <c r="C86" s="1037"/>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1027</v>
      </c>
      <c r="B87" s="2265" t="str">
        <f>估价对象房地状况!G18</f>
        <v>该园区内是否有污染型企业，绿化情况，卫生条件，整体环境状况判断</v>
      </c>
      <c r="C87" s="1037"/>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617" t="s">
        <v>1622</v>
      </c>
      <c r="B90" s="3617"/>
      <c r="C90" s="3617"/>
      <c r="D90" s="3617"/>
      <c r="E90" s="3617"/>
      <c r="F90" s="3617"/>
      <c r="G90" s="3617"/>
      <c r="H90" s="3617"/>
      <c r="I90" s="3617"/>
      <c r="J90" s="3617"/>
      <c r="K90" s="3291"/>
      <c r="L90" s="3291"/>
      <c r="M90" s="3291"/>
      <c r="N90" s="3291"/>
    </row>
    <row r="91" spans="1:40">
      <c r="A91" s="3618" t="s">
        <v>887</v>
      </c>
      <c r="B91" s="3618" t="s">
        <v>1623</v>
      </c>
      <c r="C91" s="1122" t="s">
        <v>1624</v>
      </c>
      <c r="D91" s="1123"/>
      <c r="E91" s="1123"/>
      <c r="F91" s="1123"/>
      <c r="G91" s="1123"/>
      <c r="H91" s="1123"/>
      <c r="I91" s="1123"/>
      <c r="J91" s="1124"/>
      <c r="K91" s="1116"/>
      <c r="L91" s="1116"/>
      <c r="M91" s="1116"/>
      <c r="N91" s="1116"/>
    </row>
    <row r="92" spans="1:40">
      <c r="A92" s="3618"/>
      <c r="B92" s="3618"/>
      <c r="C92" s="3292" t="s">
        <v>873</v>
      </c>
      <c r="D92" s="3292" t="s">
        <v>874</v>
      </c>
      <c r="E92" s="3292" t="s">
        <v>875</v>
      </c>
      <c r="F92" s="3292" t="s">
        <v>876</v>
      </c>
      <c r="G92" s="3292" t="s">
        <v>877</v>
      </c>
      <c r="H92" s="3292" t="s">
        <v>878</v>
      </c>
      <c r="I92" s="3292" t="s">
        <v>879</v>
      </c>
      <c r="J92" s="3292" t="s">
        <v>880</v>
      </c>
      <c r="K92" s="3292" t="s">
        <v>881</v>
      </c>
      <c r="L92" s="3292" t="s">
        <v>882</v>
      </c>
      <c r="M92" s="3292" t="s">
        <v>883</v>
      </c>
      <c r="N92" s="3292" t="s">
        <v>884</v>
      </c>
    </row>
    <row r="93" spans="1:40">
      <c r="A93" s="3625" t="s">
        <v>2738</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626"/>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626"/>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626"/>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626"/>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626"/>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626"/>
      <c r="B99" s="1125" t="s">
        <v>1625</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627"/>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625" t="s">
        <v>1626</v>
      </c>
      <c r="B101" s="1129" t="s">
        <v>872</v>
      </c>
      <c r="C101" s="1130">
        <f>$G$3</f>
        <v>2.2000000000000002</v>
      </c>
      <c r="D101" s="1130">
        <f t="shared" ref="D101:N101" si="31">$G$3</f>
        <v>2.2000000000000002</v>
      </c>
      <c r="E101" s="1130">
        <f t="shared" si="31"/>
        <v>2.2000000000000002</v>
      </c>
      <c r="F101" s="1130">
        <f t="shared" si="31"/>
        <v>2.2000000000000002</v>
      </c>
      <c r="G101" s="1130">
        <f t="shared" si="31"/>
        <v>2.2000000000000002</v>
      </c>
      <c r="H101" s="1130">
        <f t="shared" si="31"/>
        <v>2.2000000000000002</v>
      </c>
      <c r="I101" s="1130">
        <f t="shared" si="31"/>
        <v>2.2000000000000002</v>
      </c>
      <c r="J101" s="1130">
        <f t="shared" si="31"/>
        <v>2.2000000000000002</v>
      </c>
      <c r="K101" s="1130">
        <f t="shared" si="31"/>
        <v>2.2000000000000002</v>
      </c>
      <c r="L101" s="1130">
        <f t="shared" si="31"/>
        <v>2.2000000000000002</v>
      </c>
      <c r="M101" s="1130">
        <f t="shared" si="31"/>
        <v>2.2000000000000002</v>
      </c>
      <c r="N101" s="1130">
        <f t="shared" si="31"/>
        <v>2.2000000000000002</v>
      </c>
    </row>
    <row r="102" spans="1:14">
      <c r="A102" s="3626"/>
      <c r="B102" s="1125">
        <v>1</v>
      </c>
      <c r="C102" s="1126">
        <f>1.9362/C101</f>
        <v>0.88009090909090903</v>
      </c>
      <c r="D102" s="1126">
        <f>1.9362/D101</f>
        <v>0.88009090909090903</v>
      </c>
      <c r="E102" s="1126">
        <f>1.8629/E101</f>
        <v>0.84677272727272723</v>
      </c>
      <c r="F102" s="1126">
        <f>1.8629/F101</f>
        <v>0.84677272727272723</v>
      </c>
      <c r="G102" s="1126">
        <f>1.8629/G101</f>
        <v>0.84677272727272723</v>
      </c>
      <c r="H102" s="1126">
        <f>1.8629/H101</f>
        <v>0.84677272727272723</v>
      </c>
      <c r="I102" s="1126">
        <f>1.8629/I101</f>
        <v>0.84677272727272723</v>
      </c>
      <c r="J102" s="1126">
        <f>1.942/J101</f>
        <v>0.88272727272727258</v>
      </c>
      <c r="K102" s="1126">
        <f>1.942/K101</f>
        <v>0.88272727272727258</v>
      </c>
      <c r="L102" s="1126">
        <f>1.942/L101</f>
        <v>0.88272727272727258</v>
      </c>
      <c r="M102" s="1126">
        <f>1.942/M101</f>
        <v>0.88272727272727258</v>
      </c>
      <c r="N102" s="1126">
        <f>1.942/N101</f>
        <v>0.88272727272727258</v>
      </c>
    </row>
    <row r="103" spans="1:14">
      <c r="A103" s="3626"/>
      <c r="B103" s="1125">
        <v>2</v>
      </c>
      <c r="C103" s="1126">
        <f>1.4198/C101</f>
        <v>0.64536363636363625</v>
      </c>
      <c r="D103" s="1126">
        <f>1.4198/D101</f>
        <v>0.64536363636363625</v>
      </c>
      <c r="E103" s="1126">
        <f>1.3372/E101</f>
        <v>0.6078181818181817</v>
      </c>
      <c r="F103" s="1126">
        <f>1.3372/F101</f>
        <v>0.6078181818181817</v>
      </c>
      <c r="G103" s="1126">
        <f>1.3372/G101</f>
        <v>0.6078181818181817</v>
      </c>
      <c r="H103" s="1126">
        <f>1.3372/H101</f>
        <v>0.6078181818181817</v>
      </c>
      <c r="I103" s="1126">
        <f>1.3372/I101</f>
        <v>0.6078181818181817</v>
      </c>
      <c r="J103" s="1126">
        <f>1.2799/J101</f>
        <v>0.58177272727272722</v>
      </c>
      <c r="K103" s="1126">
        <f>1.2799/K101</f>
        <v>0.58177272727272722</v>
      </c>
      <c r="L103" s="1126">
        <f>1.2799/L101</f>
        <v>0.58177272727272722</v>
      </c>
      <c r="M103" s="1126">
        <f>1.2799/M101</f>
        <v>0.58177272727272722</v>
      </c>
      <c r="N103" s="1126">
        <f>1.2799/N101</f>
        <v>0.58177272727272722</v>
      </c>
    </row>
    <row r="104" spans="1:14">
      <c r="A104" s="3626"/>
      <c r="B104" s="1125">
        <v>3</v>
      </c>
      <c r="C104" s="1126">
        <f>1.1594/C101</f>
        <v>0.52699999999999991</v>
      </c>
      <c r="D104" s="1126">
        <f>1.1594/D101</f>
        <v>0.52699999999999991</v>
      </c>
      <c r="E104" s="1126">
        <f>1.0788/E101</f>
        <v>0.49036363636363633</v>
      </c>
      <c r="F104" s="1126">
        <f>1.0788/F101</f>
        <v>0.49036363636363633</v>
      </c>
      <c r="G104" s="1126">
        <f>1.0788/G101</f>
        <v>0.49036363636363633</v>
      </c>
      <c r="H104" s="1126">
        <f>1.0788/H101</f>
        <v>0.49036363636363633</v>
      </c>
      <c r="I104" s="1126">
        <f>1.0788/I101</f>
        <v>0.49036363636363633</v>
      </c>
      <c r="J104" s="1126">
        <f>1.0072/J101</f>
        <v>0.45781818181818185</v>
      </c>
      <c r="K104" s="1126">
        <f>1.0072/K101</f>
        <v>0.45781818181818185</v>
      </c>
      <c r="L104" s="1126">
        <f>1.0072/L101</f>
        <v>0.45781818181818185</v>
      </c>
      <c r="M104" s="1126">
        <f>1.0072/M101</f>
        <v>0.45781818181818185</v>
      </c>
      <c r="N104" s="1126">
        <f>1.0072/N101</f>
        <v>0.45781818181818185</v>
      </c>
    </row>
    <row r="105" spans="1:14">
      <c r="A105" s="3626"/>
      <c r="B105" s="1125">
        <v>4</v>
      </c>
      <c r="C105" s="1126">
        <f>0.9622/C101</f>
        <v>0.43736363636363634</v>
      </c>
      <c r="D105" s="1126">
        <f>0.9622/D101</f>
        <v>0.43736363636363634</v>
      </c>
      <c r="E105" s="1126">
        <f>0.8656/E101</f>
        <v>0.39345454545454545</v>
      </c>
      <c r="F105" s="1126">
        <f>0.8656/F101</f>
        <v>0.39345454545454545</v>
      </c>
      <c r="G105" s="1126">
        <f>0.8656/G101</f>
        <v>0.39345454545454545</v>
      </c>
      <c r="H105" s="1126">
        <f>0.8656/H101</f>
        <v>0.39345454545454545</v>
      </c>
      <c r="I105" s="1126">
        <f>0.8656/I101</f>
        <v>0.39345454545454545</v>
      </c>
      <c r="J105" s="1126">
        <f>0.7525/J101</f>
        <v>0.34204545454545449</v>
      </c>
      <c r="K105" s="1126">
        <f>0.7525/K101</f>
        <v>0.34204545454545449</v>
      </c>
      <c r="L105" s="1126">
        <f>0.7525/L101</f>
        <v>0.34204545454545449</v>
      </c>
      <c r="M105" s="1126">
        <f>0.7525/M101</f>
        <v>0.34204545454545449</v>
      </c>
      <c r="N105" s="1126">
        <f>0.7525/N101</f>
        <v>0.34204545454545449</v>
      </c>
    </row>
    <row r="106" spans="1:14">
      <c r="A106" s="3626"/>
      <c r="B106" s="1125">
        <v>5</v>
      </c>
      <c r="C106" s="1126">
        <f>0.8417/C101</f>
        <v>0.38259090909090904</v>
      </c>
      <c r="D106" s="1126">
        <f>0.8417/D101</f>
        <v>0.38259090909090904</v>
      </c>
      <c r="E106" s="1126">
        <f>0.7371/E101</f>
        <v>0.33504545454545454</v>
      </c>
      <c r="F106" s="1126">
        <f>0.7371/F101</f>
        <v>0.33504545454545454</v>
      </c>
      <c r="G106" s="1126">
        <f>0.7371/G101</f>
        <v>0.33504545454545454</v>
      </c>
      <c r="H106" s="1126">
        <f>0.7371/H101</f>
        <v>0.33504545454545454</v>
      </c>
      <c r="I106" s="1126">
        <f>0.7371/I101</f>
        <v>0.33504545454545454</v>
      </c>
      <c r="J106" s="1126">
        <f>0.5659/J101</f>
        <v>0.25722727272727269</v>
      </c>
      <c r="K106" s="1126">
        <f>0.5659/K101</f>
        <v>0.25722727272727269</v>
      </c>
      <c r="L106" s="1126">
        <f>0.5659/L101</f>
        <v>0.25722727272727269</v>
      </c>
      <c r="M106" s="1126">
        <f>0.5659/M101</f>
        <v>0.25722727272727269</v>
      </c>
      <c r="N106" s="1126">
        <f>0.5659/N101</f>
        <v>0.25722727272727269</v>
      </c>
    </row>
    <row r="107" spans="1:14">
      <c r="A107" s="3626"/>
      <c r="B107" s="1125">
        <v>6</v>
      </c>
      <c r="C107" s="1126">
        <f>0.7608/C101</f>
        <v>0.3458181818181818</v>
      </c>
      <c r="D107" s="1126">
        <f>0.7608/D101</f>
        <v>0.3458181818181818</v>
      </c>
      <c r="E107" s="1126">
        <f>0.6482/E101</f>
        <v>0.29463636363636359</v>
      </c>
      <c r="F107" s="1126">
        <f>0.6482/F101</f>
        <v>0.29463636363636359</v>
      </c>
      <c r="G107" s="1126">
        <f>0.6482/G101</f>
        <v>0.29463636363636359</v>
      </c>
      <c r="H107" s="1126">
        <f>0.6482/H101</f>
        <v>0.29463636363636359</v>
      </c>
      <c r="I107" s="1126">
        <f>0.6482/I101</f>
        <v>0.29463636363636359</v>
      </c>
      <c r="J107" s="1126">
        <f>0.4525/J101</f>
        <v>0.20568181818181816</v>
      </c>
      <c r="K107" s="1126">
        <f>0.4525/K101</f>
        <v>0.20568181818181816</v>
      </c>
      <c r="L107" s="1126">
        <f>0.4525/L101</f>
        <v>0.20568181818181816</v>
      </c>
      <c r="M107" s="1126">
        <f>0.4525/M101</f>
        <v>0.20568181818181816</v>
      </c>
      <c r="N107" s="1126">
        <f>0.4525/N101</f>
        <v>0.20568181818181816</v>
      </c>
    </row>
    <row r="108" spans="1:14">
      <c r="A108" s="3626"/>
      <c r="B108" s="3628" t="s">
        <v>1627</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627"/>
      <c r="B109" s="3629"/>
      <c r="C109" s="1128">
        <f>(-0.163*(C108^2)-0.59*C108+7617)*(10^(-4))/C101</f>
        <v>0.34553854545454543</v>
      </c>
      <c r="D109" s="1128">
        <f>(-0.163*(D108^2)-0.59*D108+7617)*(10^(-4))/D101</f>
        <v>0.34553854545454543</v>
      </c>
      <c r="E109" s="1128">
        <f>(-0.161*(E108^2)-7.509*E108+6533)*(10^(-4))/E101</f>
        <v>0.29375563636363633</v>
      </c>
      <c r="F109" s="1128">
        <f>(-0.161*(F108^2)-7.509*F108+6533)*(10^(-4))/F101</f>
        <v>0.29375563636363633</v>
      </c>
      <c r="G109" s="1128">
        <f>(-0.161*(G108^2)-7.509*G108+6533)*(10^(-4))/G101</f>
        <v>0.29375563636363633</v>
      </c>
      <c r="H109" s="1128">
        <f>(-0.161*(H108^2)-7.509*H108+6533)*(10^(-4))/H101</f>
        <v>0.29375563636363633</v>
      </c>
      <c r="I109" s="1128">
        <f>(-0.161*(I108^2)-7.509*I108+6533)*(10^(-4))/I101</f>
        <v>0.29375563636363633</v>
      </c>
      <c r="J109" s="1128">
        <f>(-0.214*(J108^2)-21.991*J108+4665)*(10^(-4))/J101</f>
        <v>0.20342618181818181</v>
      </c>
      <c r="K109" s="1128">
        <f>(-0.214*(K108^2)-21.991*K108+4665)*(10^(-4))/K101</f>
        <v>0.20342618181818181</v>
      </c>
      <c r="L109" s="1128">
        <f>(-0.214*(L108^2)-21.991*L108+4665)*(10^(-4))/L101</f>
        <v>0.20342618181818181</v>
      </c>
      <c r="M109" s="1128">
        <f>(-0.214*(M108^2)-21.991*M108+4665)*(10^(-4))/M101</f>
        <v>0.20342618181818181</v>
      </c>
      <c r="N109" s="1128">
        <f>(-0.214*(N108^2)-21.991*N108+4665)*(10^(-4))/N101</f>
        <v>0.20342618181818181</v>
      </c>
    </row>
    <row r="110" spans="1:14">
      <c r="A110" s="3611" t="s">
        <v>1628</v>
      </c>
      <c r="B110" s="3611"/>
      <c r="C110" s="3611"/>
      <c r="D110" s="3611"/>
      <c r="E110" s="3611"/>
      <c r="F110" s="3611"/>
      <c r="G110" s="3611"/>
      <c r="H110" s="3611"/>
      <c r="I110" s="3611"/>
      <c r="J110" s="3611"/>
      <c r="K110" s="3290"/>
      <c r="L110" s="3290"/>
      <c r="M110" s="3290"/>
      <c r="N110" s="3290"/>
    </row>
    <row r="112" spans="1:14" ht="12.75" thickBot="1"/>
    <row r="113" spans="1:13" ht="25.5" thickBot="1">
      <c r="A113" s="1003" t="s">
        <v>885</v>
      </c>
      <c r="B113" s="2306">
        <f>G3</f>
        <v>2.2000000000000002</v>
      </c>
      <c r="C113" s="1004" t="s">
        <v>886</v>
      </c>
      <c r="D113" s="1005">
        <f>SUMPRODUCT((A115:A118=F113)*(B114:M114=H113)*B115:M118)</f>
        <v>0.73860000000000003</v>
      </c>
      <c r="E113" s="1006" t="s">
        <v>887</v>
      </c>
      <c r="F113" s="1007" t="str">
        <f>E2</f>
        <v>办公</v>
      </c>
      <c r="G113" s="1006" t="s">
        <v>888</v>
      </c>
      <c r="H113" s="1007" t="str">
        <f>G2</f>
        <v>八级</v>
      </c>
      <c r="I113" s="1006"/>
      <c r="J113" s="998"/>
      <c r="K113" s="998"/>
      <c r="L113" s="998"/>
      <c r="M113" s="998"/>
    </row>
    <row r="114" spans="1:13" ht="12.75">
      <c r="A114" s="1010"/>
      <c r="B114" s="1011" t="s">
        <v>873</v>
      </c>
      <c r="C114" s="1011" t="s">
        <v>874</v>
      </c>
      <c r="D114" s="1011" t="s">
        <v>875</v>
      </c>
      <c r="E114" s="1012" t="s">
        <v>876</v>
      </c>
      <c r="F114" s="1012" t="s">
        <v>877</v>
      </c>
      <c r="G114" s="1012" t="s">
        <v>878</v>
      </c>
      <c r="H114" s="1013" t="s">
        <v>879</v>
      </c>
      <c r="I114" s="1013" t="s">
        <v>880</v>
      </c>
      <c r="J114" s="1014" t="s">
        <v>881</v>
      </c>
      <c r="K114" s="1014" t="s">
        <v>882</v>
      </c>
      <c r="L114" s="1014" t="s">
        <v>883</v>
      </c>
      <c r="M114" s="1015" t="s">
        <v>884</v>
      </c>
    </row>
    <row r="115" spans="1:13" ht="12.75">
      <c r="A115" s="1016" t="s">
        <v>889</v>
      </c>
      <c r="B115" s="1017">
        <f>ROUND(0.9335-0.0094*B113,4)</f>
        <v>0.91279999999999994</v>
      </c>
      <c r="C115" s="1017">
        <f>B115</f>
        <v>0.91279999999999994</v>
      </c>
      <c r="D115" s="1017">
        <f>ROUND(0.8331-0.0109*B113,4)</f>
        <v>0.80910000000000004</v>
      </c>
      <c r="E115" s="1017">
        <f>D115</f>
        <v>0.80910000000000004</v>
      </c>
      <c r="F115" s="1017">
        <f>E115</f>
        <v>0.80910000000000004</v>
      </c>
      <c r="G115" s="1017">
        <f>F115</f>
        <v>0.80910000000000004</v>
      </c>
      <c r="H115" s="1017">
        <f>G115</f>
        <v>0.80910000000000004</v>
      </c>
      <c r="I115" s="1017">
        <f>ROUND(0.689-0.0155*B113,4)</f>
        <v>0.65490000000000004</v>
      </c>
      <c r="J115" s="1017">
        <f t="shared" ref="J115:M118" si="33">I115</f>
        <v>0.65490000000000004</v>
      </c>
      <c r="K115" s="1017">
        <f t="shared" si="33"/>
        <v>0.65490000000000004</v>
      </c>
      <c r="L115" s="1017">
        <f t="shared" si="33"/>
        <v>0.65490000000000004</v>
      </c>
      <c r="M115" s="1018">
        <f t="shared" si="33"/>
        <v>0.65490000000000004</v>
      </c>
    </row>
    <row r="116" spans="1:13" ht="12.75">
      <c r="A116" s="1016" t="s">
        <v>890</v>
      </c>
      <c r="B116" s="1017">
        <f>ROUND(0.949-0.012*B113,4)</f>
        <v>0.92259999999999998</v>
      </c>
      <c r="C116" s="1017">
        <f>B116</f>
        <v>0.92259999999999998</v>
      </c>
      <c r="D116" s="1017">
        <f>ROUND(0.8567-0.013*B113,4)</f>
        <v>0.82809999999999995</v>
      </c>
      <c r="E116" s="1017">
        <f t="shared" ref="E116:H117" si="34">D116</f>
        <v>0.82809999999999995</v>
      </c>
      <c r="F116" s="1017">
        <f t="shared" si="34"/>
        <v>0.82809999999999995</v>
      </c>
      <c r="G116" s="1017">
        <f t="shared" si="34"/>
        <v>0.82809999999999995</v>
      </c>
      <c r="H116" s="1017">
        <f t="shared" si="34"/>
        <v>0.82809999999999995</v>
      </c>
      <c r="I116" s="1017">
        <f>ROUND(0.7694-0.014*B113,4)</f>
        <v>0.73860000000000003</v>
      </c>
      <c r="J116" s="1017">
        <f t="shared" si="33"/>
        <v>0.73860000000000003</v>
      </c>
      <c r="K116" s="1017">
        <f t="shared" si="33"/>
        <v>0.73860000000000003</v>
      </c>
      <c r="L116" s="1017">
        <f t="shared" si="33"/>
        <v>0.73860000000000003</v>
      </c>
      <c r="M116" s="1018">
        <f t="shared" si="33"/>
        <v>0.73860000000000003</v>
      </c>
    </row>
    <row r="117" spans="1:13" ht="12.75">
      <c r="A117" s="1019" t="s">
        <v>891</v>
      </c>
      <c r="B117" s="1017">
        <f>ROUND(0.8808-0.006*B113,4)</f>
        <v>0.86760000000000004</v>
      </c>
      <c r="C117" s="1017">
        <f>B117</f>
        <v>0.86760000000000004</v>
      </c>
      <c r="D117" s="1017">
        <f>ROUND(0.8748-0.008*B113,4)</f>
        <v>0.85719999999999996</v>
      </c>
      <c r="E117" s="1017">
        <f t="shared" si="34"/>
        <v>0.85719999999999996</v>
      </c>
      <c r="F117" s="1017">
        <f t="shared" si="34"/>
        <v>0.85719999999999996</v>
      </c>
      <c r="G117" s="1017">
        <f t="shared" si="34"/>
        <v>0.85719999999999996</v>
      </c>
      <c r="H117" s="1017">
        <f t="shared" si="34"/>
        <v>0.85719999999999996</v>
      </c>
      <c r="I117" s="1017">
        <f>ROUND(0.7412-0.0095*B113,4)</f>
        <v>0.72030000000000005</v>
      </c>
      <c r="J117" s="1017">
        <f t="shared" si="33"/>
        <v>0.72030000000000005</v>
      </c>
      <c r="K117" s="1017">
        <f t="shared" si="33"/>
        <v>0.72030000000000005</v>
      </c>
      <c r="L117" s="1017">
        <f t="shared" si="33"/>
        <v>0.72030000000000005</v>
      </c>
      <c r="M117" s="1018">
        <f t="shared" si="33"/>
        <v>0.72030000000000005</v>
      </c>
    </row>
    <row r="118" spans="1:13" ht="13.5" thickBot="1">
      <c r="A118" s="1020" t="s">
        <v>892</v>
      </c>
      <c r="B118" s="1021">
        <f>ROUND(0.7275-0.01*B113,4)</f>
        <v>0.70550000000000002</v>
      </c>
      <c r="C118" s="1021">
        <f>B118</f>
        <v>0.70550000000000002</v>
      </c>
      <c r="D118" s="1021">
        <f>ROUND(0.7043-0.012*B113,4)</f>
        <v>0.67789999999999995</v>
      </c>
      <c r="E118" s="1021">
        <f>D118</f>
        <v>0.67789999999999995</v>
      </c>
      <c r="F118" s="1021">
        <f>E118</f>
        <v>0.67789999999999995</v>
      </c>
      <c r="G118" s="1021">
        <f>ROUND(0.6299-0.0122*B113,4)</f>
        <v>0.60309999999999997</v>
      </c>
      <c r="H118" s="1021">
        <f>G118</f>
        <v>0.60309999999999997</v>
      </c>
      <c r="I118" s="1021">
        <f>ROUND(0.5667-0.0136*B113,4)</f>
        <v>0.53680000000000005</v>
      </c>
      <c r="J118" s="1021">
        <f t="shared" si="33"/>
        <v>0.53680000000000005</v>
      </c>
      <c r="K118" s="1021">
        <f t="shared" si="33"/>
        <v>0.53680000000000005</v>
      </c>
      <c r="L118" s="1021">
        <f t="shared" si="33"/>
        <v>0.53680000000000005</v>
      </c>
      <c r="M118" s="1022">
        <f t="shared" si="33"/>
        <v>0.53680000000000005</v>
      </c>
    </row>
  </sheetData>
  <sheetProtection algorithmName="SHA-512" hashValue="Sr/S3Nas0SSpXp8ib3BGecpIHrid/1JLuWGiupdubJGhRuAfcHonMrASjpmw8z/yejDG+KZ35dMDDX3ufSGqew==" saltValue="4T6fbPPL5iwev8v5W6TRqw==" spinCount="100000"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8" type="noConversion"/>
  <conditionalFormatting sqref="F47">
    <cfRule type="cellIs" dxfId="139" priority="5" stopIfTrue="1" operator="notEqual">
      <formula>"——"</formula>
    </cfRule>
  </conditionalFormatting>
  <conditionalFormatting sqref="F58">
    <cfRule type="cellIs" dxfId="138" priority="4" stopIfTrue="1" operator="notEqual">
      <formula>"——"</formula>
    </cfRule>
  </conditionalFormatting>
  <conditionalFormatting sqref="F69">
    <cfRule type="cellIs" dxfId="137" priority="3" stopIfTrue="1" operator="notEqual">
      <formula>"——"</formula>
    </cfRule>
  </conditionalFormatting>
  <conditionalFormatting sqref="F80">
    <cfRule type="cellIs" dxfId="136" priority="2" stopIfTrue="1" operator="notEqual">
      <formula>"——"</formula>
    </cfRule>
  </conditionalFormatting>
  <conditionalFormatting sqref="H58:H66 H47:H55 H69:H77 H80:H87">
    <cfRule type="cellIs" dxfId="135" priority="1" operator="notEqual">
      <formula>"——"</formula>
    </cfRule>
  </conditionalFormatting>
  <dataValidations count="11">
    <dataValidation type="list" allowBlank="1" showInputMessage="1" showErrorMessage="1" sqref="H16:O16" xr:uid="{00000000-0002-0000-1A00-000000000000}">
      <formula1>七通一平</formula1>
    </dataValidation>
    <dataValidation type="list" allowBlank="1" showInputMessage="1" showErrorMessage="1" sqref="C69:C77 C80:C87 C47:C55 C58:C66" xr:uid="{00000000-0002-0000-1A00-000001000000}">
      <formula1>五等判定</formula1>
    </dataValidation>
    <dataValidation type="list" allowBlank="1" showInputMessage="1" showErrorMessage="1" sqref="E3" xr:uid="{00000000-0002-0000-1A00-000002000000}">
      <formula1>二级分类</formula1>
    </dataValidation>
    <dataValidation type="list" allowBlank="1" showInputMessage="1" showErrorMessage="1" sqref="C8" xr:uid="{00000000-0002-0000-1A00-000003000000}">
      <formula1>商业街名称</formula1>
    </dataValidation>
    <dataValidation type="list" allowBlank="1" showInputMessage="1" showErrorMessage="1" sqref="F3" xr:uid="{00000000-0002-0000-1A00-000004000000}">
      <formula1>"宗地容积率,估价对象容积率,自定义容积率"</formula1>
    </dataValidation>
    <dataValidation type="list" allowBlank="1" showInputMessage="1" showErrorMessage="1" sqref="H19" xr:uid="{00000000-0002-0000-1A00-000005000000}">
      <formula1>"地价指数,季度增幅（自定义）,按公示增长率计算"</formula1>
    </dataValidation>
    <dataValidation type="list" allowBlank="1" showInputMessage="1" showErrorMessage="1" sqref="F14" xr:uid="{00000000-0002-0000-1A00-000006000000}">
      <formula1>"500米范围内,500-1000米,1000米以外"</formula1>
    </dataValidation>
    <dataValidation type="list" allowBlank="1" showInputMessage="1" showErrorMessage="1" sqref="C14:E14" xr:uid="{00000000-0002-0000-1A00-000007000000}">
      <formula1>"有,无"</formula1>
    </dataValidation>
    <dataValidation type="list" allowBlank="1" showInputMessage="1" showErrorMessage="1" sqref="B21" xr:uid="{00000000-0002-0000-1A00-000008000000}">
      <formula1>"容积率修正,楼层修正"</formula1>
    </dataValidation>
    <dataValidation type="list" allowBlank="1" showInputMessage="1" showErrorMessage="1" sqref="F17" xr:uid="{00000000-0002-0000-1A00-000009000000}">
      <formula1>"与级别开发程度一致,与级别开发程度不一致"</formula1>
    </dataValidation>
    <dataValidation type="list" allowBlank="1" showInputMessage="1" showErrorMessage="1" sqref="E2" xr:uid="{00000000-0002-0000-1A00-00000A000000}">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18"/>
  <sheetViews>
    <sheetView topLeftCell="A7" zoomScale="80" zoomScaleNormal="80" workbookViewId="0">
      <selection activeCell="K13" sqref="K13"/>
    </sheetView>
  </sheetViews>
  <sheetFormatPr defaultColWidth="9" defaultRowHeight="12.75"/>
  <cols>
    <col min="1" max="1" width="9" style="2885"/>
    <col min="2" max="6" width="9" style="2885" customWidth="1"/>
    <col min="7" max="7" width="9" style="2923" customWidth="1"/>
    <col min="8" max="12" width="9" style="2885" customWidth="1"/>
    <col min="13" max="13" width="2.25" style="2885" customWidth="1"/>
    <col min="14" max="14" width="9" style="2923" customWidth="1"/>
    <col min="15" max="17" width="9" style="2885" customWidth="1"/>
    <col min="18" max="18" width="2.375" style="2885" customWidth="1"/>
    <col min="19" max="19" width="7.125" style="2923" customWidth="1"/>
    <col min="20" max="22" width="7.125" style="2885" customWidth="1"/>
    <col min="23" max="23" width="24" style="2885" customWidth="1"/>
    <col min="24" max="25" width="9" style="2885"/>
    <col min="26" max="27" width="11.625" style="2885" customWidth="1"/>
    <col min="28" max="28" width="9" style="2885"/>
    <col min="29" max="29" width="2" style="2885" customWidth="1"/>
    <col min="30" max="16384" width="9" style="2885"/>
  </cols>
  <sheetData>
    <row r="1" spans="1:34" s="2863" customFormat="1">
      <c r="B1" s="3639" t="s">
        <v>2551</v>
      </c>
      <c r="C1" s="3639"/>
      <c r="D1" s="3639"/>
      <c r="E1" s="3639"/>
      <c r="F1" s="3639"/>
      <c r="G1" s="3638" t="s">
        <v>2552</v>
      </c>
      <c r="H1" s="3638"/>
      <c r="I1" s="3638"/>
      <c r="J1" s="3638"/>
      <c r="K1" s="3638"/>
      <c r="L1" s="3638"/>
      <c r="N1" s="3638" t="s">
        <v>2553</v>
      </c>
      <c r="O1" s="3638"/>
      <c r="P1" s="3638"/>
      <c r="Q1" s="3638"/>
      <c r="S1" s="3638" t="s">
        <v>2554</v>
      </c>
      <c r="T1" s="3638"/>
      <c r="U1" s="3638"/>
      <c r="V1" s="3638"/>
      <c r="X1" s="3637" t="s">
        <v>2614</v>
      </c>
      <c r="Y1" s="3638"/>
      <c r="Z1" s="3638"/>
      <c r="AA1" s="3638"/>
      <c r="AB1" s="3638"/>
      <c r="AD1" s="3637" t="s">
        <v>2618</v>
      </c>
      <c r="AE1" s="3638"/>
      <c r="AF1" s="3638"/>
      <c r="AG1" s="3638"/>
      <c r="AH1" s="3638"/>
    </row>
    <row r="2" spans="1:34" s="2864" customFormat="1" ht="14.25" thickBot="1">
      <c r="B2" s="2865" t="s">
        <v>2555</v>
      </c>
      <c r="C2" s="2865" t="s">
        <v>2616</v>
      </c>
      <c r="D2" s="2866" t="s">
        <v>1632</v>
      </c>
      <c r="E2" s="2866" t="s">
        <v>1933</v>
      </c>
      <c r="F2" s="2865" t="s">
        <v>2617</v>
      </c>
      <c r="G2" s="2867"/>
      <c r="I2" s="2865" t="s">
        <v>2912</v>
      </c>
      <c r="J2" s="2866" t="s">
        <v>2914</v>
      </c>
      <c r="K2" s="2866" t="s">
        <v>2915</v>
      </c>
      <c r="L2" s="2865" t="s">
        <v>2916</v>
      </c>
      <c r="N2" s="2865" t="s">
        <v>2555</v>
      </c>
      <c r="O2" s="2866" t="s">
        <v>2913</v>
      </c>
      <c r="P2" s="2866" t="s">
        <v>1933</v>
      </c>
      <c r="Q2" s="2865" t="s">
        <v>2617</v>
      </c>
      <c r="S2" s="2865" t="s">
        <v>2555</v>
      </c>
      <c r="T2" s="2866" t="s">
        <v>2913</v>
      </c>
      <c r="U2" s="2866" t="s">
        <v>1933</v>
      </c>
      <c r="V2" s="2865" t="s">
        <v>2617</v>
      </c>
      <c r="X2" s="2865" t="s">
        <v>2555</v>
      </c>
      <c r="Y2" s="2865" t="s">
        <v>2616</v>
      </c>
      <c r="Z2" s="2866" t="s">
        <v>1632</v>
      </c>
      <c r="AA2" s="2866" t="s">
        <v>1933</v>
      </c>
      <c r="AB2" s="2865" t="s">
        <v>2617</v>
      </c>
      <c r="AD2" s="2865" t="s">
        <v>2555</v>
      </c>
      <c r="AE2" s="2865" t="s">
        <v>2616</v>
      </c>
      <c r="AF2" s="2866" t="s">
        <v>1632</v>
      </c>
      <c r="AG2" s="2866" t="s">
        <v>1933</v>
      </c>
      <c r="AH2" s="2865" t="s">
        <v>2617</v>
      </c>
    </row>
    <row r="3" spans="1:34" s="2874" customFormat="1" ht="14.25">
      <c r="A3" s="2868" t="s">
        <v>2923</v>
      </c>
      <c r="B3" s="2869"/>
      <c r="C3" s="2869"/>
      <c r="D3" s="2870"/>
      <c r="E3" s="2870"/>
      <c r="F3" s="2869"/>
      <c r="G3" s="2871"/>
      <c r="H3" s="2872"/>
      <c r="I3" s="2873">
        <f>ROUND(AVERAGE($I4:$I35),2)</f>
        <v>1.7</v>
      </c>
      <c r="J3" s="2873">
        <f>ROUND(AVERAGE($J4:$J35),2)</f>
        <v>1.07</v>
      </c>
      <c r="K3" s="2873">
        <f>ROUND(AVERAGE($K4:$K35),2)</f>
        <v>1.87</v>
      </c>
      <c r="L3" s="2873">
        <f>ROUND(AVERAGE($L4:$L35),2)</f>
        <v>1.24</v>
      </c>
      <c r="N3" s="2871"/>
      <c r="S3" s="2871"/>
      <c r="W3" s="2875"/>
      <c r="X3" s="2876">
        <f>ROUND(SUMPRODUCT(PRODUCT(1+N3:N$34)),4)</f>
        <v>1.6338999999999999</v>
      </c>
      <c r="Y3" s="2876">
        <f>ROUND(SUMPRODUCT(PRODUCT(1+O3:O$34)),4)</f>
        <v>1.3588</v>
      </c>
      <c r="Z3" s="2876">
        <f t="shared" ref="Z3:Z32" si="0">Y3</f>
        <v>1.3588</v>
      </c>
      <c r="AA3" s="2876">
        <f>ROUND(SUMPRODUCT(PRODUCT(1+P3:P$34)),4)</f>
        <v>1.7150000000000001</v>
      </c>
      <c r="AB3" s="2876">
        <f>ROUND(SUMPRODUCT(PRODUCT(1+Q3:Q$34)),4)</f>
        <v>1.446</v>
      </c>
      <c r="AD3" s="2877">
        <f>ROUND(AVERAGE(I3:I$35)/100,4)</f>
        <v>1.7000000000000001E-2</v>
      </c>
      <c r="AE3" s="2877">
        <f>ROUND(AVERAGE(J3:J$35)/100,4)</f>
        <v>1.0699999999999999E-2</v>
      </c>
      <c r="AF3" s="2877">
        <f t="shared" ref="AF3:AF33" si="1">AE3</f>
        <v>1.0699999999999999E-2</v>
      </c>
      <c r="AG3" s="2877">
        <f>ROUND(AVERAGE(K3:K$35)/100,4)</f>
        <v>1.8700000000000001E-2</v>
      </c>
      <c r="AH3" s="2877">
        <f>ROUND(AVERAGE(L3:L$35)/100,4)</f>
        <v>1.24E-2</v>
      </c>
    </row>
    <row r="4" spans="1:34" s="2878" customFormat="1" ht="14.25">
      <c r="B4" s="2879"/>
      <c r="C4" s="2879"/>
      <c r="D4" s="2880"/>
      <c r="E4" s="2880"/>
      <c r="F4" s="2879"/>
      <c r="G4" s="2881"/>
      <c r="H4" s="2882"/>
      <c r="I4" s="2883"/>
      <c r="J4" s="2883"/>
      <c r="K4" s="2883"/>
      <c r="L4" s="2883"/>
      <c r="N4" s="2881"/>
      <c r="S4" s="2881"/>
      <c r="W4" s="2884"/>
      <c r="X4" s="2885"/>
      <c r="Y4" s="2885"/>
      <c r="Z4" s="2885"/>
      <c r="AA4" s="2885"/>
      <c r="AB4" s="2885"/>
      <c r="AD4" s="2886"/>
      <c r="AE4" s="2886"/>
      <c r="AF4" s="2886"/>
      <c r="AG4" s="2886"/>
      <c r="AH4" s="2886"/>
    </row>
    <row r="5" spans="1:34" s="2891" customFormat="1">
      <c r="A5" s="2887" t="s">
        <v>2994</v>
      </c>
      <c r="B5" s="2888">
        <f t="shared" ref="B5" si="2">B6*(1+N5)</f>
        <v>502.50893609650217</v>
      </c>
      <c r="C5" s="2888">
        <f t="shared" ref="C5" si="3">C6*(1+O5)</f>
        <v>350.27569313914915</v>
      </c>
      <c r="D5" s="2888">
        <f t="shared" ref="D5" si="4">C5</f>
        <v>350.27569313914915</v>
      </c>
      <c r="E5" s="2888">
        <f t="shared" ref="E5" si="5">E6*(1+P5)</f>
        <v>725.27220201394141</v>
      </c>
      <c r="F5" s="2888">
        <f t="shared" ref="F5" si="6">F6*(1+Q5)</f>
        <v>332.45017846012797</v>
      </c>
      <c r="G5" s="2881">
        <v>2021</v>
      </c>
      <c r="H5" s="2889">
        <v>3</v>
      </c>
      <c r="I5" s="2890">
        <v>0</v>
      </c>
      <c r="J5" s="2890">
        <v>0</v>
      </c>
      <c r="K5" s="2890">
        <v>0</v>
      </c>
      <c r="L5" s="2890">
        <v>0</v>
      </c>
      <c r="N5" s="2892">
        <f t="shared" ref="N5" si="7">I5/100</f>
        <v>0</v>
      </c>
      <c r="O5" s="2892">
        <f t="shared" ref="O5" si="8">J5/100</f>
        <v>0</v>
      </c>
      <c r="P5" s="2892">
        <f t="shared" ref="P5" si="9">K5/100</f>
        <v>0</v>
      </c>
      <c r="Q5" s="2892">
        <f t="shared" ref="Q5" si="10">L5/100</f>
        <v>0</v>
      </c>
      <c r="S5" s="2893">
        <f>B5/B6-1</f>
        <v>0</v>
      </c>
      <c r="T5" s="2891">
        <f>C5/C6-1</f>
        <v>0</v>
      </c>
      <c r="U5" s="2891">
        <f>E5/E6-1</f>
        <v>0</v>
      </c>
      <c r="V5" s="2891">
        <f>F5/F6-1</f>
        <v>0</v>
      </c>
      <c r="W5" s="2894" t="s">
        <v>2924</v>
      </c>
      <c r="X5" s="2895">
        <f>ROUND(IF(项目基本情况!B3="出让",SUMPRODUCT(PRODUCT(1+N5:N$35)),SUMPRODUCT(PRODUCT(1+N5:N$34))),4)</f>
        <v>1.6338999999999999</v>
      </c>
      <c r="Y5" s="2895">
        <f>ROUND(IF(项目基本情况!B3="出让",SUMPRODUCT(PRODUCT(1+O5:O$35)),SUMPRODUCT(PRODUCT(1+O5:O$34))),4)</f>
        <v>1.3588</v>
      </c>
      <c r="Z5" s="2895">
        <f t="shared" ref="Z5" si="11">Y5</f>
        <v>1.3588</v>
      </c>
      <c r="AA5" s="2895">
        <f>ROUND(IF(项目基本情况!B3="出让",SUMPRODUCT(PRODUCT(1+P5:P$35)),SUMPRODUCT(PRODUCT(1+P5:P$34))),4)</f>
        <v>1.7150000000000001</v>
      </c>
      <c r="AB5" s="2895">
        <f>ROUND(IF(项目基本情况!B3="出让",SUMPRODUCT(PRODUCT(1+Q5:Q$35)),SUMPRODUCT(PRODUCT(1+Q5:Q$34))),4)</f>
        <v>1.446</v>
      </c>
      <c r="AD5" s="2896">
        <f>ROUND(AVERAGE(I5:I$35)/100,4)</f>
        <v>1.7000000000000001E-2</v>
      </c>
      <c r="AE5" s="2896">
        <f>ROUND(AVERAGE(J5:J$35)/100,4)</f>
        <v>1.0699999999999999E-2</v>
      </c>
      <c r="AF5" s="2896">
        <f t="shared" ref="AF5" si="12">AE5</f>
        <v>1.0699999999999999E-2</v>
      </c>
      <c r="AG5" s="2896">
        <f>ROUND(AVERAGE(K5:K$35)/100,4)</f>
        <v>1.8700000000000001E-2</v>
      </c>
      <c r="AH5" s="2896">
        <f>ROUND(AVERAGE(L5:L$35)/100,4)</f>
        <v>1.24E-2</v>
      </c>
    </row>
    <row r="6" spans="1:34" s="2904" customFormat="1">
      <c r="A6" s="2897" t="s">
        <v>2993</v>
      </c>
      <c r="B6" s="2898">
        <f t="shared" ref="B6" si="13">B7*(1+N6)</f>
        <v>502.50893609650217</v>
      </c>
      <c r="C6" s="2898">
        <f t="shared" ref="C6" si="14">C7*(1+O6)</f>
        <v>350.27569313914915</v>
      </c>
      <c r="D6" s="2898">
        <f t="shared" ref="D6" si="15">C6</f>
        <v>350.27569313914915</v>
      </c>
      <c r="E6" s="2898">
        <f t="shared" ref="E6" si="16">E7*(1+P6)</f>
        <v>725.27220201394141</v>
      </c>
      <c r="F6" s="2898">
        <f t="shared" ref="F6" si="17">F7*(1+Q6)</f>
        <v>332.45017846012797</v>
      </c>
      <c r="G6" s="2881">
        <v>2021</v>
      </c>
      <c r="H6" s="2899">
        <v>2</v>
      </c>
      <c r="I6" s="2861">
        <v>0.92</v>
      </c>
      <c r="J6" s="2861">
        <v>0.72</v>
      </c>
      <c r="K6" s="2861">
        <v>0.95</v>
      </c>
      <c r="L6" s="2862">
        <v>1.01</v>
      </c>
      <c r="M6" s="2885"/>
      <c r="N6" s="2900">
        <f t="shared" ref="N6" si="18">I6/100</f>
        <v>9.1999999999999998E-3</v>
      </c>
      <c r="O6" s="2886">
        <f t="shared" ref="O6" si="19">J6/100</f>
        <v>7.1999999999999998E-3</v>
      </c>
      <c r="P6" s="2886">
        <f t="shared" ref="P6" si="20">K6/100</f>
        <v>9.4999999999999998E-3</v>
      </c>
      <c r="Q6" s="2886">
        <f t="shared" ref="Q6" si="21">L6/100</f>
        <v>1.01E-2</v>
      </c>
      <c r="R6" s="2901"/>
      <c r="S6" s="2902"/>
      <c r="T6" s="2903"/>
      <c r="U6" s="2903"/>
      <c r="V6" s="2903"/>
      <c r="W6" s="2885"/>
      <c r="X6" s="2885">
        <f>ROUND(IF(项目基本情况!B4="出让",SUMPRODUCT(PRODUCT(1+N6:N$35)),SUMPRODUCT(PRODUCT(1+N6:N$34))),4)</f>
        <v>1.6338999999999999</v>
      </c>
      <c r="Y6" s="2885">
        <f>ROUND(IF(项目基本情况!B4="出让",SUMPRODUCT(PRODUCT(1+O6:O$35)),SUMPRODUCT(PRODUCT(1+O6:O$34))),4)</f>
        <v>1.3588</v>
      </c>
      <c r="Z6" s="2885">
        <f t="shared" ref="Z6" si="22">Y6</f>
        <v>1.3588</v>
      </c>
      <c r="AA6" s="2885">
        <f>ROUND(IF(项目基本情况!B4="出让",SUMPRODUCT(PRODUCT(1+P6:P$35)),SUMPRODUCT(PRODUCT(1+P6:P$34))),4)</f>
        <v>1.7150000000000001</v>
      </c>
      <c r="AB6" s="2885">
        <f>ROUND(IF(项目基本情况!B4="出让",SUMPRODUCT(PRODUCT(1+Q6:Q$35)),SUMPRODUCT(PRODUCT(1+Q6:Q$34))),4)</f>
        <v>1.446</v>
      </c>
      <c r="AC6" s="2885"/>
      <c r="AD6" s="2886">
        <f>ROUND(AVERAGE(I6:I$35)/100,4)</f>
        <v>1.7600000000000001E-2</v>
      </c>
      <c r="AE6" s="2886">
        <f>ROUND(AVERAGE(J6:J$35)/100,4)</f>
        <v>1.11E-2</v>
      </c>
      <c r="AF6" s="2886">
        <f t="shared" ref="AF6" si="23">AE6</f>
        <v>1.11E-2</v>
      </c>
      <c r="AG6" s="2886">
        <f>ROUND(AVERAGE(K6:K$35)/100,4)</f>
        <v>1.9400000000000001E-2</v>
      </c>
      <c r="AH6" s="2886">
        <f>ROUND(AVERAGE(L6:L$35)/100,4)</f>
        <v>1.2800000000000001E-2</v>
      </c>
    </row>
    <row r="7" spans="1:34" s="2904" customFormat="1">
      <c r="A7" s="2897" t="s">
        <v>2992</v>
      </c>
      <c r="B7" s="2898">
        <f t="shared" ref="B7" si="24">B8*(1+N7)</f>
        <v>497.92799851020823</v>
      </c>
      <c r="C7" s="2898">
        <f t="shared" ref="C7" si="25">C8*(1+O7)</f>
        <v>347.77173663537445</v>
      </c>
      <c r="D7" s="2898">
        <f t="shared" ref="D7" si="26">C7</f>
        <v>347.77173663537445</v>
      </c>
      <c r="E7" s="2898">
        <f t="shared" ref="E7" si="27">E8*(1+P7)</f>
        <v>718.44695593258189</v>
      </c>
      <c r="F7" s="2898">
        <f t="shared" ref="F7" si="28">F8*(1+Q7)</f>
        <v>329.12600580153247</v>
      </c>
      <c r="G7" s="2881">
        <v>2021</v>
      </c>
      <c r="H7" s="2899">
        <v>1</v>
      </c>
      <c r="I7" s="2861">
        <v>0.97</v>
      </c>
      <c r="J7" s="2861">
        <v>0.16</v>
      </c>
      <c r="K7" s="2861">
        <v>1.1100000000000001</v>
      </c>
      <c r="L7" s="2862">
        <v>0.36</v>
      </c>
      <c r="M7" s="2885"/>
      <c r="N7" s="2900">
        <f t="shared" ref="N7" si="29">I7/100</f>
        <v>9.7000000000000003E-3</v>
      </c>
      <c r="O7" s="2886">
        <f t="shared" ref="O7" si="30">J7/100</f>
        <v>1.6000000000000001E-3</v>
      </c>
      <c r="P7" s="2886">
        <f t="shared" ref="P7" si="31">K7/100</f>
        <v>1.11E-2</v>
      </c>
      <c r="Q7" s="2886">
        <f t="shared" ref="Q7" si="32">L7/100</f>
        <v>3.5999999999999999E-3</v>
      </c>
      <c r="R7" s="2901"/>
      <c r="S7" s="2902">
        <f>B7/B8-1</f>
        <v>9.7000000000000419E-3</v>
      </c>
      <c r="T7" s="2903">
        <f>C7/C8-1</f>
        <v>1.6000000000000458E-3</v>
      </c>
      <c r="U7" s="2903">
        <f>E7/E8-1</f>
        <v>1.110000000000011E-2</v>
      </c>
      <c r="V7" s="2903">
        <f>F7/F8-1</f>
        <v>3.6000000000000476E-3</v>
      </c>
      <c r="W7" s="2885"/>
      <c r="X7" s="2885">
        <f>ROUND(IF(项目基本情况!B5="出让",SUMPRODUCT(PRODUCT(1+N7:N$35)),SUMPRODUCT(PRODUCT(1+N7:N$34))),4)</f>
        <v>1.619</v>
      </c>
      <c r="Y7" s="2885">
        <f>ROUND(IF(项目基本情况!B5="出让",SUMPRODUCT(PRODUCT(1+O7:O$35)),SUMPRODUCT(PRODUCT(1+O7:O$34))),4)</f>
        <v>1.3491</v>
      </c>
      <c r="Z7" s="2885">
        <f t="shared" ref="Z7" si="33">Y7</f>
        <v>1.3491</v>
      </c>
      <c r="AA7" s="2885">
        <f>ROUND(IF(项目基本情况!B5="出让",SUMPRODUCT(PRODUCT(1+P7:P$35)),SUMPRODUCT(PRODUCT(1+P7:P$34))),4)</f>
        <v>1.6988000000000001</v>
      </c>
      <c r="AB7" s="2885">
        <f>ROUND(IF(项目基本情况!B5="出让",SUMPRODUCT(PRODUCT(1+Q7:Q$35)),SUMPRODUCT(PRODUCT(1+Q7:Q$34))),4)</f>
        <v>1.4315</v>
      </c>
      <c r="AC7" s="2885"/>
      <c r="AD7" s="2886">
        <f>ROUND(AVERAGE(I7:I$35)/100,4)</f>
        <v>1.7899999999999999E-2</v>
      </c>
      <c r="AE7" s="2886">
        <f>ROUND(AVERAGE(J7:J$35)/100,4)</f>
        <v>1.12E-2</v>
      </c>
      <c r="AF7" s="2886">
        <f t="shared" ref="AF7" si="34">AE7</f>
        <v>1.12E-2</v>
      </c>
      <c r="AG7" s="2886">
        <f>ROUND(AVERAGE(K7:K$35)/100,4)</f>
        <v>1.9699999999999999E-2</v>
      </c>
      <c r="AH7" s="2886">
        <f>ROUND(AVERAGE(L7:L$35)/100,4)</f>
        <v>1.29E-2</v>
      </c>
    </row>
    <row r="8" spans="1:34" s="2904" customFormat="1">
      <c r="A8" s="2897" t="s">
        <v>2990</v>
      </c>
      <c r="B8" s="2898">
        <f t="shared" ref="B8" si="35">B9*(1+N8)</f>
        <v>493.14449689037161</v>
      </c>
      <c r="C8" s="2898">
        <f t="shared" ref="C8" si="36">C9*(1+O8)</f>
        <v>347.21619073020611</v>
      </c>
      <c r="D8" s="2898">
        <f t="shared" ref="D8" si="37">C8</f>
        <v>347.21619073020611</v>
      </c>
      <c r="E8" s="2898">
        <f t="shared" ref="E8" si="38">E9*(1+P8)</f>
        <v>710.55974278763904</v>
      </c>
      <c r="F8" s="2898">
        <f t="shared" ref="F8" si="39">F9*(1+Q8)</f>
        <v>327.94540235306141</v>
      </c>
      <c r="G8" s="2881">
        <v>2020</v>
      </c>
      <c r="H8" s="2899">
        <v>4</v>
      </c>
      <c r="I8" s="2861">
        <v>2.0699999999999998</v>
      </c>
      <c r="J8" s="2861">
        <v>0.37</v>
      </c>
      <c r="K8" s="2861">
        <v>2.35</v>
      </c>
      <c r="L8" s="2862">
        <v>2.69</v>
      </c>
      <c r="M8" s="2885"/>
      <c r="N8" s="2900">
        <f t="shared" ref="N8" si="40">I8/100</f>
        <v>2.07E-2</v>
      </c>
      <c r="O8" s="2886">
        <f t="shared" ref="O8" si="41">J8/100</f>
        <v>3.7000000000000002E-3</v>
      </c>
      <c r="P8" s="2886">
        <f t="shared" ref="P8" si="42">K8/100</f>
        <v>2.35E-2</v>
      </c>
      <c r="Q8" s="2886">
        <f t="shared" ref="Q8" si="43">L8/100</f>
        <v>2.69E-2</v>
      </c>
      <c r="R8" s="2901"/>
      <c r="S8" s="2902"/>
      <c r="T8" s="2903"/>
      <c r="U8" s="2903"/>
      <c r="V8" s="2903"/>
      <c r="W8" s="2885"/>
      <c r="X8" s="2885">
        <f>ROUND(IF(项目基本情况!B6="出让",SUMPRODUCT(PRODUCT(1+N8:N$35)),SUMPRODUCT(PRODUCT(1+N8:N$34))),4)</f>
        <v>1.6034999999999999</v>
      </c>
      <c r="Y8" s="2885">
        <f>ROUND(IF(项目基本情况!B6="出让",SUMPRODUCT(PRODUCT(1+O8:O$35)),SUMPRODUCT(PRODUCT(1+O8:O$34))),4)</f>
        <v>1.3469</v>
      </c>
      <c r="Z8" s="2885">
        <f t="shared" ref="Z8" si="44">Y8</f>
        <v>1.3469</v>
      </c>
      <c r="AA8" s="2885">
        <f>ROUND(IF(项目基本情况!B6="出让",SUMPRODUCT(PRODUCT(1+P8:P$35)),SUMPRODUCT(PRODUCT(1+P8:P$34))),4)</f>
        <v>1.6801999999999999</v>
      </c>
      <c r="AB8" s="2885">
        <f>ROUND(IF(项目基本情况!B6="出让",SUMPRODUCT(PRODUCT(1+Q8:Q$35)),SUMPRODUCT(PRODUCT(1+Q8:Q$34))),4)</f>
        <v>1.4263999999999999</v>
      </c>
      <c r="AC8" s="2885"/>
      <c r="AD8" s="2886">
        <f>ROUND(AVERAGE(I8:I$35)/100,4)</f>
        <v>1.8200000000000001E-2</v>
      </c>
      <c r="AE8" s="2886">
        <f>ROUND(AVERAGE(J8:J$35)/100,4)</f>
        <v>1.1599999999999999E-2</v>
      </c>
      <c r="AF8" s="2886">
        <f t="shared" ref="AF8" si="45">AE8</f>
        <v>1.1599999999999999E-2</v>
      </c>
      <c r="AG8" s="2886">
        <f>ROUND(AVERAGE(K8:K$35)/100,4)</f>
        <v>0.02</v>
      </c>
      <c r="AH8" s="2886">
        <f>ROUND(AVERAGE(L8:L$35)/100,4)</f>
        <v>1.3299999999999999E-2</v>
      </c>
    </row>
    <row r="9" spans="1:34" s="2904" customFormat="1">
      <c r="A9" s="2897" t="s">
        <v>2989</v>
      </c>
      <c r="B9" s="2898">
        <f t="shared" ref="B9" si="46">B10*(1+N9)</f>
        <v>483.1434279321756</v>
      </c>
      <c r="C9" s="2898">
        <f t="shared" ref="C9" si="47">C10*(1+O9)</f>
        <v>345.93622669144776</v>
      </c>
      <c r="D9" s="2898">
        <f t="shared" ref="D9" si="48">C9</f>
        <v>345.93622669144776</v>
      </c>
      <c r="E9" s="2898">
        <f t="shared" ref="E9" si="49">E10*(1+P9)</f>
        <v>694.24498562544113</v>
      </c>
      <c r="F9" s="2898">
        <f t="shared" ref="F9" si="50">F10*(1+Q9)</f>
        <v>319.35475932716082</v>
      </c>
      <c r="G9" s="2881">
        <v>2020</v>
      </c>
      <c r="H9" s="2899">
        <v>3</v>
      </c>
      <c r="I9" s="2861">
        <v>0.36</v>
      </c>
      <c r="J9" s="2861">
        <v>-0.39</v>
      </c>
      <c r="K9" s="2861">
        <v>0.49</v>
      </c>
      <c r="L9" s="2862">
        <v>7.0000000000000007E-2</v>
      </c>
      <c r="M9" s="2885"/>
      <c r="N9" s="2900">
        <f t="shared" ref="N9" si="51">I9/100</f>
        <v>3.5999999999999999E-3</v>
      </c>
      <c r="O9" s="2886">
        <f t="shared" ref="O9" si="52">J9/100</f>
        <v>-3.9000000000000003E-3</v>
      </c>
      <c r="P9" s="2886">
        <f t="shared" ref="P9" si="53">K9/100</f>
        <v>4.8999999999999998E-3</v>
      </c>
      <c r="Q9" s="2886">
        <f t="shared" ref="Q9" si="54">L9/100</f>
        <v>7.000000000000001E-4</v>
      </c>
      <c r="R9" s="2901"/>
      <c r="S9" s="2902"/>
      <c r="T9" s="2903"/>
      <c r="U9" s="2903"/>
      <c r="V9" s="2903"/>
      <c r="W9" s="2885"/>
      <c r="X9" s="2885">
        <f>ROUND(IF(项目基本情况!B7="出让",SUMPRODUCT(PRODUCT(1+N9:N$35)),SUMPRODUCT(PRODUCT(1+N9:N$34))),4)</f>
        <v>1.571</v>
      </c>
      <c r="Y9" s="2885">
        <f>ROUND(IF(项目基本情况!B7="出让",SUMPRODUCT(PRODUCT(1+O9:O$35)),SUMPRODUCT(PRODUCT(1+O9:O$34))),4)</f>
        <v>1.3420000000000001</v>
      </c>
      <c r="Z9" s="2885">
        <f t="shared" ref="Z9" si="55">Y9</f>
        <v>1.3420000000000001</v>
      </c>
      <c r="AA9" s="2885">
        <f>ROUND(IF(项目基本情况!B7="出让",SUMPRODUCT(PRODUCT(1+P9:P$35)),SUMPRODUCT(PRODUCT(1+P9:P$34))),4)</f>
        <v>1.6415999999999999</v>
      </c>
      <c r="AB9" s="2885">
        <f>ROUND(IF(项目基本情况!B7="出让",SUMPRODUCT(PRODUCT(1+Q9:Q$35)),SUMPRODUCT(PRODUCT(1+Q9:Q$34))),4)</f>
        <v>1.389</v>
      </c>
      <c r="AC9" s="2885"/>
      <c r="AD9" s="2886">
        <f>ROUND(AVERAGE(I9:I$35)/100,4)</f>
        <v>1.8100000000000002E-2</v>
      </c>
      <c r="AE9" s="2886">
        <f>ROUND(AVERAGE(J9:J$35)/100,4)</f>
        <v>1.1900000000000001E-2</v>
      </c>
      <c r="AF9" s="2886">
        <f t="shared" ref="AF9" si="56">AE9</f>
        <v>1.1900000000000001E-2</v>
      </c>
      <c r="AG9" s="2886">
        <f>ROUND(AVERAGE(K9:K$35)/100,4)</f>
        <v>1.9900000000000001E-2</v>
      </c>
      <c r="AH9" s="2886">
        <f>ROUND(AVERAGE(L9:L$35)/100,4)</f>
        <v>1.2800000000000001E-2</v>
      </c>
    </row>
    <row r="10" spans="1:34" s="2904" customFormat="1">
      <c r="A10" s="2897" t="s">
        <v>2952</v>
      </c>
      <c r="B10" s="2898">
        <f t="shared" ref="B10" si="57">B11*(1+N10)</f>
        <v>481.4103506697644</v>
      </c>
      <c r="C10" s="2898">
        <f t="shared" ref="C10" si="58">C11*(1+O10)</f>
        <v>347.29066026648707</v>
      </c>
      <c r="D10" s="2898">
        <f t="shared" ref="D10" si="59">C10</f>
        <v>347.29066026648707</v>
      </c>
      <c r="E10" s="2898">
        <f t="shared" ref="E10" si="60">E11*(1+P10)</f>
        <v>690.85977273901995</v>
      </c>
      <c r="F10" s="2898">
        <f t="shared" ref="F10" si="61">F11*(1+Q10)</f>
        <v>319.13136737000184</v>
      </c>
      <c r="G10" s="2881">
        <v>2020</v>
      </c>
      <c r="H10" s="2899">
        <v>2</v>
      </c>
      <c r="I10" s="2861">
        <v>0.31</v>
      </c>
      <c r="J10" s="2861">
        <v>-0.78</v>
      </c>
      <c r="K10" s="2861">
        <v>0.5</v>
      </c>
      <c r="L10" s="2862">
        <v>0.47</v>
      </c>
      <c r="M10" s="2885"/>
      <c r="N10" s="2900">
        <f t="shared" ref="N10" si="62">I10/100</f>
        <v>3.0999999999999999E-3</v>
      </c>
      <c r="O10" s="2886">
        <f t="shared" ref="O10" si="63">J10/100</f>
        <v>-7.8000000000000005E-3</v>
      </c>
      <c r="P10" s="2886">
        <f t="shared" ref="P10" si="64">K10/100</f>
        <v>5.0000000000000001E-3</v>
      </c>
      <c r="Q10" s="2886">
        <f t="shared" ref="Q10" si="65">L10/100</f>
        <v>4.6999999999999993E-3</v>
      </c>
      <c r="R10" s="2901"/>
      <c r="S10" s="2902"/>
      <c r="T10" s="2903"/>
      <c r="U10" s="2903"/>
      <c r="V10" s="2903"/>
      <c r="W10" s="2885"/>
      <c r="X10" s="2885">
        <f>ROUND(IF(项目基本情况!B8="出让",SUMPRODUCT(PRODUCT(1+N10:N$35)),SUMPRODUCT(PRODUCT(1+N10:N$34))),4)</f>
        <v>1.5652999999999999</v>
      </c>
      <c r="Y10" s="2885">
        <f>ROUND(IF(项目基本情况!B8="出让",SUMPRODUCT(PRODUCT(1+O10:O$35)),SUMPRODUCT(PRODUCT(1+O10:O$34))),4)</f>
        <v>1.3472</v>
      </c>
      <c r="Z10" s="2885">
        <f t="shared" ref="Z10" si="66">Y10</f>
        <v>1.3472</v>
      </c>
      <c r="AA10" s="2885">
        <f>ROUND(IF(项目基本情况!B8="出让",SUMPRODUCT(PRODUCT(1+P10:P$35)),SUMPRODUCT(PRODUCT(1+P10:P$34))),4)</f>
        <v>1.6335999999999999</v>
      </c>
      <c r="AB10" s="2885">
        <f>ROUND(IF(项目基本情况!B8="出让",SUMPRODUCT(PRODUCT(1+Q10:Q$35)),SUMPRODUCT(PRODUCT(1+Q10:Q$34))),4)</f>
        <v>1.3880999999999999</v>
      </c>
      <c r="AC10" s="2885"/>
      <c r="AD10" s="2886">
        <f>ROUND(AVERAGE(I10:I$35)/100,4)</f>
        <v>1.8599999999999998E-2</v>
      </c>
      <c r="AE10" s="2886">
        <f>ROUND(AVERAGE(J10:J$35)/100,4)</f>
        <v>1.2500000000000001E-2</v>
      </c>
      <c r="AF10" s="2886">
        <f t="shared" ref="AF10" si="67">AE10</f>
        <v>1.2500000000000001E-2</v>
      </c>
      <c r="AG10" s="2886">
        <f>ROUND(AVERAGE(K10:K$35)/100,4)</f>
        <v>2.0400000000000001E-2</v>
      </c>
      <c r="AH10" s="2886">
        <f>ROUND(AVERAGE(L10:L$35)/100,4)</f>
        <v>1.32E-2</v>
      </c>
    </row>
    <row r="11" spans="1:34" s="2904" customFormat="1">
      <c r="A11" s="2897" t="s">
        <v>2950</v>
      </c>
      <c r="B11" s="2898">
        <f t="shared" ref="B11" si="68">B12*(1+N11)</f>
        <v>479.92259063878413</v>
      </c>
      <c r="C11" s="2898">
        <f t="shared" ref="C11" si="69">C12*(1+O11)</f>
        <v>350.02082268341775</v>
      </c>
      <c r="D11" s="2898">
        <f t="shared" ref="D11" si="70">C11</f>
        <v>350.02082268341775</v>
      </c>
      <c r="E11" s="2898">
        <f t="shared" ref="E11" si="71">E12*(1+P11)</f>
        <v>687.42265944181099</v>
      </c>
      <c r="F11" s="2898">
        <f t="shared" ref="F11" si="72">F12*(1+Q11)</f>
        <v>317.63846657708956</v>
      </c>
      <c r="G11" s="2881">
        <v>2020</v>
      </c>
      <c r="H11" s="2899">
        <v>1</v>
      </c>
      <c r="I11" s="2861">
        <v>0.12</v>
      </c>
      <c r="J11" s="2861">
        <v>-0.4</v>
      </c>
      <c r="K11" s="2861">
        <v>0.21</v>
      </c>
      <c r="L11" s="2862">
        <v>0.27</v>
      </c>
      <c r="M11" s="2885"/>
      <c r="N11" s="2900">
        <f t="shared" ref="N11" si="73">I11/100</f>
        <v>1.1999999999999999E-3</v>
      </c>
      <c r="O11" s="2886">
        <f t="shared" ref="O11" si="74">J11/100</f>
        <v>-4.0000000000000001E-3</v>
      </c>
      <c r="P11" s="2886">
        <f t="shared" ref="P11" si="75">K11/100</f>
        <v>2.0999999999999999E-3</v>
      </c>
      <c r="Q11" s="2886">
        <f t="shared" ref="Q11" si="76">L11/100</f>
        <v>2.7000000000000001E-3</v>
      </c>
      <c r="R11" s="2901"/>
      <c r="S11" s="2902">
        <f>B11/B12-1</f>
        <v>1.2000000000000899E-3</v>
      </c>
      <c r="T11" s="2903">
        <f>C11/C12-1</f>
        <v>-4.0000000000000036E-3</v>
      </c>
      <c r="U11" s="2903">
        <f>E11/E12-1</f>
        <v>2.0999999999999908E-3</v>
      </c>
      <c r="V11" s="2903">
        <f>F11/F12-1</f>
        <v>2.6999999999999247E-3</v>
      </c>
      <c r="W11" s="2885"/>
      <c r="X11" s="2885">
        <f>ROUND(IF(项目基本情况!B8="出让",SUMPRODUCT(PRODUCT(1+N11:N$35)),SUMPRODUCT(PRODUCT(1+N11:N$34))),4)</f>
        <v>1.5605</v>
      </c>
      <c r="Y11" s="2885">
        <f>ROUND(IF(项目基本情况!B8="出让",SUMPRODUCT(PRODUCT(1+O11:O$35)),SUMPRODUCT(PRODUCT(1+O11:O$34))),4)</f>
        <v>1.3577999999999999</v>
      </c>
      <c r="Z11" s="2885">
        <f t="shared" ref="Z11" si="77">Y11</f>
        <v>1.3577999999999999</v>
      </c>
      <c r="AA11" s="2885">
        <f>ROUND(IF(项目基本情况!B8="出让",SUMPRODUCT(PRODUCT(1+P11:P$35)),SUMPRODUCT(PRODUCT(1+P11:P$34))),4)</f>
        <v>1.6254999999999999</v>
      </c>
      <c r="AB11" s="2885">
        <f>ROUND(IF(项目基本情况!B8="出让",SUMPRODUCT(PRODUCT(1+Q11:Q$35)),SUMPRODUCT(PRODUCT(1+Q11:Q$34))),4)</f>
        <v>1.3815999999999999</v>
      </c>
      <c r="AC11" s="2885"/>
      <c r="AD11" s="2886">
        <f>ROUND(AVERAGE(I11:I$35)/100,4)</f>
        <v>1.9199999999999998E-2</v>
      </c>
      <c r="AE11" s="2886">
        <f>ROUND(AVERAGE(J11:J$35)/100,4)</f>
        <v>1.3299999999999999E-2</v>
      </c>
      <c r="AF11" s="2886">
        <f t="shared" ref="AF11" si="78">AE11</f>
        <v>1.3299999999999999E-2</v>
      </c>
      <c r="AG11" s="2886">
        <f>ROUND(AVERAGE(K11:K$35)/100,4)</f>
        <v>2.1100000000000001E-2</v>
      </c>
      <c r="AH11" s="2886">
        <f>ROUND(AVERAGE(L11:L$35)/100,4)</f>
        <v>1.3599999999999999E-2</v>
      </c>
    </row>
    <row r="12" spans="1:34" s="2904" customFormat="1">
      <c r="A12" s="2897" t="s">
        <v>2947</v>
      </c>
      <c r="B12" s="2898">
        <f t="shared" ref="B12" si="79">B13*(1+N12)</f>
        <v>479.34737379023579</v>
      </c>
      <c r="C12" s="2898">
        <f t="shared" ref="C12" si="80">C13*(1+O12)</f>
        <v>351.4265287986122</v>
      </c>
      <c r="D12" s="2898">
        <f t="shared" ref="D12" si="81">C12</f>
        <v>351.4265287986122</v>
      </c>
      <c r="E12" s="2898">
        <f t="shared" ref="E12" si="82">E13*(1+P12)</f>
        <v>685.98209703803116</v>
      </c>
      <c r="F12" s="2898">
        <f t="shared" ref="F12" si="83">F13*(1+Q12)</f>
        <v>316.78315206651001</v>
      </c>
      <c r="G12" s="2881">
        <v>2019</v>
      </c>
      <c r="H12" s="2899">
        <v>4</v>
      </c>
      <c r="I12" s="2899">
        <v>0.45</v>
      </c>
      <c r="J12" s="2899">
        <v>-0.12</v>
      </c>
      <c r="K12" s="2899">
        <v>0.54</v>
      </c>
      <c r="L12" s="2905">
        <v>0.48</v>
      </c>
      <c r="M12" s="2885"/>
      <c r="N12" s="2900">
        <f t="shared" ref="N12" si="84">I12/100</f>
        <v>4.5000000000000005E-3</v>
      </c>
      <c r="O12" s="2886">
        <f t="shared" ref="O12" si="85">J12/100</f>
        <v>-1.1999999999999999E-3</v>
      </c>
      <c r="P12" s="2886">
        <f t="shared" ref="P12" si="86">K12/100</f>
        <v>5.4000000000000003E-3</v>
      </c>
      <c r="Q12" s="2886">
        <f t="shared" ref="Q12" si="87">L12/100</f>
        <v>4.7999999999999996E-3</v>
      </c>
      <c r="R12" s="2901"/>
      <c r="S12" s="2902"/>
      <c r="T12" s="2903"/>
      <c r="U12" s="2903"/>
      <c r="V12" s="2903"/>
      <c r="W12" s="2885"/>
      <c r="X12" s="2885">
        <f>ROUND(IF(项目基本情况!B8="出让",SUMPRODUCT(PRODUCT(1+N12:N$35)),SUMPRODUCT(PRODUCT(1+N12:N$34))),4)</f>
        <v>1.5586</v>
      </c>
      <c r="Y12" s="2885">
        <f>ROUND(IF(项目基本情况!B8="出让",SUMPRODUCT(PRODUCT(1+O12:O$35)),SUMPRODUCT(PRODUCT(1+O12:O$34))),4)</f>
        <v>1.3633</v>
      </c>
      <c r="Z12" s="2885">
        <f t="shared" ref="Z12" si="88">Y12</f>
        <v>1.3633</v>
      </c>
      <c r="AA12" s="2885">
        <f>ROUND(IF(项目基本情况!B8="出让",SUMPRODUCT(PRODUCT(1+P12:P$35)),SUMPRODUCT(PRODUCT(1+P12:P$34))),4)</f>
        <v>1.6221000000000001</v>
      </c>
      <c r="AB12" s="2885">
        <f>ROUND(IF(项目基本情况!B8="出让",SUMPRODUCT(PRODUCT(1+Q12:Q$35)),SUMPRODUCT(PRODUCT(1+Q12:Q$34))),4)</f>
        <v>1.3777999999999999</v>
      </c>
      <c r="AC12" s="2885"/>
      <c r="AD12" s="2886">
        <f>ROUND(AVERAGE(I12:I$35)/100,4)</f>
        <v>0.02</v>
      </c>
      <c r="AE12" s="2886">
        <f>ROUND(AVERAGE(J12:J$35)/100,4)</f>
        <v>1.4E-2</v>
      </c>
      <c r="AF12" s="2886">
        <f t="shared" ref="AF12" si="89">AE12</f>
        <v>1.4E-2</v>
      </c>
      <c r="AG12" s="2886">
        <f>ROUND(AVERAGE(K12:K$35)/100,4)</f>
        <v>2.1899999999999999E-2</v>
      </c>
      <c r="AH12" s="2886">
        <f>ROUND(AVERAGE(L12:L$35)/100,4)</f>
        <v>1.4E-2</v>
      </c>
    </row>
    <row r="13" spans="1:34" s="2904" customFormat="1" ht="13.5" thickBot="1">
      <c r="A13" s="2897" t="s">
        <v>2946</v>
      </c>
      <c r="B13" s="2898">
        <f t="shared" ref="B13" si="90">B14*(1+N13)</f>
        <v>477.19997390765138</v>
      </c>
      <c r="C13" s="2898">
        <f t="shared" ref="C13" si="91">C14*(1+O13)</f>
        <v>351.84874729536665</v>
      </c>
      <c r="D13" s="2898">
        <f t="shared" ref="D13" si="92">C13</f>
        <v>351.84874729536665</v>
      </c>
      <c r="E13" s="2898">
        <f t="shared" ref="E13" si="93">E14*(1+P13)</f>
        <v>682.29768951465201</v>
      </c>
      <c r="F13" s="2898">
        <f t="shared" ref="F13" si="94">F14*(1+Q13)</f>
        <v>315.26985675409043</v>
      </c>
      <c r="G13" s="2881">
        <v>2019</v>
      </c>
      <c r="H13" s="2899">
        <v>3</v>
      </c>
      <c r="I13" s="2899">
        <v>0.61</v>
      </c>
      <c r="J13" s="2899">
        <v>0.67</v>
      </c>
      <c r="K13" s="2899">
        <v>0.6</v>
      </c>
      <c r="L13" s="2905">
        <v>1.03</v>
      </c>
      <c r="M13" s="2885"/>
      <c r="N13" s="2900">
        <f t="shared" ref="N13" si="95">I13/100</f>
        <v>6.0999999999999995E-3</v>
      </c>
      <c r="O13" s="2886">
        <f t="shared" ref="O13" si="96">J13/100</f>
        <v>6.7000000000000002E-3</v>
      </c>
      <c r="P13" s="2886">
        <f t="shared" ref="P13" si="97">K13/100</f>
        <v>6.0000000000000001E-3</v>
      </c>
      <c r="Q13" s="2886">
        <f t="shared" ref="Q13" si="98">L13/100</f>
        <v>1.03E-2</v>
      </c>
      <c r="R13" s="2901"/>
      <c r="S13" s="2902"/>
      <c r="T13" s="2903"/>
      <c r="U13" s="2903"/>
      <c r="V13" s="2903"/>
      <c r="W13" s="2885"/>
      <c r="X13" s="2885">
        <f>ROUND(IF(项目基本情况!B8="出让",SUMPRODUCT(PRODUCT(1+N13:N$35)),SUMPRODUCT(PRODUCT(1+N13:N$34))),4)</f>
        <v>1.5516000000000001</v>
      </c>
      <c r="Y13" s="2885">
        <f>ROUND(IF(项目基本情况!B8="出让",SUMPRODUCT(PRODUCT(1+O13:O$35)),SUMPRODUCT(PRODUCT(1+O13:O$34))),4)</f>
        <v>1.3649</v>
      </c>
      <c r="Z13" s="2885">
        <f t="shared" ref="Z13" si="99">Y13</f>
        <v>1.3649</v>
      </c>
      <c r="AA13" s="2885">
        <f>ROUND(IF(项目基本情况!B8="出让",SUMPRODUCT(PRODUCT(1+P13:P$35)),SUMPRODUCT(PRODUCT(1+P13:P$34))),4)</f>
        <v>1.6133999999999999</v>
      </c>
      <c r="AB13" s="2885">
        <f>ROUND(IF(项目基本情况!B8="出让",SUMPRODUCT(PRODUCT(1+Q13:Q$35)),SUMPRODUCT(PRODUCT(1+Q13:Q$34))),4)</f>
        <v>1.3713</v>
      </c>
      <c r="AC13" s="2885"/>
      <c r="AD13" s="2886">
        <f>ROUND(AVERAGE(I13:I$35)/100,4)</f>
        <v>2.07E-2</v>
      </c>
      <c r="AE13" s="2886">
        <f>ROUND(AVERAGE(J13:J$35)/100,4)</f>
        <v>1.47E-2</v>
      </c>
      <c r="AF13" s="2886">
        <f t="shared" ref="AF13" si="100">AE13</f>
        <v>1.47E-2</v>
      </c>
      <c r="AG13" s="2886">
        <f>ROUND(AVERAGE(K13:K$35)/100,4)</f>
        <v>2.2599999999999999E-2</v>
      </c>
      <c r="AH13" s="2886">
        <f>ROUND(AVERAGE(L13:L$35)/100,4)</f>
        <v>1.44E-2</v>
      </c>
    </row>
    <row r="14" spans="1:34" s="2904" customFormat="1">
      <c r="A14" s="2897" t="s">
        <v>2944</v>
      </c>
      <c r="B14" s="2898">
        <f t="shared" ref="B14:B19" si="101">B15*(1+N14)</f>
        <v>474.30670301923408</v>
      </c>
      <c r="C14" s="2898">
        <f t="shared" ref="C14" si="102">C15*(1+O14)</f>
        <v>349.50705005996491</v>
      </c>
      <c r="D14" s="2898">
        <f t="shared" ref="D14" si="103">C14</f>
        <v>349.50705005996491</v>
      </c>
      <c r="E14" s="2898">
        <f t="shared" ref="E14" si="104">E15*(1+P14)</f>
        <v>678.22831959706957</v>
      </c>
      <c r="F14" s="2898">
        <f t="shared" ref="F14" si="105">F15*(1+Q14)</f>
        <v>312.0556832169558</v>
      </c>
      <c r="G14" s="2881">
        <v>2019</v>
      </c>
      <c r="H14" s="2906">
        <v>2</v>
      </c>
      <c r="I14" s="2906">
        <v>1.53</v>
      </c>
      <c r="J14" s="2906">
        <v>1.01</v>
      </c>
      <c r="K14" s="2906">
        <v>1.62</v>
      </c>
      <c r="L14" s="2907">
        <v>1.25</v>
      </c>
      <c r="M14" s="2885"/>
      <c r="N14" s="2900">
        <f t="shared" ref="N14" si="106">I14/100</f>
        <v>1.5300000000000001E-2</v>
      </c>
      <c r="O14" s="2886">
        <f t="shared" ref="O14" si="107">J14/100</f>
        <v>1.01E-2</v>
      </c>
      <c r="P14" s="2886">
        <f t="shared" ref="P14" si="108">K14/100</f>
        <v>1.6200000000000003E-2</v>
      </c>
      <c r="Q14" s="2886">
        <f t="shared" ref="Q14" si="109">L14/100</f>
        <v>1.2500000000000001E-2</v>
      </c>
      <c r="R14" s="2901"/>
      <c r="S14" s="2902"/>
      <c r="T14" s="2903"/>
      <c r="U14" s="2903"/>
      <c r="V14" s="2903"/>
      <c r="W14" s="2885"/>
      <c r="X14" s="2885">
        <f>ROUND(IF(项目基本情况!B8="出让",SUMPRODUCT(PRODUCT(1+N14:N$35)),SUMPRODUCT(PRODUCT(1+N14:N$34))),4)</f>
        <v>1.5422</v>
      </c>
      <c r="Y14" s="2885">
        <f>ROUND(IF(项目基本情况!B8="出让",SUMPRODUCT(PRODUCT(1+O14:O$35)),SUMPRODUCT(PRODUCT(1+O14:O$34))),4)</f>
        <v>1.3557999999999999</v>
      </c>
      <c r="Z14" s="2885">
        <f t="shared" ref="Z14" si="110">Y14</f>
        <v>1.3557999999999999</v>
      </c>
      <c r="AA14" s="2885">
        <f>ROUND(IF(项目基本情况!B8="出让",SUMPRODUCT(PRODUCT(1+P14:P$35)),SUMPRODUCT(PRODUCT(1+P14:P$34))),4)</f>
        <v>1.6036999999999999</v>
      </c>
      <c r="AB14" s="2885">
        <f>ROUND(IF(项目基本情况!B8="出让",SUMPRODUCT(PRODUCT(1+Q14:Q$35)),SUMPRODUCT(PRODUCT(1+Q14:Q$34))),4)</f>
        <v>1.3573</v>
      </c>
      <c r="AC14" s="2885"/>
      <c r="AD14" s="2886">
        <f>ROUND(AVERAGE(I14:I$35)/100,4)</f>
        <v>2.1299999999999999E-2</v>
      </c>
      <c r="AE14" s="2886">
        <f>ROUND(AVERAGE(J14:J$35)/100,4)</f>
        <v>1.4999999999999999E-2</v>
      </c>
      <c r="AF14" s="2886">
        <f t="shared" ref="AF14" si="111">AE14</f>
        <v>1.4999999999999999E-2</v>
      </c>
      <c r="AG14" s="2886">
        <f>ROUND(AVERAGE(K14:K$35)/100,4)</f>
        <v>2.3300000000000001E-2</v>
      </c>
      <c r="AH14" s="2886">
        <f>ROUND(AVERAGE(L14:L$35)/100,4)</f>
        <v>1.46E-2</v>
      </c>
    </row>
    <row r="15" spans="1:34" s="2904" customFormat="1" ht="13.5" thickBot="1">
      <c r="A15" s="2897" t="s">
        <v>2943</v>
      </c>
      <c r="B15" s="2898">
        <f t="shared" si="101"/>
        <v>467.15916775261894</v>
      </c>
      <c r="C15" s="2898">
        <f t="shared" ref="C15" si="112">C16*(1+O15)</f>
        <v>346.01232557169084</v>
      </c>
      <c r="D15" s="2898">
        <f t="shared" ref="D15" si="113">C15</f>
        <v>346.01232557169084</v>
      </c>
      <c r="E15" s="2898">
        <f t="shared" ref="E15" si="114">E16*(1+P15)</f>
        <v>667.41617752122568</v>
      </c>
      <c r="F15" s="2898">
        <f t="shared" ref="F15" si="115">F16*(1+Q15)</f>
        <v>308.20314391798104</v>
      </c>
      <c r="G15" s="2881">
        <v>2019</v>
      </c>
      <c r="H15" s="2899">
        <v>1</v>
      </c>
      <c r="I15" s="2899">
        <v>0.6</v>
      </c>
      <c r="J15" s="2899">
        <v>0.37</v>
      </c>
      <c r="K15" s="2899">
        <v>0.63</v>
      </c>
      <c r="L15" s="2905">
        <v>1.1299999999999999</v>
      </c>
      <c r="M15" s="2885"/>
      <c r="N15" s="2900">
        <f t="shared" ref="N15" si="116">I15/100</f>
        <v>6.0000000000000001E-3</v>
      </c>
      <c r="O15" s="2886">
        <f t="shared" ref="O15" si="117">J15/100</f>
        <v>3.7000000000000002E-3</v>
      </c>
      <c r="P15" s="2886">
        <f t="shared" ref="P15" si="118">K15/100</f>
        <v>6.3E-3</v>
      </c>
      <c r="Q15" s="2886">
        <f t="shared" ref="Q15" si="119">L15/100</f>
        <v>1.1299999999999999E-2</v>
      </c>
      <c r="R15" s="2901"/>
      <c r="S15" s="2902">
        <f>B15/B16-1</f>
        <v>6.0000000000000053E-3</v>
      </c>
      <c r="T15" s="2903">
        <f>C15/C16-1</f>
        <v>3.7000000000000366E-3</v>
      </c>
      <c r="U15" s="2903">
        <f>E15/E16-1</f>
        <v>6.2999999999999723E-3</v>
      </c>
      <c r="V15" s="2903">
        <f>F15/F16-1</f>
        <v>1.1300000000000088E-2</v>
      </c>
      <c r="W15" s="2885"/>
      <c r="X15" s="2885">
        <f>ROUND(IF(项目基本情况!B8="出让",SUMPRODUCT(PRODUCT(1+N15:N$35)),SUMPRODUCT(PRODUCT(1+N15:N$34))),4)</f>
        <v>1.5189999999999999</v>
      </c>
      <c r="Y15" s="2885">
        <f>ROUND(IF(项目基本情况!B8="出让",SUMPRODUCT(PRODUCT(1+O15:O$35)),SUMPRODUCT(PRODUCT(1+O15:O$34))),4)</f>
        <v>1.3423</v>
      </c>
      <c r="Z15" s="2885">
        <f t="shared" ref="Z15" si="120">Y15</f>
        <v>1.3423</v>
      </c>
      <c r="AA15" s="2885">
        <f>ROUND(IF(项目基本情况!B8="出让",SUMPRODUCT(PRODUCT(1+P15:P$35)),SUMPRODUCT(PRODUCT(1+P15:P$34))),4)</f>
        <v>1.5782</v>
      </c>
      <c r="AB15" s="2885">
        <f>ROUND(IF(项目基本情况!B8="出让",SUMPRODUCT(PRODUCT(1+Q15:Q$35)),SUMPRODUCT(PRODUCT(1+Q15:Q$34))),4)</f>
        <v>1.3405</v>
      </c>
      <c r="AC15" s="2885"/>
      <c r="AD15" s="2886">
        <f>ROUND(AVERAGE(I15:I$35)/100,4)</f>
        <v>2.1600000000000001E-2</v>
      </c>
      <c r="AE15" s="2886">
        <f>ROUND(AVERAGE(J15:J$35)/100,4)</f>
        <v>1.5299999999999999E-2</v>
      </c>
      <c r="AF15" s="2886">
        <f t="shared" ref="AF15" si="121">AE15</f>
        <v>1.5299999999999999E-2</v>
      </c>
      <c r="AG15" s="2886">
        <f>ROUND(AVERAGE(K15:K$35)/100,4)</f>
        <v>2.3699999999999999E-2</v>
      </c>
      <c r="AH15" s="2886">
        <f>ROUND(AVERAGE(L15:L$35)/100,4)</f>
        <v>1.47E-2</v>
      </c>
    </row>
    <row r="16" spans="1:34" s="2904" customFormat="1">
      <c r="A16" s="2897" t="s">
        <v>2940</v>
      </c>
      <c r="B16" s="2908">
        <f t="shared" si="101"/>
        <v>464.37293017158942</v>
      </c>
      <c r="C16" s="2908">
        <f t="shared" ref="C16" si="122">C17*(1+O16)</f>
        <v>344.73679941385956</v>
      </c>
      <c r="D16" s="2908">
        <f t="shared" ref="D16" si="123">C16</f>
        <v>344.73679941385956</v>
      </c>
      <c r="E16" s="2908">
        <f t="shared" ref="E16" si="124">E17*(1+P16)</f>
        <v>663.2377795103107</v>
      </c>
      <c r="F16" s="2909">
        <f t="shared" ref="F16" si="125">F17*(1+Q16)</f>
        <v>304.75936311478398</v>
      </c>
      <c r="G16" s="3641">
        <v>2018</v>
      </c>
      <c r="H16" s="2906">
        <v>4</v>
      </c>
      <c r="I16" s="2906">
        <v>0.96</v>
      </c>
      <c r="J16" s="2906">
        <v>1.03</v>
      </c>
      <c r="K16" s="2906">
        <v>0.92</v>
      </c>
      <c r="L16" s="2907">
        <v>1.29</v>
      </c>
      <c r="M16" s="2885"/>
      <c r="N16" s="2900">
        <f t="shared" ref="N16" si="126">I16/100</f>
        <v>9.5999999999999992E-3</v>
      </c>
      <c r="O16" s="2886">
        <f t="shared" ref="O16" si="127">J16/100</f>
        <v>1.03E-2</v>
      </c>
      <c r="P16" s="2886">
        <f t="shared" ref="P16" si="128">K16/100</f>
        <v>9.1999999999999998E-3</v>
      </c>
      <c r="Q16" s="2886">
        <f t="shared" ref="Q16" si="129">L16/100</f>
        <v>1.29E-2</v>
      </c>
      <c r="R16" s="2901"/>
      <c r="S16" s="2910"/>
      <c r="T16" s="2911"/>
      <c r="U16" s="2911"/>
      <c r="V16" s="2911"/>
      <c r="W16" s="2885"/>
      <c r="X16" s="2885">
        <f>ROUND(SUMPRODUCT(PRODUCT(1+N16:N$34)),4)</f>
        <v>1.5099</v>
      </c>
      <c r="Y16" s="2885">
        <f>ROUND(SUMPRODUCT(PRODUCT(1+O16:O$34)),4)</f>
        <v>1.3372999999999999</v>
      </c>
      <c r="Z16" s="2885">
        <f t="shared" ref="Z16" si="130">Y16</f>
        <v>1.3372999999999999</v>
      </c>
      <c r="AA16" s="2885">
        <f>ROUND(SUMPRODUCT(PRODUCT(1+P16:P$34)),4)</f>
        <v>1.5683</v>
      </c>
      <c r="AB16" s="2885">
        <f>ROUND(SUMPRODUCT(PRODUCT(1+Q16:Q$34)),4)</f>
        <v>1.3255999999999999</v>
      </c>
      <c r="AC16" s="2885"/>
      <c r="AD16" s="2886">
        <f>ROUND(AVERAGE(I16:I$35)/100,4)</f>
        <v>2.24E-2</v>
      </c>
      <c r="AE16" s="2886">
        <f>ROUND(AVERAGE(J16:J$35)/100,4)</f>
        <v>1.5800000000000002E-2</v>
      </c>
      <c r="AF16" s="2886">
        <f t="shared" ref="AF16" si="131">AE16</f>
        <v>1.5800000000000002E-2</v>
      </c>
      <c r="AG16" s="2886">
        <f>ROUND(AVERAGE(K16:K$35)/100,4)</f>
        <v>2.4500000000000001E-2</v>
      </c>
      <c r="AH16" s="2886">
        <f>ROUND(AVERAGE(L16:L$35)/100,4)</f>
        <v>1.49E-2</v>
      </c>
    </row>
    <row r="17" spans="1:34" s="2904" customFormat="1" ht="14.45" customHeight="1">
      <c r="A17" s="2897" t="s">
        <v>2933</v>
      </c>
      <c r="B17" s="2898">
        <f t="shared" si="101"/>
        <v>459.95733971036987</v>
      </c>
      <c r="C17" s="2898">
        <f t="shared" ref="C17" si="132">C18*(1+O17)</f>
        <v>341.22221064422405</v>
      </c>
      <c r="D17" s="2898">
        <f t="shared" ref="D17" si="133">C17</f>
        <v>341.22221064422405</v>
      </c>
      <c r="E17" s="2898">
        <f t="shared" ref="E17" si="134">E18*(1+P17)</f>
        <v>657.19161663724799</v>
      </c>
      <c r="F17" s="2898">
        <f t="shared" ref="F17" si="135">F18*(1+Q17)</f>
        <v>300.87803644464805</v>
      </c>
      <c r="G17" s="3641"/>
      <c r="H17" s="2899">
        <v>3</v>
      </c>
      <c r="I17" s="2899">
        <v>1.51</v>
      </c>
      <c r="J17" s="2899">
        <v>1.41</v>
      </c>
      <c r="K17" s="2899">
        <v>1.52</v>
      </c>
      <c r="L17" s="2905">
        <v>1.74</v>
      </c>
      <c r="M17" s="2885"/>
      <c r="N17" s="2900">
        <f t="shared" ref="N17" si="136">I17/100</f>
        <v>1.5100000000000001E-2</v>
      </c>
      <c r="O17" s="2886">
        <f t="shared" ref="O17" si="137">J17/100</f>
        <v>1.41E-2</v>
      </c>
      <c r="P17" s="2886">
        <f t="shared" ref="P17" si="138">K17/100</f>
        <v>1.52E-2</v>
      </c>
      <c r="Q17" s="2886">
        <f t="shared" ref="Q17" si="139">L17/100</f>
        <v>1.7399999999999999E-2</v>
      </c>
      <c r="R17" s="2901"/>
      <c r="S17" s="2900"/>
      <c r="T17" s="2886"/>
      <c r="U17" s="2886"/>
      <c r="V17" s="2886"/>
      <c r="W17" s="2885"/>
      <c r="X17" s="2885">
        <f>ROUND(SUMPRODUCT(PRODUCT(1+N17:N$34)),4)</f>
        <v>1.4956</v>
      </c>
      <c r="Y17" s="2885">
        <f>ROUND(SUMPRODUCT(PRODUCT(1+O17:O$34)),4)</f>
        <v>1.3237000000000001</v>
      </c>
      <c r="Z17" s="2885">
        <f t="shared" ref="Z17" si="140">Y17</f>
        <v>1.3237000000000001</v>
      </c>
      <c r="AA17" s="2885">
        <f>ROUND(SUMPRODUCT(PRODUCT(1+P17:P$34)),4)</f>
        <v>1.554</v>
      </c>
      <c r="AB17" s="2885">
        <f>ROUND(SUMPRODUCT(PRODUCT(1+Q17:Q$34)),4)</f>
        <v>1.3087</v>
      </c>
      <c r="AC17" s="2885"/>
      <c r="AD17" s="2886">
        <f>ROUND(AVERAGE(I17:I$35)/100,4)</f>
        <v>2.3099999999999999E-2</v>
      </c>
      <c r="AE17" s="2886">
        <f>ROUND(AVERAGE(J17:J$35)/100,4)</f>
        <v>1.61E-2</v>
      </c>
      <c r="AF17" s="2886">
        <f t="shared" ref="AF17" si="141">AE17</f>
        <v>1.61E-2</v>
      </c>
      <c r="AG17" s="2886">
        <f>ROUND(AVERAGE(K17:K$35)/100,4)</f>
        <v>2.53E-2</v>
      </c>
      <c r="AH17" s="2886">
        <f>ROUND(AVERAGE(L17:L$35)/100,4)</f>
        <v>1.4999999999999999E-2</v>
      </c>
    </row>
    <row r="18" spans="1:34" s="2904" customFormat="1" ht="14.45" customHeight="1">
      <c r="A18" s="2897" t="s">
        <v>2934</v>
      </c>
      <c r="B18" s="2898">
        <f t="shared" si="101"/>
        <v>453.11529869999993</v>
      </c>
      <c r="C18" s="2898">
        <f t="shared" ref="C18" si="142">C19*(1+O18)</f>
        <v>336.47787264000004</v>
      </c>
      <c r="D18" s="2898">
        <f t="shared" ref="D18" si="143">C18</f>
        <v>336.47787264000004</v>
      </c>
      <c r="E18" s="2898">
        <f t="shared" ref="E18" si="144">E19*(1+P18)</f>
        <v>647.35186823999993</v>
      </c>
      <c r="F18" s="2898">
        <f t="shared" ref="F18" si="145">F19*(1+Q18)</f>
        <v>295.73229452000004</v>
      </c>
      <c r="G18" s="3641"/>
      <c r="H18" s="2912">
        <v>2</v>
      </c>
      <c r="I18" s="2912">
        <v>1.49</v>
      </c>
      <c r="J18" s="2912">
        <v>0.96</v>
      </c>
      <c r="K18" s="2912">
        <v>1.58</v>
      </c>
      <c r="L18" s="2913">
        <v>2.44</v>
      </c>
      <c r="M18" s="2885"/>
      <c r="N18" s="2900">
        <f t="shared" ref="N18" si="146">I18/100</f>
        <v>1.49E-2</v>
      </c>
      <c r="O18" s="2886">
        <f t="shared" ref="O18" si="147">J18/100</f>
        <v>9.5999999999999992E-3</v>
      </c>
      <c r="P18" s="2886">
        <f t="shared" ref="P18" si="148">K18/100</f>
        <v>1.5800000000000002E-2</v>
      </c>
      <c r="Q18" s="2886">
        <f t="shared" ref="Q18" si="149">L18/100</f>
        <v>2.4399999999999998E-2</v>
      </c>
      <c r="R18" s="2901"/>
      <c r="S18" s="2900"/>
      <c r="T18" s="2886"/>
      <c r="U18" s="2886"/>
      <c r="V18" s="2886"/>
      <c r="W18" s="2885"/>
      <c r="X18" s="2885">
        <f>ROUND(SUMPRODUCT(PRODUCT(1+N18:N$34)),4)</f>
        <v>1.4733000000000001</v>
      </c>
      <c r="Y18" s="2885">
        <f>ROUND(SUMPRODUCT(PRODUCT(1+O18:O$34)),4)</f>
        <v>1.3052999999999999</v>
      </c>
      <c r="Z18" s="2885">
        <f t="shared" ref="Z18" si="150">Y18</f>
        <v>1.3052999999999999</v>
      </c>
      <c r="AA18" s="2885">
        <f>ROUND(SUMPRODUCT(PRODUCT(1+P18:P$34)),4)</f>
        <v>1.5306999999999999</v>
      </c>
      <c r="AB18" s="2885">
        <f>ROUND(SUMPRODUCT(PRODUCT(1+Q18:Q$34)),4)</f>
        <v>1.2863</v>
      </c>
      <c r="AC18" s="2885"/>
      <c r="AD18" s="2886">
        <f>ROUND(AVERAGE(I18:I$35)/100,4)</f>
        <v>2.35E-2</v>
      </c>
      <c r="AE18" s="2886">
        <f>ROUND(AVERAGE(J18:J$35)/100,4)</f>
        <v>1.6199999999999999E-2</v>
      </c>
      <c r="AF18" s="2886">
        <f t="shared" ref="AF18" si="151">AE18</f>
        <v>1.6199999999999999E-2</v>
      </c>
      <c r="AG18" s="2886">
        <f>ROUND(AVERAGE(K18:K$35)/100,4)</f>
        <v>2.5899999999999999E-2</v>
      </c>
      <c r="AH18" s="2886">
        <f>ROUND(AVERAGE(L18:L$35)/100,4)</f>
        <v>1.49E-2</v>
      </c>
    </row>
    <row r="19" spans="1:34" s="2904" customFormat="1" ht="15" customHeight="1" thickBot="1">
      <c r="A19" s="2897" t="s">
        <v>2930</v>
      </c>
      <c r="B19" s="2898">
        <f t="shared" si="101"/>
        <v>446.46299999999997</v>
      </c>
      <c r="C19" s="2898">
        <f t="shared" ref="C19" si="152">C20*(1+O19)</f>
        <v>333.27840000000003</v>
      </c>
      <c r="D19" s="2898">
        <f t="shared" ref="D19:D24" si="153">C19</f>
        <v>333.27840000000003</v>
      </c>
      <c r="E19" s="2898">
        <f t="shared" ref="E19" si="154">E20*(1+P19)</f>
        <v>637.28279999999995</v>
      </c>
      <c r="F19" s="2898">
        <f t="shared" ref="F19" si="155">F20*(1+Q19)</f>
        <v>288.68830000000003</v>
      </c>
      <c r="G19" s="3647"/>
      <c r="H19" s="2899">
        <v>1</v>
      </c>
      <c r="I19" s="2899">
        <v>1.7</v>
      </c>
      <c r="J19" s="2899">
        <v>1.92</v>
      </c>
      <c r="K19" s="2899">
        <v>1.64</v>
      </c>
      <c r="L19" s="2905">
        <v>2.0099999999999998</v>
      </c>
      <c r="M19" s="2885"/>
      <c r="N19" s="2900">
        <f t="shared" ref="N19:N24" si="156">I19/100</f>
        <v>1.7000000000000001E-2</v>
      </c>
      <c r="O19" s="2886">
        <f t="shared" ref="O19" si="157">J19/100</f>
        <v>1.9199999999999998E-2</v>
      </c>
      <c r="P19" s="2886">
        <f t="shared" ref="P19" si="158">K19/100</f>
        <v>1.6399999999999998E-2</v>
      </c>
      <c r="Q19" s="2886">
        <f t="shared" ref="Q19" si="159">L19/100</f>
        <v>2.0099999999999996E-2</v>
      </c>
      <c r="R19" s="2901"/>
      <c r="S19" s="2902">
        <f>B19/B20-1</f>
        <v>1.6999999999999904E-2</v>
      </c>
      <c r="T19" s="2903">
        <f>C19/C20-1</f>
        <v>1.9200000000000106E-2</v>
      </c>
      <c r="U19" s="2903">
        <f>E19/E20-1</f>
        <v>1.639999999999997E-2</v>
      </c>
      <c r="V19" s="2903">
        <f>F19/F20-1</f>
        <v>2.0100000000000007E-2</v>
      </c>
      <c r="W19" s="2885"/>
      <c r="X19" s="2885">
        <f>ROUND(SUMPRODUCT(PRODUCT(1+N19:N$34)),4)</f>
        <v>1.4517</v>
      </c>
      <c r="Y19" s="2885">
        <f>ROUND(SUMPRODUCT(PRODUCT(1+O19:O$34)),4)</f>
        <v>1.2928999999999999</v>
      </c>
      <c r="Z19" s="2885">
        <f t="shared" ref="Z19" si="160">Y19</f>
        <v>1.2928999999999999</v>
      </c>
      <c r="AA19" s="2885">
        <f>ROUND(SUMPRODUCT(PRODUCT(1+P19:P$34)),4)</f>
        <v>1.5068999999999999</v>
      </c>
      <c r="AB19" s="2885">
        <f>ROUND(SUMPRODUCT(PRODUCT(1+Q19:Q$34)),4)</f>
        <v>1.2557</v>
      </c>
      <c r="AC19" s="2885"/>
      <c r="AD19" s="2886">
        <f>ROUND(AVERAGE(I19:I$35)/100,4)</f>
        <v>2.4E-2</v>
      </c>
      <c r="AE19" s="2886">
        <f>ROUND(AVERAGE(J19:J$35)/100,4)</f>
        <v>1.66E-2</v>
      </c>
      <c r="AF19" s="2886">
        <f t="shared" ref="AF19" si="161">AE19</f>
        <v>1.66E-2</v>
      </c>
      <c r="AG19" s="2886">
        <f>ROUND(AVERAGE(K19:K$35)/100,4)</f>
        <v>2.6499999999999999E-2</v>
      </c>
      <c r="AH19" s="2886">
        <f>ROUND(AVERAGE(L19:L$35)/100,4)</f>
        <v>1.43E-2</v>
      </c>
    </row>
    <row r="20" spans="1:34">
      <c r="A20" s="2897" t="s">
        <v>2922</v>
      </c>
      <c r="B20" s="2914">
        <v>439</v>
      </c>
      <c r="C20" s="2914">
        <v>327</v>
      </c>
      <c r="D20" s="2914">
        <f t="shared" si="153"/>
        <v>327</v>
      </c>
      <c r="E20" s="2914">
        <v>627</v>
      </c>
      <c r="F20" s="2915">
        <v>283</v>
      </c>
      <c r="G20" s="3646">
        <v>2017</v>
      </c>
      <c r="H20" s="2906">
        <v>4</v>
      </c>
      <c r="I20" s="2906">
        <v>1.71</v>
      </c>
      <c r="J20" s="2906">
        <v>1.78</v>
      </c>
      <c r="K20" s="2906">
        <v>1.71</v>
      </c>
      <c r="L20" s="2907">
        <v>1.43</v>
      </c>
      <c r="N20" s="2916">
        <f t="shared" si="156"/>
        <v>1.7100000000000001E-2</v>
      </c>
      <c r="O20" s="2917">
        <f t="shared" ref="O20" si="162">J20/100</f>
        <v>1.78E-2</v>
      </c>
      <c r="P20" s="2917">
        <f t="shared" ref="P20" si="163">K20/100</f>
        <v>1.7100000000000001E-2</v>
      </c>
      <c r="Q20" s="2917">
        <f t="shared" ref="Q20" si="164">L20/100</f>
        <v>1.43E-2</v>
      </c>
      <c r="R20" s="2901"/>
      <c r="S20" s="2910"/>
      <c r="T20" s="2911"/>
      <c r="U20" s="2911"/>
      <c r="V20" s="2911"/>
      <c r="X20" s="2885">
        <f>ROUND(SUMPRODUCT(PRODUCT(1+N20:N$34)),4)</f>
        <v>1.4274</v>
      </c>
      <c r="Y20" s="2885">
        <f>ROUND(SUMPRODUCT(PRODUCT(1+O20:O$34)),4)</f>
        <v>1.2685</v>
      </c>
      <c r="Z20" s="2885">
        <f t="shared" si="0"/>
        <v>1.2685</v>
      </c>
      <c r="AA20" s="2885">
        <f>ROUND(SUMPRODUCT(PRODUCT(1+P20:P$34)),4)</f>
        <v>1.4825999999999999</v>
      </c>
      <c r="AB20" s="2885">
        <f>ROUND(SUMPRODUCT(PRODUCT(1+Q20:Q$34)),4)</f>
        <v>1.2309000000000001</v>
      </c>
      <c r="AD20" s="2886">
        <f>ROUND(AVERAGE(I20:I$35)/100,4)</f>
        <v>2.4500000000000001E-2</v>
      </c>
      <c r="AE20" s="2886">
        <f>ROUND(AVERAGE(J20:J$35)/100,4)</f>
        <v>1.6500000000000001E-2</v>
      </c>
      <c r="AF20" s="2886">
        <f t="shared" si="1"/>
        <v>1.6500000000000001E-2</v>
      </c>
      <c r="AG20" s="2886">
        <f>ROUND(AVERAGE(K20:K$35)/100,4)</f>
        <v>2.7099999999999999E-2</v>
      </c>
      <c r="AH20" s="2886">
        <f>ROUND(AVERAGE(L20:L$35)/100,4)</f>
        <v>1.3899999999999999E-2</v>
      </c>
    </row>
    <row r="21" spans="1:34" s="2904" customFormat="1" ht="14.45" customHeight="1">
      <c r="A21" s="2897" t="s">
        <v>2925</v>
      </c>
      <c r="B21" s="2898">
        <f t="shared" ref="B21:C23" si="165">B22*(1+N21)</f>
        <v>431.80730811680002</v>
      </c>
      <c r="C21" s="2898">
        <f t="shared" si="165"/>
        <v>320.57880516480003</v>
      </c>
      <c r="D21" s="2898">
        <f t="shared" si="153"/>
        <v>320.57880516480003</v>
      </c>
      <c r="E21" s="2898">
        <f t="shared" ref="E21:F23" si="166">E22*(1+P21)</f>
        <v>615.96110553196797</v>
      </c>
      <c r="F21" s="2898">
        <f t="shared" si="166"/>
        <v>279.46777300108801</v>
      </c>
      <c r="G21" s="3641"/>
      <c r="H21" s="2899">
        <v>3</v>
      </c>
      <c r="I21" s="2899">
        <v>2.98</v>
      </c>
      <c r="J21" s="2899">
        <v>2.11</v>
      </c>
      <c r="K21" s="2899">
        <v>3.24</v>
      </c>
      <c r="L21" s="2905">
        <v>1.72</v>
      </c>
      <c r="M21" s="2885"/>
      <c r="N21" s="2900">
        <f t="shared" si="156"/>
        <v>2.98E-2</v>
      </c>
      <c r="O21" s="2918">
        <f t="shared" ref="O21:O22" si="167">J21/100</f>
        <v>2.1099999999999997E-2</v>
      </c>
      <c r="P21" s="2918">
        <f t="shared" ref="P21:P22" si="168">K21/100</f>
        <v>3.2400000000000005E-2</v>
      </c>
      <c r="Q21" s="2918">
        <f t="shared" ref="Q21:Q22" si="169">L21/100</f>
        <v>1.72E-2</v>
      </c>
      <c r="R21" s="2901"/>
      <c r="S21" s="2900"/>
      <c r="T21" s="2886"/>
      <c r="U21" s="2886"/>
      <c r="V21" s="2886"/>
      <c r="W21" s="2885"/>
      <c r="X21" s="2885">
        <f>ROUND(SUMPRODUCT(PRODUCT(1+N21:N$34)),4)</f>
        <v>1.4034</v>
      </c>
      <c r="Y21" s="2885">
        <f>ROUND(SUMPRODUCT(PRODUCT(1+O21:O$34)),4)</f>
        <v>1.2463</v>
      </c>
      <c r="Z21" s="2885">
        <f t="shared" si="0"/>
        <v>1.2463</v>
      </c>
      <c r="AA21" s="2885">
        <f>ROUND(SUMPRODUCT(PRODUCT(1+P21:P$34)),4)</f>
        <v>1.4577</v>
      </c>
      <c r="AB21" s="2885">
        <f>ROUND(SUMPRODUCT(PRODUCT(1+Q21:Q$34)),4)</f>
        <v>1.2136</v>
      </c>
      <c r="AC21" s="2885"/>
      <c r="AD21" s="2886">
        <f>ROUND(AVERAGE(I21:I$35)/100,4)</f>
        <v>2.4899999999999999E-2</v>
      </c>
      <c r="AE21" s="2886">
        <f>ROUND(AVERAGE(J21:J$35)/100,4)</f>
        <v>1.6400000000000001E-2</v>
      </c>
      <c r="AF21" s="2886">
        <f t="shared" si="1"/>
        <v>1.6400000000000001E-2</v>
      </c>
      <c r="AG21" s="2886">
        <f>ROUND(AVERAGE(K21:K$35)/100,4)</f>
        <v>2.7799999999999998E-2</v>
      </c>
      <c r="AH21" s="2886">
        <f>ROUND(AVERAGE(L21:L$35)/100,4)</f>
        <v>1.3899999999999999E-2</v>
      </c>
    </row>
    <row r="22" spans="1:34" s="2863" customFormat="1" ht="14.45" customHeight="1">
      <c r="A22" s="2897" t="s">
        <v>2556</v>
      </c>
      <c r="B22" s="2898">
        <f t="shared" si="165"/>
        <v>419.31181600000002</v>
      </c>
      <c r="C22" s="2898">
        <f t="shared" si="165"/>
        <v>313.95436800000004</v>
      </c>
      <c r="D22" s="2898">
        <f t="shared" si="153"/>
        <v>313.95436800000004</v>
      </c>
      <c r="E22" s="2898">
        <f t="shared" si="166"/>
        <v>596.63028431999999</v>
      </c>
      <c r="F22" s="2898">
        <f t="shared" si="166"/>
        <v>274.74220703999998</v>
      </c>
      <c r="G22" s="3641"/>
      <c r="H22" s="2912">
        <v>2</v>
      </c>
      <c r="I22" s="2912">
        <v>3.4</v>
      </c>
      <c r="J22" s="2912">
        <v>2</v>
      </c>
      <c r="K22" s="2912">
        <v>3.82</v>
      </c>
      <c r="L22" s="2913">
        <v>1.68</v>
      </c>
      <c r="N22" s="2900">
        <f t="shared" si="156"/>
        <v>3.4000000000000002E-2</v>
      </c>
      <c r="O22" s="2918">
        <f t="shared" si="167"/>
        <v>0.02</v>
      </c>
      <c r="P22" s="2918">
        <f t="shared" si="168"/>
        <v>3.8199999999999998E-2</v>
      </c>
      <c r="Q22" s="2918">
        <f t="shared" si="169"/>
        <v>1.6799999999999999E-2</v>
      </c>
      <c r="S22" s="2900"/>
      <c r="T22" s="2886"/>
      <c r="U22" s="2886"/>
      <c r="V22" s="2886"/>
      <c r="X22" s="2885">
        <f>ROUND(SUMPRODUCT(PRODUCT(1+N22:N$34)),4)</f>
        <v>1.3628</v>
      </c>
      <c r="Y22" s="2885">
        <f>ROUND(SUMPRODUCT(PRODUCT(1+O22:O$34)),4)</f>
        <v>1.2205999999999999</v>
      </c>
      <c r="Z22" s="2885">
        <f t="shared" si="0"/>
        <v>1.2205999999999999</v>
      </c>
      <c r="AA22" s="2885">
        <f>ROUND(SUMPRODUCT(PRODUCT(1+P22:P$34)),4)</f>
        <v>1.4118999999999999</v>
      </c>
      <c r="AB22" s="2885">
        <f>ROUND(SUMPRODUCT(PRODUCT(1+Q22:Q$34)),4)</f>
        <v>1.1930000000000001</v>
      </c>
      <c r="AD22" s="2886">
        <f>ROUND(AVERAGE(I22:I$35)/100,4)</f>
        <v>2.46E-2</v>
      </c>
      <c r="AE22" s="2886">
        <f>ROUND(AVERAGE(J22:J$35)/100,4)</f>
        <v>1.6E-2</v>
      </c>
      <c r="AF22" s="2886">
        <f t="shared" si="1"/>
        <v>1.6E-2</v>
      </c>
      <c r="AG22" s="2886">
        <f>ROUND(AVERAGE(K22:K$35)/100,4)</f>
        <v>2.75E-2</v>
      </c>
      <c r="AH22" s="2886">
        <f>ROUND(AVERAGE(L22:L$35)/100,4)</f>
        <v>1.37E-2</v>
      </c>
    </row>
    <row r="23" spans="1:34" s="2904" customFormat="1" ht="15" customHeight="1" thickBot="1">
      <c r="A23" s="2897" t="s">
        <v>2557</v>
      </c>
      <c r="B23" s="2898">
        <f t="shared" si="165"/>
        <v>405.524</v>
      </c>
      <c r="C23" s="2898">
        <f t="shared" si="165"/>
        <v>307.79840000000002</v>
      </c>
      <c r="D23" s="2898">
        <f t="shared" si="153"/>
        <v>307.79840000000002</v>
      </c>
      <c r="E23" s="2898">
        <f t="shared" si="166"/>
        <v>574.67759999999998</v>
      </c>
      <c r="F23" s="2898">
        <f t="shared" si="166"/>
        <v>270.20280000000002</v>
      </c>
      <c r="G23" s="3647"/>
      <c r="H23" s="2899">
        <v>1</v>
      </c>
      <c r="I23" s="2899">
        <v>3.45</v>
      </c>
      <c r="J23" s="2899">
        <v>1.92</v>
      </c>
      <c r="K23" s="2899">
        <v>3.92</v>
      </c>
      <c r="L23" s="2905">
        <v>1.58</v>
      </c>
      <c r="M23" s="2885"/>
      <c r="N23" s="2902">
        <f t="shared" si="156"/>
        <v>3.4500000000000003E-2</v>
      </c>
      <c r="O23" s="2903">
        <f t="shared" ref="O23" si="170">J23/100</f>
        <v>1.9199999999999998E-2</v>
      </c>
      <c r="P23" s="2903">
        <f t="shared" ref="P23" si="171">K23/100</f>
        <v>3.9199999999999999E-2</v>
      </c>
      <c r="Q23" s="2903">
        <f t="shared" ref="Q23" si="172">L23/100</f>
        <v>1.5800000000000002E-2</v>
      </c>
      <c r="R23" s="2901"/>
      <c r="S23" s="2902">
        <f>B23/B24-1</f>
        <v>3.4499999999999975E-2</v>
      </c>
      <c r="T23" s="2903">
        <f>C23/C24-1</f>
        <v>1.9200000000000106E-2</v>
      </c>
      <c r="U23" s="2903">
        <f>E23/E24-1</f>
        <v>3.9199999999999902E-2</v>
      </c>
      <c r="V23" s="2903">
        <f>F23/F24-1</f>
        <v>1.5800000000000036E-2</v>
      </c>
      <c r="W23" s="2885"/>
      <c r="X23" s="2885">
        <f>ROUND(SUMPRODUCT(PRODUCT(1+N23:N$34)),4)</f>
        <v>1.3180000000000001</v>
      </c>
      <c r="Y23" s="2885">
        <f>ROUND(SUMPRODUCT(PRODUCT(1+O23:O$34)),4)</f>
        <v>1.1966000000000001</v>
      </c>
      <c r="Z23" s="2885">
        <f t="shared" si="0"/>
        <v>1.1966000000000001</v>
      </c>
      <c r="AA23" s="2885">
        <f>ROUND(SUMPRODUCT(PRODUCT(1+P23:P$34)),4)</f>
        <v>1.36</v>
      </c>
      <c r="AB23" s="2885">
        <f>ROUND(SUMPRODUCT(PRODUCT(1+Q23:Q$34)),4)</f>
        <v>1.1733</v>
      </c>
      <c r="AC23" s="2885"/>
      <c r="AD23" s="2886">
        <f>ROUND(AVERAGE(I23:I$35)/100,4)</f>
        <v>2.3900000000000001E-2</v>
      </c>
      <c r="AE23" s="2886">
        <f>ROUND(AVERAGE(J23:J$35)/100,4)</f>
        <v>1.5699999999999999E-2</v>
      </c>
      <c r="AF23" s="2886">
        <f t="shared" si="1"/>
        <v>1.5699999999999999E-2</v>
      </c>
      <c r="AG23" s="2886">
        <f>ROUND(AVERAGE(K23:K$35)/100,4)</f>
        <v>2.6599999999999999E-2</v>
      </c>
      <c r="AH23" s="2886">
        <f>ROUND(AVERAGE(L23:L$35)/100,4)</f>
        <v>1.34E-2</v>
      </c>
    </row>
    <row r="24" spans="1:34">
      <c r="A24" s="2897" t="s">
        <v>959</v>
      </c>
      <c r="B24" s="2919">
        <v>392</v>
      </c>
      <c r="C24" s="2919">
        <v>302</v>
      </c>
      <c r="D24" s="2919">
        <f t="shared" si="153"/>
        <v>302</v>
      </c>
      <c r="E24" s="2919">
        <v>553</v>
      </c>
      <c r="F24" s="2920">
        <v>266</v>
      </c>
      <c r="G24" s="3646">
        <v>2016</v>
      </c>
      <c r="H24" s="2906">
        <v>4</v>
      </c>
      <c r="I24" s="2906">
        <v>4.5599999999999996</v>
      </c>
      <c r="J24" s="2906">
        <v>2.15</v>
      </c>
      <c r="K24" s="2906">
        <v>5.32</v>
      </c>
      <c r="L24" s="2907">
        <v>1.57</v>
      </c>
      <c r="N24" s="2900">
        <f t="shared" si="156"/>
        <v>4.5599999999999995E-2</v>
      </c>
      <c r="O24" s="2886">
        <f t="shared" ref="O24:Q39" si="173">J24/100</f>
        <v>2.1499999999999998E-2</v>
      </c>
      <c r="P24" s="2886">
        <f t="shared" si="173"/>
        <v>5.3200000000000004E-2</v>
      </c>
      <c r="Q24" s="2886">
        <f t="shared" si="173"/>
        <v>1.5700000000000002E-2</v>
      </c>
      <c r="R24" s="2901"/>
      <c r="S24" s="2910"/>
      <c r="T24" s="2911"/>
      <c r="U24" s="2911"/>
      <c r="V24" s="2911"/>
      <c r="X24" s="2885">
        <f>ROUND(SUMPRODUCT(PRODUCT(1+N24:N$34)),4)</f>
        <v>1.274</v>
      </c>
      <c r="Y24" s="2885">
        <f>ROUND(SUMPRODUCT(PRODUCT(1+O24:O$34)),4)</f>
        <v>1.1740999999999999</v>
      </c>
      <c r="Z24" s="2885">
        <f t="shared" si="0"/>
        <v>1.1740999999999999</v>
      </c>
      <c r="AA24" s="2885">
        <f>ROUND(SUMPRODUCT(PRODUCT(1+P24:P$34)),4)</f>
        <v>1.3087</v>
      </c>
      <c r="AB24" s="2885">
        <f>ROUND(SUMPRODUCT(PRODUCT(1+Q24:Q$34)),4)</f>
        <v>1.1551</v>
      </c>
      <c r="AD24" s="2886">
        <f>ROUND(AVERAGE(I24:I$35)/100,4)</f>
        <v>2.3E-2</v>
      </c>
      <c r="AE24" s="2886">
        <f>ROUND(AVERAGE(J24:J$35)/100,4)</f>
        <v>1.55E-2</v>
      </c>
      <c r="AF24" s="2886">
        <f t="shared" si="1"/>
        <v>1.55E-2</v>
      </c>
      <c r="AG24" s="2886">
        <f>ROUND(AVERAGE(K24:K$35)/100,4)</f>
        <v>2.5600000000000001E-2</v>
      </c>
      <c r="AH24" s="2886">
        <f>ROUND(AVERAGE(L24:L$35)/100,4)</f>
        <v>1.32E-2</v>
      </c>
    </row>
    <row r="25" spans="1:34">
      <c r="A25" s="2897" t="s">
        <v>958</v>
      </c>
      <c r="B25" s="2898">
        <f t="shared" ref="B25:C27" si="174">B24/(1+N24)</f>
        <v>374.90436113236416</v>
      </c>
      <c r="C25" s="2898">
        <f t="shared" si="174"/>
        <v>295.64366128242779</v>
      </c>
      <c r="D25" s="2898">
        <f t="shared" ref="D25:D84" si="175">C25</f>
        <v>295.64366128242779</v>
      </c>
      <c r="E25" s="2898">
        <f t="shared" ref="E25:F27" si="176">E24/(1+P24)</f>
        <v>525.06646410938095</v>
      </c>
      <c r="F25" s="2898">
        <f t="shared" si="176"/>
        <v>261.88835286009646</v>
      </c>
      <c r="G25" s="3641"/>
      <c r="H25" s="2899">
        <v>3</v>
      </c>
      <c r="I25" s="2899">
        <v>4.12</v>
      </c>
      <c r="J25" s="2899">
        <v>2</v>
      </c>
      <c r="K25" s="2899">
        <v>4.79</v>
      </c>
      <c r="L25" s="2905">
        <v>1.97</v>
      </c>
      <c r="N25" s="2900">
        <f t="shared" ref="N25:Q59" si="177">I25/100</f>
        <v>4.1200000000000001E-2</v>
      </c>
      <c r="O25" s="2886">
        <f t="shared" si="173"/>
        <v>0.02</v>
      </c>
      <c r="P25" s="2886">
        <f t="shared" si="173"/>
        <v>4.7899999999999998E-2</v>
      </c>
      <c r="Q25" s="2886">
        <f t="shared" si="173"/>
        <v>1.9699999999999999E-2</v>
      </c>
      <c r="R25" s="2901"/>
      <c r="S25" s="2900"/>
      <c r="T25" s="2886"/>
      <c r="U25" s="2886"/>
      <c r="V25" s="2886"/>
      <c r="X25" s="2885">
        <f>ROUND(SUMPRODUCT(PRODUCT(1+N25:N$34)),4)</f>
        <v>1.2184999999999999</v>
      </c>
      <c r="Y25" s="2885">
        <f>ROUND(SUMPRODUCT(PRODUCT(1+O25:O$34)),4)</f>
        <v>1.1494</v>
      </c>
      <c r="Z25" s="2885">
        <f t="shared" si="0"/>
        <v>1.1494</v>
      </c>
      <c r="AA25" s="2885">
        <f>ROUND(SUMPRODUCT(PRODUCT(1+P25:P$34)),4)</f>
        <v>1.2425999999999999</v>
      </c>
      <c r="AB25" s="2885">
        <f>ROUND(SUMPRODUCT(PRODUCT(1+Q25:Q$34)),4)</f>
        <v>1.1372</v>
      </c>
      <c r="AD25" s="2886">
        <f>ROUND(AVERAGE(I25:I$35)/100,4)</f>
        <v>2.0899999999999998E-2</v>
      </c>
      <c r="AE25" s="2886">
        <f>ROUND(AVERAGE(J25:J$35)/100,4)</f>
        <v>1.49E-2</v>
      </c>
      <c r="AF25" s="2886">
        <f t="shared" si="1"/>
        <v>1.49E-2</v>
      </c>
      <c r="AG25" s="2886">
        <f>ROUND(AVERAGE(K25:K$35)/100,4)</f>
        <v>2.3099999999999999E-2</v>
      </c>
      <c r="AH25" s="2886">
        <f>ROUND(AVERAGE(L25:L$35)/100,4)</f>
        <v>1.2999999999999999E-2</v>
      </c>
    </row>
    <row r="26" spans="1:34">
      <c r="A26" s="2897" t="s">
        <v>948</v>
      </c>
      <c r="B26" s="2898">
        <f t="shared" si="174"/>
        <v>360.06949782209392</v>
      </c>
      <c r="C26" s="2898">
        <f t="shared" si="174"/>
        <v>289.84672674747821</v>
      </c>
      <c r="D26" s="2898">
        <f t="shared" si="175"/>
        <v>289.84672674747821</v>
      </c>
      <c r="E26" s="2898">
        <f t="shared" si="176"/>
        <v>501.06543001181495</v>
      </c>
      <c r="F26" s="2898">
        <f t="shared" si="176"/>
        <v>256.82882500744967</v>
      </c>
      <c r="G26" s="3641"/>
      <c r="H26" s="2912">
        <v>2</v>
      </c>
      <c r="I26" s="2912">
        <v>3.85</v>
      </c>
      <c r="J26" s="2912">
        <v>1.95</v>
      </c>
      <c r="K26" s="2912">
        <v>4.4800000000000004</v>
      </c>
      <c r="L26" s="2913">
        <v>1.41</v>
      </c>
      <c r="N26" s="2900">
        <f t="shared" si="177"/>
        <v>3.85E-2</v>
      </c>
      <c r="O26" s="2886">
        <f t="shared" si="173"/>
        <v>1.95E-2</v>
      </c>
      <c r="P26" s="2886">
        <f t="shared" si="173"/>
        <v>4.4800000000000006E-2</v>
      </c>
      <c r="Q26" s="2886">
        <f t="shared" si="173"/>
        <v>1.41E-2</v>
      </c>
      <c r="R26" s="2901"/>
      <c r="S26" s="2900"/>
      <c r="T26" s="2886"/>
      <c r="U26" s="2886"/>
      <c r="V26" s="2886"/>
      <c r="X26" s="2885">
        <f>ROUND(SUMPRODUCT(PRODUCT(1+N26:N$34)),4)</f>
        <v>1.1702999999999999</v>
      </c>
      <c r="Y26" s="2885">
        <f>ROUND(SUMPRODUCT(PRODUCT(1+O26:O$34)),4)</f>
        <v>1.1269</v>
      </c>
      <c r="Z26" s="2885">
        <f t="shared" si="0"/>
        <v>1.1269</v>
      </c>
      <c r="AA26" s="2885">
        <f>ROUND(SUMPRODUCT(PRODUCT(1+P26:P$34)),4)</f>
        <v>1.1858</v>
      </c>
      <c r="AB26" s="2885">
        <f>ROUND(SUMPRODUCT(PRODUCT(1+Q26:Q$34)),4)</f>
        <v>1.1152</v>
      </c>
      <c r="AD26" s="2886">
        <f>ROUND(AVERAGE(I26:I$35)/100,4)</f>
        <v>1.89E-2</v>
      </c>
      <c r="AE26" s="2886">
        <f>ROUND(AVERAGE(J26:J$35)/100,4)</f>
        <v>1.44E-2</v>
      </c>
      <c r="AF26" s="2886">
        <f t="shared" si="1"/>
        <v>1.44E-2</v>
      </c>
      <c r="AG26" s="2886">
        <f>ROUND(AVERAGE(K26:K$35)/100,4)</f>
        <v>2.06E-2</v>
      </c>
      <c r="AH26" s="2886">
        <f>ROUND(AVERAGE(L26:L$35)/100,4)</f>
        <v>1.23E-2</v>
      </c>
    </row>
    <row r="27" spans="1:34" ht="13.5" thickBot="1">
      <c r="A27" s="2897" t="s">
        <v>957</v>
      </c>
      <c r="B27" s="2898">
        <f t="shared" si="174"/>
        <v>346.720748986128</v>
      </c>
      <c r="C27" s="2898">
        <f t="shared" si="174"/>
        <v>284.30282172386285</v>
      </c>
      <c r="D27" s="2898">
        <f t="shared" si="175"/>
        <v>284.30282172386285</v>
      </c>
      <c r="E27" s="2898">
        <f t="shared" si="176"/>
        <v>479.58023546306947</v>
      </c>
      <c r="F27" s="2898">
        <f t="shared" si="176"/>
        <v>253.25788877571213</v>
      </c>
      <c r="G27" s="3642"/>
      <c r="H27" s="2899">
        <v>1</v>
      </c>
      <c r="I27" s="2899">
        <v>4.09</v>
      </c>
      <c r="J27" s="2899">
        <v>2.93</v>
      </c>
      <c r="K27" s="2899">
        <v>4.54</v>
      </c>
      <c r="L27" s="2905">
        <v>1.48</v>
      </c>
      <c r="N27" s="2900">
        <f t="shared" si="177"/>
        <v>4.0899999999999999E-2</v>
      </c>
      <c r="O27" s="2886">
        <f t="shared" si="173"/>
        <v>2.9300000000000003E-2</v>
      </c>
      <c r="P27" s="2886">
        <f t="shared" si="173"/>
        <v>4.5400000000000003E-2</v>
      </c>
      <c r="Q27" s="2886">
        <f t="shared" si="173"/>
        <v>1.4800000000000001E-2</v>
      </c>
      <c r="R27" s="2901"/>
      <c r="S27" s="2902">
        <f>B27/B28-1</f>
        <v>4.1203450408792808E-2</v>
      </c>
      <c r="T27" s="2903">
        <f>C27/C28-1</f>
        <v>2.6363977342465095E-2</v>
      </c>
      <c r="U27" s="2903">
        <f>E27/E28-1</f>
        <v>4.4837114298626357E-2</v>
      </c>
      <c r="V27" s="2903">
        <f>F27/F28-1</f>
        <v>1.7099954922538574E-2</v>
      </c>
      <c r="X27" s="2885">
        <f>ROUND(SUMPRODUCT(PRODUCT(1+N27:N$34)),4)</f>
        <v>1.1269</v>
      </c>
      <c r="Y27" s="2885">
        <f>ROUND(SUMPRODUCT(PRODUCT(1+O27:O$34)),4)</f>
        <v>1.1052999999999999</v>
      </c>
      <c r="Z27" s="2885">
        <f t="shared" si="0"/>
        <v>1.1052999999999999</v>
      </c>
      <c r="AA27" s="2885">
        <f>ROUND(SUMPRODUCT(PRODUCT(1+P27:P$34)),4)</f>
        <v>1.1349</v>
      </c>
      <c r="AB27" s="2885">
        <f>ROUND(SUMPRODUCT(PRODUCT(1+Q27:Q$34)),4)</f>
        <v>1.0996999999999999</v>
      </c>
      <c r="AD27" s="2886">
        <f>ROUND(AVERAGE(I27:I$35)/100,4)</f>
        <v>1.67E-2</v>
      </c>
      <c r="AE27" s="2886">
        <f>ROUND(AVERAGE(J27:J$35)/100,4)</f>
        <v>1.38E-2</v>
      </c>
      <c r="AF27" s="2886">
        <f t="shared" si="1"/>
        <v>1.38E-2</v>
      </c>
      <c r="AG27" s="2886">
        <f>ROUND(AVERAGE(K27:K$35)/100,4)</f>
        <v>1.7899999999999999E-2</v>
      </c>
      <c r="AH27" s="2886">
        <f>ROUND(AVERAGE(L27:L$35)/100,4)</f>
        <v>1.21E-2</v>
      </c>
    </row>
    <row r="28" spans="1:34" ht="13.5" thickBot="1">
      <c r="A28" s="2897" t="s">
        <v>956</v>
      </c>
      <c r="B28" s="2919">
        <v>333</v>
      </c>
      <c r="C28" s="2919">
        <v>277</v>
      </c>
      <c r="D28" s="2919">
        <f t="shared" si="175"/>
        <v>277</v>
      </c>
      <c r="E28" s="2919">
        <v>459</v>
      </c>
      <c r="F28" s="2920">
        <v>249</v>
      </c>
      <c r="G28" s="3640">
        <v>2015</v>
      </c>
      <c r="H28" s="2921">
        <v>4</v>
      </c>
      <c r="I28" s="2921">
        <v>1.63</v>
      </c>
      <c r="J28" s="2921">
        <v>1.1100000000000001</v>
      </c>
      <c r="K28" s="2921">
        <v>1.77</v>
      </c>
      <c r="L28" s="2922">
        <v>1.89</v>
      </c>
      <c r="N28" s="2916">
        <f t="shared" si="177"/>
        <v>1.6299999999999999E-2</v>
      </c>
      <c r="O28" s="2917">
        <f t="shared" si="173"/>
        <v>1.11E-2</v>
      </c>
      <c r="P28" s="2917">
        <f t="shared" si="173"/>
        <v>1.77E-2</v>
      </c>
      <c r="Q28" s="2917">
        <f t="shared" si="173"/>
        <v>1.89E-2</v>
      </c>
      <c r="R28" s="2901"/>
      <c r="X28" s="2885">
        <f>ROUND(SUMPRODUCT(PRODUCT(1+N28:N$34)),4)</f>
        <v>1.0826</v>
      </c>
      <c r="Y28" s="2885">
        <f>ROUND(SUMPRODUCT(PRODUCT(1+O28:O$34)),4)</f>
        <v>1.0738000000000001</v>
      </c>
      <c r="Z28" s="2885">
        <f t="shared" si="0"/>
        <v>1.0738000000000001</v>
      </c>
      <c r="AA28" s="2885">
        <f>ROUND(SUMPRODUCT(PRODUCT(1+P28:P$34)),4)</f>
        <v>1.0855999999999999</v>
      </c>
      <c r="AB28" s="2885">
        <f>ROUND(SUMPRODUCT(PRODUCT(1+Q28:Q$34)),4)</f>
        <v>1.0837000000000001</v>
      </c>
      <c r="AD28" s="2886">
        <f>ROUND(AVERAGE(I28:I$35)/100,4)</f>
        <v>1.37E-2</v>
      </c>
      <c r="AE28" s="2886">
        <f>ROUND(AVERAGE(J28:J$35)/100,4)</f>
        <v>1.1900000000000001E-2</v>
      </c>
      <c r="AF28" s="2886">
        <f t="shared" si="1"/>
        <v>1.1900000000000001E-2</v>
      </c>
      <c r="AG28" s="2886">
        <f>ROUND(AVERAGE(K28:K$35)/100,4)</f>
        <v>1.4500000000000001E-2</v>
      </c>
      <c r="AH28" s="2886">
        <f>ROUND(AVERAGE(L28:L$35)/100,4)</f>
        <v>1.18E-2</v>
      </c>
    </row>
    <row r="29" spans="1:34">
      <c r="A29" s="2897" t="s">
        <v>955</v>
      </c>
      <c r="B29" s="2898">
        <f t="shared" ref="B29:C31" si="178">B28/(1+N28)</f>
        <v>327.65915576109415</v>
      </c>
      <c r="C29" s="2898">
        <f t="shared" si="178"/>
        <v>273.95905449510434</v>
      </c>
      <c r="D29" s="2898">
        <f t="shared" si="175"/>
        <v>273.95905449510434</v>
      </c>
      <c r="E29" s="2898">
        <f t="shared" ref="E29:F31" si="179">E28/(1+P28)</f>
        <v>451.01699911565294</v>
      </c>
      <c r="F29" s="2898">
        <f t="shared" si="179"/>
        <v>244.38119540681129</v>
      </c>
      <c r="G29" s="3641"/>
      <c r="H29" s="2924">
        <v>3</v>
      </c>
      <c r="I29" s="2924">
        <v>1.65</v>
      </c>
      <c r="J29" s="2924">
        <v>0.92</v>
      </c>
      <c r="K29" s="2924">
        <v>1.88</v>
      </c>
      <c r="L29" s="2925">
        <v>1.26</v>
      </c>
      <c r="N29" s="2900">
        <f t="shared" si="177"/>
        <v>1.6500000000000001E-2</v>
      </c>
      <c r="O29" s="2918">
        <f t="shared" si="173"/>
        <v>9.1999999999999998E-3</v>
      </c>
      <c r="P29" s="2918">
        <f t="shared" si="173"/>
        <v>1.8799999999999997E-2</v>
      </c>
      <c r="Q29" s="2918">
        <f t="shared" si="173"/>
        <v>1.26E-2</v>
      </c>
      <c r="R29" s="2901"/>
      <c r="S29" s="2900"/>
      <c r="T29" s="2886"/>
      <c r="U29" s="2886"/>
      <c r="V29" s="2886"/>
      <c r="X29" s="2885">
        <f>ROUND(SUMPRODUCT(PRODUCT(1+N29:N$34)),4)</f>
        <v>1.0651999999999999</v>
      </c>
      <c r="Y29" s="2885">
        <f>ROUND(SUMPRODUCT(PRODUCT(1+O29:O$34)),4)</f>
        <v>1.0621</v>
      </c>
      <c r="Z29" s="2885">
        <f t="shared" si="0"/>
        <v>1.0621</v>
      </c>
      <c r="AA29" s="2885">
        <f>ROUND(SUMPRODUCT(PRODUCT(1+P29:P$34)),4)</f>
        <v>1.0668</v>
      </c>
      <c r="AB29" s="2885">
        <f>ROUND(SUMPRODUCT(PRODUCT(1+Q29:Q$34)),4)</f>
        <v>1.0636000000000001</v>
      </c>
      <c r="AD29" s="2886">
        <f>ROUND(AVERAGE(I29:I$35)/100,4)</f>
        <v>1.3299999999999999E-2</v>
      </c>
      <c r="AE29" s="2886">
        <f>ROUND(AVERAGE(J29:J$35)/100,4)</f>
        <v>1.2E-2</v>
      </c>
      <c r="AF29" s="2886">
        <f t="shared" si="1"/>
        <v>1.2E-2</v>
      </c>
      <c r="AG29" s="2886">
        <f>ROUND(AVERAGE(K29:K$35)/100,4)</f>
        <v>1.4E-2</v>
      </c>
      <c r="AH29" s="2886">
        <f>ROUND(AVERAGE(L29:L$35)/100,4)</f>
        <v>1.0800000000000001E-2</v>
      </c>
    </row>
    <row r="30" spans="1:34">
      <c r="A30" s="2897" t="s">
        <v>954</v>
      </c>
      <c r="B30" s="2898">
        <f t="shared" si="178"/>
        <v>322.34053690220776</v>
      </c>
      <c r="C30" s="2898">
        <f t="shared" si="178"/>
        <v>271.46160770422546</v>
      </c>
      <c r="D30" s="2898">
        <f t="shared" si="175"/>
        <v>271.46160770422546</v>
      </c>
      <c r="E30" s="2898">
        <f t="shared" si="179"/>
        <v>442.69434542172456</v>
      </c>
      <c r="F30" s="2898">
        <f t="shared" si="179"/>
        <v>241.34030753190925</v>
      </c>
      <c r="G30" s="3641"/>
      <c r="H30" s="2912">
        <v>2</v>
      </c>
      <c r="I30" s="2912">
        <v>0.77</v>
      </c>
      <c r="J30" s="2912">
        <v>0.69</v>
      </c>
      <c r="K30" s="2912">
        <v>0.8</v>
      </c>
      <c r="L30" s="2913">
        <v>0.88</v>
      </c>
      <c r="N30" s="2900">
        <f t="shared" si="177"/>
        <v>7.7000000000000002E-3</v>
      </c>
      <c r="O30" s="2918">
        <f t="shared" si="173"/>
        <v>6.8999999999999999E-3</v>
      </c>
      <c r="P30" s="2918">
        <f t="shared" si="173"/>
        <v>8.0000000000000002E-3</v>
      </c>
      <c r="Q30" s="2918">
        <f t="shared" si="173"/>
        <v>8.8000000000000005E-3</v>
      </c>
      <c r="R30" s="2901"/>
      <c r="S30" s="2900"/>
      <c r="T30" s="2886"/>
      <c r="U30" s="2886"/>
      <c r="V30" s="2886"/>
      <c r="X30" s="2885">
        <f>ROUND(SUMPRODUCT(PRODUCT(1+N30:N$34)),4)</f>
        <v>1.048</v>
      </c>
      <c r="Y30" s="2885">
        <f>ROUND(SUMPRODUCT(PRODUCT(1+O30:O$34)),4)</f>
        <v>1.0524</v>
      </c>
      <c r="Z30" s="2885">
        <f t="shared" si="0"/>
        <v>1.0524</v>
      </c>
      <c r="AA30" s="2885">
        <f>ROUND(SUMPRODUCT(PRODUCT(1+P30:P$34)),4)</f>
        <v>1.0470999999999999</v>
      </c>
      <c r="AB30" s="2885">
        <f>ROUND(SUMPRODUCT(PRODUCT(1+Q30:Q$34)),4)</f>
        <v>1.0504</v>
      </c>
      <c r="AD30" s="2886">
        <f>ROUND(AVERAGE(I30:I$35)/100,4)</f>
        <v>1.2800000000000001E-2</v>
      </c>
      <c r="AE30" s="2886">
        <f>ROUND(AVERAGE(J30:J$35)/100,4)</f>
        <v>1.2500000000000001E-2</v>
      </c>
      <c r="AF30" s="2886">
        <f t="shared" si="1"/>
        <v>1.2500000000000001E-2</v>
      </c>
      <c r="AG30" s="2886">
        <f>ROUND(AVERAGE(K30:K$35)/100,4)</f>
        <v>1.32E-2</v>
      </c>
      <c r="AH30" s="2886">
        <f>ROUND(AVERAGE(L30:L$35)/100,4)</f>
        <v>1.0500000000000001E-2</v>
      </c>
    </row>
    <row r="31" spans="1:34">
      <c r="A31" s="2897" t="s">
        <v>953</v>
      </c>
      <c r="B31" s="2898">
        <f t="shared" si="178"/>
        <v>319.87748030386797</v>
      </c>
      <c r="C31" s="2898">
        <f t="shared" si="178"/>
        <v>269.60135833173649</v>
      </c>
      <c r="D31" s="2898">
        <f t="shared" si="175"/>
        <v>269.60135833173649</v>
      </c>
      <c r="E31" s="2898">
        <f t="shared" si="179"/>
        <v>439.18089823583784</v>
      </c>
      <c r="F31" s="2898">
        <f t="shared" si="179"/>
        <v>239.23503918706311</v>
      </c>
      <c r="G31" s="3642"/>
      <c r="H31" s="2899">
        <v>1</v>
      </c>
      <c r="I31" s="2899">
        <v>0.51</v>
      </c>
      <c r="J31" s="2899">
        <v>0.54</v>
      </c>
      <c r="K31" s="2899">
        <v>0.48</v>
      </c>
      <c r="L31" s="2905">
        <v>0.93</v>
      </c>
      <c r="N31" s="2902">
        <f t="shared" si="177"/>
        <v>5.1000000000000004E-3</v>
      </c>
      <c r="O31" s="2903">
        <f t="shared" si="173"/>
        <v>5.4000000000000003E-3</v>
      </c>
      <c r="P31" s="2903">
        <f t="shared" si="173"/>
        <v>4.7999999999999996E-3</v>
      </c>
      <c r="Q31" s="2903">
        <f t="shared" si="173"/>
        <v>9.300000000000001E-3</v>
      </c>
      <c r="R31" s="2901"/>
      <c r="S31" s="2902">
        <f>B31/B32-1</f>
        <v>5.9040261127922822E-3</v>
      </c>
      <c r="T31" s="2903">
        <f>C31/C32-1</f>
        <v>5.9752176557332781E-3</v>
      </c>
      <c r="U31" s="2903">
        <f>E31/E32-1</f>
        <v>4.9906138119859556E-3</v>
      </c>
      <c r="V31" s="2903">
        <f>F31/F32-1</f>
        <v>9.4305450930933787E-3</v>
      </c>
      <c r="X31" s="2885">
        <f>ROUND(SUMPRODUCT(PRODUCT(1+N31:N$34)),4)</f>
        <v>1.0399</v>
      </c>
      <c r="Y31" s="2885">
        <f>ROUND(SUMPRODUCT(PRODUCT(1+O31:O$34)),4)</f>
        <v>1.0451999999999999</v>
      </c>
      <c r="Z31" s="2885">
        <f t="shared" si="0"/>
        <v>1.0451999999999999</v>
      </c>
      <c r="AA31" s="2885">
        <f>ROUND(SUMPRODUCT(PRODUCT(1+P31:P$34)),4)</f>
        <v>1.0387999999999999</v>
      </c>
      <c r="AB31" s="2885">
        <f>ROUND(SUMPRODUCT(PRODUCT(1+Q31:Q$34)),4)</f>
        <v>1.0411999999999999</v>
      </c>
      <c r="AD31" s="2886">
        <f>ROUND(AVERAGE(I31:I$35)/100,4)</f>
        <v>1.38E-2</v>
      </c>
      <c r="AE31" s="2886">
        <f>ROUND(AVERAGE(J31:J$35)/100,4)</f>
        <v>1.3599999999999999E-2</v>
      </c>
      <c r="AF31" s="2886">
        <f t="shared" si="1"/>
        <v>1.3599999999999999E-2</v>
      </c>
      <c r="AG31" s="2886">
        <f>ROUND(AVERAGE(K31:K$35)/100,4)</f>
        <v>1.4200000000000001E-2</v>
      </c>
      <c r="AH31" s="2886">
        <f>ROUND(AVERAGE(L31:L$35)/100,4)</f>
        <v>1.0800000000000001E-2</v>
      </c>
    </row>
    <row r="32" spans="1:34" ht="13.5" thickBot="1">
      <c r="A32" s="2897" t="s">
        <v>952</v>
      </c>
      <c r="B32" s="2926">
        <v>318</v>
      </c>
      <c r="C32" s="2926">
        <v>268</v>
      </c>
      <c r="D32" s="2926">
        <f t="shared" si="175"/>
        <v>268</v>
      </c>
      <c r="E32" s="2926">
        <v>437</v>
      </c>
      <c r="F32" s="2927">
        <v>237</v>
      </c>
      <c r="G32" s="3640">
        <v>2014</v>
      </c>
      <c r="H32" s="2921">
        <v>4</v>
      </c>
      <c r="I32" s="2921">
        <v>0.21</v>
      </c>
      <c r="J32" s="2921">
        <v>0.41</v>
      </c>
      <c r="K32" s="2921">
        <v>0.12</v>
      </c>
      <c r="L32" s="2922">
        <v>0.89</v>
      </c>
      <c r="N32" s="2900">
        <f t="shared" si="177"/>
        <v>2.0999999999999999E-3</v>
      </c>
      <c r="O32" s="2886">
        <f t="shared" si="173"/>
        <v>4.0999999999999995E-3</v>
      </c>
      <c r="P32" s="2886">
        <f t="shared" si="173"/>
        <v>1.1999999999999999E-3</v>
      </c>
      <c r="Q32" s="2886">
        <f t="shared" si="173"/>
        <v>8.8999999999999999E-3</v>
      </c>
      <c r="R32" s="2901"/>
      <c r="S32" s="2910"/>
      <c r="T32" s="2911"/>
      <c r="U32" s="2911"/>
      <c r="V32" s="2911"/>
      <c r="X32" s="2885">
        <f>ROUND(SUMPRODUCT(PRODUCT(1+N32:N$34)),4)</f>
        <v>1.0347</v>
      </c>
      <c r="Y32" s="2885">
        <f>ROUND(SUMPRODUCT(PRODUCT(1+O32:O$34)),4)</f>
        <v>1.0395000000000001</v>
      </c>
      <c r="Z32" s="2885">
        <f t="shared" si="0"/>
        <v>1.0395000000000001</v>
      </c>
      <c r="AA32" s="2885">
        <f>ROUND(SUMPRODUCT(PRODUCT(1+P32:P$34)),4)</f>
        <v>1.0338000000000001</v>
      </c>
      <c r="AB32" s="2885">
        <f>ROUND(SUMPRODUCT(PRODUCT(1+Q32:Q$34)),4)</f>
        <v>1.0316000000000001</v>
      </c>
      <c r="AD32" s="2886">
        <f>ROUND(AVERAGE(I32:I$35)/100,4)</f>
        <v>1.6E-2</v>
      </c>
      <c r="AE32" s="2886">
        <f>ROUND(AVERAGE(J32:J$35)/100,4)</f>
        <v>1.5599999999999999E-2</v>
      </c>
      <c r="AF32" s="2886">
        <f t="shared" si="1"/>
        <v>1.5599999999999999E-2</v>
      </c>
      <c r="AG32" s="2886">
        <f>ROUND(AVERAGE(K32:K$35)/100,4)</f>
        <v>1.66E-2</v>
      </c>
      <c r="AH32" s="2886">
        <f>ROUND(AVERAGE(L32:L$35)/100,4)</f>
        <v>1.12E-2</v>
      </c>
    </row>
    <row r="33" spans="1:34">
      <c r="A33" s="2897" t="s">
        <v>951</v>
      </c>
      <c r="B33" s="2898">
        <f t="shared" ref="B33:C35" si="180">B32/(1+N32)</f>
        <v>317.33359944117353</v>
      </c>
      <c r="C33" s="2898">
        <f t="shared" si="180"/>
        <v>266.90568668459315</v>
      </c>
      <c r="D33" s="2898">
        <f t="shared" si="175"/>
        <v>266.90568668459315</v>
      </c>
      <c r="E33" s="2898">
        <f t="shared" ref="E33:F35" si="181">E32/(1+P32)</f>
        <v>436.47622852576905</v>
      </c>
      <c r="F33" s="2898">
        <f t="shared" si="181"/>
        <v>234.90930716622066</v>
      </c>
      <c r="G33" s="3641"/>
      <c r="H33" s="2928">
        <v>3</v>
      </c>
      <c r="I33" s="2928">
        <v>0.83</v>
      </c>
      <c r="J33" s="2928">
        <v>1.47</v>
      </c>
      <c r="K33" s="2928">
        <v>0.65</v>
      </c>
      <c r="L33" s="2929">
        <v>0.72</v>
      </c>
      <c r="N33" s="2900">
        <f t="shared" si="177"/>
        <v>8.3000000000000001E-3</v>
      </c>
      <c r="O33" s="2886">
        <f t="shared" si="173"/>
        <v>1.47E-2</v>
      </c>
      <c r="P33" s="2886">
        <f t="shared" si="173"/>
        <v>6.5000000000000006E-3</v>
      </c>
      <c r="Q33" s="2886">
        <f t="shared" si="173"/>
        <v>7.1999999999999998E-3</v>
      </c>
      <c r="R33" s="2901"/>
      <c r="S33" s="2900"/>
      <c r="T33" s="2886"/>
      <c r="U33" s="2886"/>
      <c r="V33" s="2886"/>
      <c r="X33" s="2885">
        <f>ROUND(SUMPRODUCT(PRODUCT(1+N33:N$34)),4)</f>
        <v>1.0325</v>
      </c>
      <c r="Y33" s="2885">
        <f>ROUND(SUMPRODUCT(PRODUCT(1+O33:O$34)),4)</f>
        <v>1.0353000000000001</v>
      </c>
      <c r="Z33" s="2885">
        <f t="shared" ref="Z33:Z34" si="182">Y33</f>
        <v>1.0353000000000001</v>
      </c>
      <c r="AA33" s="2885">
        <f>ROUND(SUMPRODUCT(PRODUCT(1+P33:P$34)),4)</f>
        <v>1.0326</v>
      </c>
      <c r="AB33" s="2885">
        <f>ROUND(SUMPRODUCT(PRODUCT(1+Q33:Q$34)),4)</f>
        <v>1.0225</v>
      </c>
      <c r="AD33" s="2886">
        <f>ROUND(AVERAGE(I33:I$35)/100,4)</f>
        <v>2.07E-2</v>
      </c>
      <c r="AE33" s="2886">
        <f>ROUND(AVERAGE(J33:J$35)/100,4)</f>
        <v>1.95E-2</v>
      </c>
      <c r="AF33" s="2886">
        <f t="shared" si="1"/>
        <v>1.95E-2</v>
      </c>
      <c r="AG33" s="2886">
        <f>ROUND(AVERAGE(K33:K$35)/100,4)</f>
        <v>2.1700000000000001E-2</v>
      </c>
      <c r="AH33" s="2886">
        <f>ROUND(AVERAGE(L33:L$35)/100,4)</f>
        <v>1.2E-2</v>
      </c>
    </row>
    <row r="34" spans="1:34" ht="13.5" thickBot="1">
      <c r="A34" s="2897" t="s">
        <v>950</v>
      </c>
      <c r="B34" s="2898">
        <f t="shared" si="180"/>
        <v>314.72141172386546</v>
      </c>
      <c r="C34" s="2898">
        <f t="shared" si="180"/>
        <v>263.03901319069001</v>
      </c>
      <c r="D34" s="2898">
        <f t="shared" si="175"/>
        <v>263.03901319069001</v>
      </c>
      <c r="E34" s="2898">
        <f t="shared" si="181"/>
        <v>433.65745506782821</v>
      </c>
      <c r="F34" s="2898">
        <f t="shared" si="181"/>
        <v>233.23005080045735</v>
      </c>
      <c r="G34" s="3641"/>
      <c r="H34" s="2921">
        <v>2</v>
      </c>
      <c r="I34" s="2921">
        <v>2.4</v>
      </c>
      <c r="J34" s="2921">
        <v>2.0299999999999998</v>
      </c>
      <c r="K34" s="2921">
        <v>2.59</v>
      </c>
      <c r="L34" s="2922">
        <v>1.52</v>
      </c>
      <c r="N34" s="2900">
        <f t="shared" si="177"/>
        <v>2.4E-2</v>
      </c>
      <c r="O34" s="2886">
        <f t="shared" si="173"/>
        <v>2.0299999999999999E-2</v>
      </c>
      <c r="P34" s="2886">
        <f t="shared" si="173"/>
        <v>2.5899999999999999E-2</v>
      </c>
      <c r="Q34" s="2886">
        <f t="shared" si="173"/>
        <v>1.52E-2</v>
      </c>
      <c r="R34" s="2901"/>
      <c r="S34" s="2900"/>
      <c r="T34" s="2886"/>
      <c r="U34" s="2886"/>
      <c r="V34" s="2886"/>
      <c r="X34" s="2885">
        <f>1+N34</f>
        <v>1.024</v>
      </c>
      <c r="Y34" s="2885">
        <f>1+O34</f>
        <v>1.0203</v>
      </c>
      <c r="Z34" s="2885">
        <f t="shared" si="182"/>
        <v>1.0203</v>
      </c>
      <c r="AA34" s="2885">
        <f>1+P34</f>
        <v>1.0259</v>
      </c>
      <c r="AB34" s="2885">
        <f>1+Q34</f>
        <v>1.0152000000000001</v>
      </c>
      <c r="AD34" s="2886">
        <f>ROUND(AVERAGE(I34:I$35)/100,4)</f>
        <v>2.69E-2</v>
      </c>
      <c r="AE34" s="2886">
        <f>ROUND(AVERAGE(J34:J$35)/100,4)</f>
        <v>2.1899999999999999E-2</v>
      </c>
      <c r="AF34" s="2886">
        <f t="shared" ref="AF34" si="183">AE34</f>
        <v>2.1899999999999999E-2</v>
      </c>
      <c r="AG34" s="2886">
        <f>ROUND(AVERAGE(K34:K$35)/100,4)</f>
        <v>2.9399999999999999E-2</v>
      </c>
      <c r="AH34" s="2886">
        <f>ROUND(AVERAGE(L34:L$35)/100,4)</f>
        <v>1.44E-2</v>
      </c>
    </row>
    <row r="35" spans="1:34" s="2934" customFormat="1" ht="13.5" thickBot="1">
      <c r="A35" s="2930" t="s">
        <v>949</v>
      </c>
      <c r="B35" s="2931">
        <f t="shared" si="180"/>
        <v>307.34512863658733</v>
      </c>
      <c r="C35" s="2931">
        <f t="shared" si="180"/>
        <v>257.80556031626975</v>
      </c>
      <c r="D35" s="2931">
        <f t="shared" si="175"/>
        <v>257.80556031626975</v>
      </c>
      <c r="E35" s="2931">
        <f t="shared" si="181"/>
        <v>422.70928459677179</v>
      </c>
      <c r="F35" s="2931">
        <f t="shared" si="181"/>
        <v>229.73803270336617</v>
      </c>
      <c r="G35" s="3642"/>
      <c r="H35" s="2932">
        <v>1</v>
      </c>
      <c r="I35" s="2932">
        <v>2.97</v>
      </c>
      <c r="J35" s="2932">
        <v>2.34</v>
      </c>
      <c r="K35" s="2932">
        <v>3.28</v>
      </c>
      <c r="L35" s="2933">
        <v>1.36</v>
      </c>
      <c r="N35" s="2935">
        <f t="shared" si="177"/>
        <v>2.9700000000000001E-2</v>
      </c>
      <c r="O35" s="2936">
        <f t="shared" si="173"/>
        <v>2.3399999999999997E-2</v>
      </c>
      <c r="P35" s="2936">
        <f t="shared" si="173"/>
        <v>3.2799999999999996E-2</v>
      </c>
      <c r="Q35" s="2936">
        <f t="shared" si="173"/>
        <v>1.3600000000000001E-2</v>
      </c>
      <c r="R35" s="2937"/>
      <c r="S35" s="2938">
        <f>B35/B36-1</f>
        <v>2.7910129219355539E-2</v>
      </c>
      <c r="T35" s="2939">
        <f>C35/C36-1</f>
        <v>2.3037937762975247E-2</v>
      </c>
      <c r="U35" s="2939">
        <f>E35/E36-1</f>
        <v>3.3519033243940788E-2</v>
      </c>
      <c r="V35" s="2939">
        <f>F35/F36-1</f>
        <v>1.2061818076502862E-2</v>
      </c>
      <c r="W35" s="2940" t="s">
        <v>2615</v>
      </c>
      <c r="X35" s="2941">
        <v>1</v>
      </c>
      <c r="Y35" s="2941">
        <v>1</v>
      </c>
      <c r="Z35" s="2941">
        <v>1</v>
      </c>
      <c r="AA35" s="2941">
        <v>1</v>
      </c>
      <c r="AB35" s="2941">
        <v>1</v>
      </c>
      <c r="AD35" s="2936">
        <f>I35/100</f>
        <v>2.9700000000000001E-2</v>
      </c>
      <c r="AE35" s="2936">
        <f>J35/100</f>
        <v>2.3399999999999997E-2</v>
      </c>
      <c r="AF35" s="2936">
        <f>AE35</f>
        <v>2.3399999999999997E-2</v>
      </c>
      <c r="AG35" s="2936">
        <f>K35/100</f>
        <v>3.2799999999999996E-2</v>
      </c>
      <c r="AH35" s="2936">
        <f>L35/100</f>
        <v>1.3600000000000001E-2</v>
      </c>
    </row>
    <row r="36" spans="1:34" ht="13.5" thickBot="1">
      <c r="A36" s="2897" t="s">
        <v>2558</v>
      </c>
      <c r="B36" s="2919">
        <v>299</v>
      </c>
      <c r="C36" s="2919">
        <v>252</v>
      </c>
      <c r="D36" s="2919">
        <f t="shared" si="175"/>
        <v>252</v>
      </c>
      <c r="E36" s="2919">
        <v>409</v>
      </c>
      <c r="F36" s="2920">
        <v>227</v>
      </c>
      <c r="G36" s="3643">
        <v>2013</v>
      </c>
      <c r="H36" s="2942">
        <v>4</v>
      </c>
      <c r="I36" s="2942">
        <v>1.83</v>
      </c>
      <c r="J36" s="2942">
        <v>1.68</v>
      </c>
      <c r="K36" s="2942">
        <v>1.97</v>
      </c>
      <c r="L36" s="2943">
        <v>0.87</v>
      </c>
      <c r="N36" s="2916">
        <f t="shared" si="177"/>
        <v>1.83E-2</v>
      </c>
      <c r="O36" s="2917">
        <f t="shared" si="173"/>
        <v>1.6799999999999999E-2</v>
      </c>
      <c r="P36" s="2917">
        <f t="shared" si="173"/>
        <v>1.9699999999999999E-2</v>
      </c>
      <c r="Q36" s="2917">
        <f t="shared" si="173"/>
        <v>8.6999999999999994E-3</v>
      </c>
      <c r="R36" s="2901"/>
      <c r="S36" s="2910"/>
      <c r="T36" s="2911"/>
      <c r="U36" s="2911"/>
      <c r="V36" s="2911"/>
      <c r="X36" s="2911"/>
      <c r="Y36" s="2911"/>
      <c r="Z36" s="2911"/>
    </row>
    <row r="37" spans="1:34">
      <c r="A37" s="2897" t="s">
        <v>2559</v>
      </c>
      <c r="B37" s="2898">
        <f t="shared" ref="B37:C39" si="184">B36/(1+N36)</f>
        <v>293.62663262299913</v>
      </c>
      <c r="C37" s="2898">
        <f t="shared" si="184"/>
        <v>247.83634933123525</v>
      </c>
      <c r="D37" s="2898">
        <f t="shared" si="175"/>
        <v>247.83634933123525</v>
      </c>
      <c r="E37" s="2898">
        <f t="shared" ref="E37:F39" si="185">E36/(1+P36)</f>
        <v>401.09836226341076</v>
      </c>
      <c r="F37" s="2898">
        <f t="shared" si="185"/>
        <v>225.04213343908003</v>
      </c>
      <c r="G37" s="3644"/>
      <c r="H37" s="2924">
        <v>3</v>
      </c>
      <c r="I37" s="2924">
        <v>1.86</v>
      </c>
      <c r="J37" s="2924">
        <v>1.72</v>
      </c>
      <c r="K37" s="2924">
        <v>1.98</v>
      </c>
      <c r="L37" s="2925">
        <v>0.88</v>
      </c>
      <c r="N37" s="2900">
        <f t="shared" si="177"/>
        <v>1.8600000000000002E-2</v>
      </c>
      <c r="O37" s="2918">
        <f t="shared" si="173"/>
        <v>1.72E-2</v>
      </c>
      <c r="P37" s="2918">
        <f t="shared" si="173"/>
        <v>1.9799999999999998E-2</v>
      </c>
      <c r="Q37" s="2918">
        <f t="shared" si="173"/>
        <v>8.8000000000000005E-3</v>
      </c>
      <c r="R37" s="2901"/>
      <c r="S37" s="2900"/>
      <c r="T37" s="2886"/>
      <c r="U37" s="2886"/>
      <c r="V37" s="2886"/>
    </row>
    <row r="38" spans="1:34">
      <c r="A38" s="2897" t="s">
        <v>2560</v>
      </c>
      <c r="B38" s="2898">
        <f t="shared" si="184"/>
        <v>288.2649053828776</v>
      </c>
      <c r="C38" s="2898">
        <f t="shared" si="184"/>
        <v>243.64564425013293</v>
      </c>
      <c r="D38" s="2898">
        <f t="shared" si="175"/>
        <v>243.64564425013293</v>
      </c>
      <c r="E38" s="2898">
        <f t="shared" si="185"/>
        <v>393.31080825986544</v>
      </c>
      <c r="F38" s="2898">
        <f t="shared" si="185"/>
        <v>223.07903790551154</v>
      </c>
      <c r="G38" s="3644"/>
      <c r="H38" s="2912">
        <v>2</v>
      </c>
      <c r="I38" s="2912">
        <v>2.04</v>
      </c>
      <c r="J38" s="2912">
        <v>2.33</v>
      </c>
      <c r="K38" s="2912">
        <v>2.0699999999999998</v>
      </c>
      <c r="L38" s="2913">
        <v>0.69</v>
      </c>
      <c r="N38" s="2900">
        <f t="shared" si="177"/>
        <v>2.0400000000000001E-2</v>
      </c>
      <c r="O38" s="2918">
        <f t="shared" si="173"/>
        <v>2.3300000000000001E-2</v>
      </c>
      <c r="P38" s="2918">
        <f t="shared" si="173"/>
        <v>2.07E-2</v>
      </c>
      <c r="Q38" s="2918">
        <f t="shared" si="173"/>
        <v>6.8999999999999999E-3</v>
      </c>
      <c r="R38" s="2901"/>
      <c r="S38" s="2900"/>
      <c r="T38" s="2886"/>
      <c r="U38" s="2886"/>
      <c r="V38" s="2886"/>
      <c r="X38" s="2944"/>
      <c r="Y38" s="2945"/>
    </row>
    <row r="39" spans="1:34">
      <c r="A39" s="2897" t="s">
        <v>2561</v>
      </c>
      <c r="B39" s="2898">
        <f t="shared" si="184"/>
        <v>282.50186729015837</v>
      </c>
      <c r="C39" s="2898">
        <f t="shared" si="184"/>
        <v>238.09796174155468</v>
      </c>
      <c r="D39" s="2898">
        <f t="shared" si="175"/>
        <v>238.09796174155468</v>
      </c>
      <c r="E39" s="2898">
        <f t="shared" si="185"/>
        <v>385.33438646014054</v>
      </c>
      <c r="F39" s="2898">
        <f t="shared" si="185"/>
        <v>221.55034055567739</v>
      </c>
      <c r="G39" s="3645"/>
      <c r="H39" s="2899">
        <v>1</v>
      </c>
      <c r="I39" s="2899">
        <v>1.67</v>
      </c>
      <c r="J39" s="2899">
        <v>1.31</v>
      </c>
      <c r="K39" s="2899">
        <v>1.85</v>
      </c>
      <c r="L39" s="2905">
        <v>0.96</v>
      </c>
      <c r="N39" s="2902">
        <f t="shared" si="177"/>
        <v>1.67E-2</v>
      </c>
      <c r="O39" s="2903">
        <f t="shared" si="173"/>
        <v>1.3100000000000001E-2</v>
      </c>
      <c r="P39" s="2903">
        <f t="shared" si="173"/>
        <v>1.8500000000000003E-2</v>
      </c>
      <c r="Q39" s="2903">
        <f t="shared" si="173"/>
        <v>9.5999999999999992E-3</v>
      </c>
      <c r="R39" s="2901"/>
      <c r="S39" s="2902">
        <f>B39/B40-1</f>
        <v>1.6193767230785472E-2</v>
      </c>
      <c r="T39" s="2903">
        <f>C39/C40-1</f>
        <v>1.7512657015190891E-2</v>
      </c>
      <c r="U39" s="2903">
        <f>E39/E40-1</f>
        <v>1.6713420739157048E-2</v>
      </c>
      <c r="V39" s="2903">
        <f>F39/F40-1</f>
        <v>7.0470025258062563E-3</v>
      </c>
      <c r="X39" s="2946"/>
      <c r="Y39" s="2886"/>
      <c r="Z39" s="2886"/>
    </row>
    <row r="40" spans="1:34" ht="13.5" thickBot="1">
      <c r="A40" s="2897" t="s">
        <v>2562</v>
      </c>
      <c r="B40" s="2947">
        <v>278</v>
      </c>
      <c r="C40" s="2947">
        <v>234</v>
      </c>
      <c r="D40" s="2947">
        <f t="shared" si="175"/>
        <v>234</v>
      </c>
      <c r="E40" s="2947">
        <v>379</v>
      </c>
      <c r="F40" s="2948">
        <v>220</v>
      </c>
      <c r="G40" s="3640">
        <v>2012</v>
      </c>
      <c r="H40" s="2921">
        <v>4</v>
      </c>
      <c r="I40" s="2921">
        <v>0.91</v>
      </c>
      <c r="J40" s="2921">
        <v>0.68</v>
      </c>
      <c r="K40" s="2921">
        <v>0.98</v>
      </c>
      <c r="L40" s="2922">
        <v>0.9</v>
      </c>
      <c r="N40" s="2900">
        <f t="shared" si="177"/>
        <v>9.1000000000000004E-3</v>
      </c>
      <c r="O40" s="2886">
        <f t="shared" si="177"/>
        <v>6.8000000000000005E-3</v>
      </c>
      <c r="P40" s="2886">
        <f t="shared" si="177"/>
        <v>9.7999999999999997E-3</v>
      </c>
      <c r="Q40" s="2886">
        <f t="shared" si="177"/>
        <v>9.0000000000000011E-3</v>
      </c>
      <c r="R40" s="2901"/>
      <c r="S40" s="2910"/>
      <c r="T40" s="2911"/>
      <c r="U40" s="2911"/>
      <c r="V40" s="2911"/>
      <c r="X40" s="2911"/>
      <c r="Y40" s="2911"/>
      <c r="Z40" s="2911"/>
    </row>
    <row r="41" spans="1:34">
      <c r="A41" s="2897" t="s">
        <v>2563</v>
      </c>
      <c r="B41" s="2898">
        <f>B40/(1+N40)</f>
        <v>275.49301357645425</v>
      </c>
      <c r="C41" s="2898">
        <f>C40/(1+O40)</f>
        <v>232.41954707985698</v>
      </c>
      <c r="D41" s="2898">
        <f t="shared" si="175"/>
        <v>232.41954707985698</v>
      </c>
      <c r="E41" s="2898">
        <f t="shared" ref="E41:F43" si="186">E40/(1+P40)</f>
        <v>375.32184591008121</v>
      </c>
      <c r="F41" s="2898">
        <f t="shared" si="186"/>
        <v>218.03766105054513</v>
      </c>
      <c r="G41" s="3641"/>
      <c r="H41" s="2924">
        <v>3</v>
      </c>
      <c r="I41" s="2924">
        <v>0.09</v>
      </c>
      <c r="J41" s="2924">
        <v>0.28999999999999998</v>
      </c>
      <c r="K41" s="2924">
        <v>-0.01</v>
      </c>
      <c r="L41" s="2925">
        <v>0.57999999999999996</v>
      </c>
      <c r="N41" s="2900">
        <f t="shared" si="177"/>
        <v>8.9999999999999998E-4</v>
      </c>
      <c r="O41" s="2886">
        <f t="shared" si="177"/>
        <v>2.8999999999999998E-3</v>
      </c>
      <c r="P41" s="2886">
        <f t="shared" si="177"/>
        <v>-1E-4</v>
      </c>
      <c r="Q41" s="2886">
        <f t="shared" si="177"/>
        <v>5.7999999999999996E-3</v>
      </c>
      <c r="R41" s="2901"/>
      <c r="S41" s="2900"/>
      <c r="T41" s="2886"/>
      <c r="U41" s="2886"/>
      <c r="V41" s="2886"/>
    </row>
    <row r="42" spans="1:34">
      <c r="A42" s="2897" t="s">
        <v>2564</v>
      </c>
      <c r="B42" s="2898">
        <f>B41/(1+N41)</f>
        <v>275.24529281292263</v>
      </c>
      <c r="C42" s="2898">
        <f>C41/(1+O41)</f>
        <v>231.74747938962707</v>
      </c>
      <c r="D42" s="2898">
        <f t="shared" si="175"/>
        <v>231.74747938962707</v>
      </c>
      <c r="E42" s="2898">
        <f t="shared" si="186"/>
        <v>375.35938184826603</v>
      </c>
      <c r="F42" s="2898">
        <f t="shared" si="186"/>
        <v>216.78033510692495</v>
      </c>
      <c r="G42" s="3641"/>
      <c r="H42" s="2912">
        <v>2</v>
      </c>
      <c r="I42" s="2912">
        <v>0.02</v>
      </c>
      <c r="J42" s="2912">
        <v>0.12</v>
      </c>
      <c r="K42" s="2912">
        <v>-0.08</v>
      </c>
      <c r="L42" s="2913">
        <v>1.24</v>
      </c>
      <c r="N42" s="2900">
        <f t="shared" si="177"/>
        <v>2.0000000000000001E-4</v>
      </c>
      <c r="O42" s="2886">
        <f t="shared" si="177"/>
        <v>1.1999999999999999E-3</v>
      </c>
      <c r="P42" s="2886">
        <f t="shared" si="177"/>
        <v>-8.0000000000000004E-4</v>
      </c>
      <c r="Q42" s="2886">
        <f t="shared" si="177"/>
        <v>1.24E-2</v>
      </c>
      <c r="R42" s="2901"/>
      <c r="S42" s="2900"/>
      <c r="T42" s="2886"/>
      <c r="U42" s="2886"/>
      <c r="V42" s="2886"/>
    </row>
    <row r="43" spans="1:34" ht="13.5" thickBot="1">
      <c r="A43" s="2897" t="s">
        <v>2565</v>
      </c>
      <c r="B43" s="2898">
        <f>B42/(1+N42)</f>
        <v>275.19025476197027</v>
      </c>
      <c r="C43" s="2949">
        <v>232</v>
      </c>
      <c r="D43" s="2949">
        <f t="shared" si="175"/>
        <v>232</v>
      </c>
      <c r="E43" s="2898">
        <f t="shared" si="186"/>
        <v>375.65990977608692</v>
      </c>
      <c r="F43" s="2898">
        <f t="shared" si="186"/>
        <v>214.12518283971252</v>
      </c>
      <c r="G43" s="3642"/>
      <c r="H43" s="2899">
        <v>1</v>
      </c>
      <c r="I43" s="2899">
        <v>0.02</v>
      </c>
      <c r="J43" s="2899">
        <v>0.13</v>
      </c>
      <c r="K43" s="2899">
        <v>-0.04</v>
      </c>
      <c r="L43" s="2905">
        <v>0.46</v>
      </c>
      <c r="N43" s="2900">
        <f t="shared" si="177"/>
        <v>2.0000000000000001E-4</v>
      </c>
      <c r="O43" s="2886">
        <f t="shared" si="177"/>
        <v>1.2999999999999999E-3</v>
      </c>
      <c r="P43" s="2886">
        <f t="shared" si="177"/>
        <v>-4.0000000000000002E-4</v>
      </c>
      <c r="Q43" s="2886">
        <f t="shared" si="177"/>
        <v>4.5999999999999999E-3</v>
      </c>
      <c r="R43" s="2901"/>
      <c r="S43" s="2902">
        <f>B43/B44-1</f>
        <v>6.9183549807361189E-4</v>
      </c>
      <c r="T43" s="2903">
        <f>C43/C44-1</f>
        <v>0</v>
      </c>
      <c r="U43" s="2903">
        <f>E43/E44-1</f>
        <v>-9.0449527636460303E-4</v>
      </c>
      <c r="V43" s="2903">
        <f>F43/F44-1</f>
        <v>5.2825485432512753E-3</v>
      </c>
      <c r="X43" s="2886"/>
      <c r="Y43" s="2886"/>
      <c r="Z43" s="2886"/>
    </row>
    <row r="44" spans="1:34" ht="13.5" thickBot="1">
      <c r="A44" s="2897" t="s">
        <v>2566</v>
      </c>
      <c r="B44" s="2919">
        <v>275</v>
      </c>
      <c r="C44" s="2919">
        <v>232</v>
      </c>
      <c r="D44" s="2919">
        <f t="shared" si="175"/>
        <v>232</v>
      </c>
      <c r="E44" s="2919">
        <v>376</v>
      </c>
      <c r="F44" s="2920">
        <v>213</v>
      </c>
      <c r="G44" s="3640">
        <v>2011</v>
      </c>
      <c r="H44" s="2921">
        <v>4</v>
      </c>
      <c r="I44" s="2921">
        <v>-0.2</v>
      </c>
      <c r="J44" s="2921">
        <v>0.04</v>
      </c>
      <c r="K44" s="2921">
        <v>-0.34</v>
      </c>
      <c r="L44" s="2922">
        <v>0.46</v>
      </c>
      <c r="N44" s="2916">
        <f t="shared" si="177"/>
        <v>-2E-3</v>
      </c>
      <c r="O44" s="2917">
        <f t="shared" si="177"/>
        <v>4.0000000000000002E-4</v>
      </c>
      <c r="P44" s="2917">
        <f t="shared" si="177"/>
        <v>-3.4000000000000002E-3</v>
      </c>
      <c r="Q44" s="2917">
        <f t="shared" si="177"/>
        <v>4.5999999999999999E-3</v>
      </c>
      <c r="R44" s="2901"/>
      <c r="S44" s="2910"/>
      <c r="T44" s="2911"/>
      <c r="U44" s="2911"/>
      <c r="V44" s="2911"/>
      <c r="X44" s="2911"/>
      <c r="Y44" s="2911"/>
      <c r="Z44" s="2911"/>
    </row>
    <row r="45" spans="1:34">
      <c r="A45" s="2897" t="s">
        <v>2567</v>
      </c>
      <c r="B45" s="2898">
        <f t="shared" ref="B45:C47" si="187">B44/(1+N44)</f>
        <v>275.55110220440883</v>
      </c>
      <c r="C45" s="2898">
        <f t="shared" si="187"/>
        <v>231.90723710515795</v>
      </c>
      <c r="D45" s="2898">
        <f t="shared" si="175"/>
        <v>231.90723710515795</v>
      </c>
      <c r="E45" s="2898">
        <f t="shared" ref="E45:F47" si="188">E44/(1+P44)</f>
        <v>377.28276138872161</v>
      </c>
      <c r="F45" s="2898">
        <f t="shared" si="188"/>
        <v>212.02468644236512</v>
      </c>
      <c r="G45" s="3641">
        <v>2011</v>
      </c>
      <c r="H45" s="2924">
        <v>3</v>
      </c>
      <c r="I45" s="2924">
        <v>0.13</v>
      </c>
      <c r="J45" s="2924">
        <v>0.75</v>
      </c>
      <c r="K45" s="2924">
        <v>-0.08</v>
      </c>
      <c r="L45" s="2925">
        <v>0.53</v>
      </c>
      <c r="N45" s="2900">
        <f t="shared" si="177"/>
        <v>1.2999999999999999E-3</v>
      </c>
      <c r="O45" s="2918">
        <f t="shared" si="177"/>
        <v>7.4999999999999997E-3</v>
      </c>
      <c r="P45" s="2918">
        <f t="shared" si="177"/>
        <v>-8.0000000000000004E-4</v>
      </c>
      <c r="Q45" s="2918">
        <f t="shared" si="177"/>
        <v>5.3E-3</v>
      </c>
      <c r="R45" s="2901"/>
      <c r="S45" s="2900"/>
      <c r="T45" s="2886"/>
      <c r="U45" s="2886"/>
      <c r="V45" s="2886"/>
    </row>
    <row r="46" spans="1:34">
      <c r="A46" s="2897" t="s">
        <v>2568</v>
      </c>
      <c r="B46" s="2898">
        <f t="shared" si="187"/>
        <v>275.19335084830601</v>
      </c>
      <c r="C46" s="2898">
        <f t="shared" si="187"/>
        <v>230.18088050139744</v>
      </c>
      <c r="D46" s="2898">
        <f t="shared" si="175"/>
        <v>230.18088050139744</v>
      </c>
      <c r="E46" s="2898">
        <f t="shared" si="188"/>
        <v>377.58482925212331</v>
      </c>
      <c r="F46" s="2898">
        <f t="shared" si="188"/>
        <v>210.90687997847917</v>
      </c>
      <c r="G46" s="3641">
        <v>2011</v>
      </c>
      <c r="H46" s="2912">
        <v>2</v>
      </c>
      <c r="I46" s="2912">
        <v>-0.4</v>
      </c>
      <c r="J46" s="2912">
        <v>0.17</v>
      </c>
      <c r="K46" s="2912">
        <v>-0.57999999999999996</v>
      </c>
      <c r="L46" s="2913">
        <v>-0.2</v>
      </c>
      <c r="N46" s="2900">
        <f t="shared" si="177"/>
        <v>-4.0000000000000001E-3</v>
      </c>
      <c r="O46" s="2918">
        <f t="shared" si="177"/>
        <v>1.7000000000000001E-3</v>
      </c>
      <c r="P46" s="2918">
        <f t="shared" si="177"/>
        <v>-5.7999999999999996E-3</v>
      </c>
      <c r="Q46" s="2918">
        <f t="shared" si="177"/>
        <v>-2E-3</v>
      </c>
      <c r="R46" s="2901"/>
      <c r="S46" s="2900"/>
      <c r="T46" s="2886"/>
      <c r="U46" s="2886"/>
      <c r="V46" s="2886"/>
    </row>
    <row r="47" spans="1:34" ht="13.5" thickBot="1">
      <c r="A47" s="2897" t="s">
        <v>2569</v>
      </c>
      <c r="B47" s="2898">
        <f t="shared" si="187"/>
        <v>276.29854502841971</v>
      </c>
      <c r="C47" s="2898">
        <f t="shared" si="187"/>
        <v>229.79023709833027</v>
      </c>
      <c r="D47" s="2898">
        <f t="shared" si="175"/>
        <v>229.79023709833027</v>
      </c>
      <c r="E47" s="2898">
        <f t="shared" si="188"/>
        <v>379.78759731655936</v>
      </c>
      <c r="F47" s="2898">
        <f t="shared" si="188"/>
        <v>211.32953905659235</v>
      </c>
      <c r="G47" s="3642">
        <v>2011</v>
      </c>
      <c r="H47" s="2899">
        <v>1</v>
      </c>
      <c r="I47" s="2899">
        <v>2.65</v>
      </c>
      <c r="J47" s="2899">
        <v>3.76</v>
      </c>
      <c r="K47" s="2899">
        <v>1.89</v>
      </c>
      <c r="L47" s="2905">
        <v>7.95</v>
      </c>
      <c r="N47" s="2902">
        <f t="shared" si="177"/>
        <v>2.6499999999999999E-2</v>
      </c>
      <c r="O47" s="2903">
        <f t="shared" si="177"/>
        <v>3.7599999999999995E-2</v>
      </c>
      <c r="P47" s="2903">
        <f t="shared" si="177"/>
        <v>1.89E-2</v>
      </c>
      <c r="Q47" s="2903">
        <f t="shared" si="177"/>
        <v>7.9500000000000001E-2</v>
      </c>
      <c r="R47" s="2901"/>
      <c r="S47" s="2902">
        <f>B47/B48-1</f>
        <v>2.713213765211786E-2</v>
      </c>
      <c r="T47" s="2903">
        <f>C47/C48-1</f>
        <v>3.9774828499231862E-2</v>
      </c>
      <c r="U47" s="2903">
        <f>E47/E48-1</f>
        <v>1.8197311840641772E-2</v>
      </c>
      <c r="V47" s="2903">
        <f>F47/F48-1</f>
        <v>7.8211933962205826E-2</v>
      </c>
      <c r="X47" s="2886"/>
      <c r="Y47" s="2886"/>
      <c r="Z47" s="2886"/>
    </row>
    <row r="48" spans="1:34" ht="13.5" thickBot="1">
      <c r="A48" s="2897" t="s">
        <v>2570</v>
      </c>
      <c r="B48" s="2919">
        <v>269</v>
      </c>
      <c r="C48" s="2919">
        <v>221</v>
      </c>
      <c r="D48" s="2919">
        <f t="shared" si="175"/>
        <v>221</v>
      </c>
      <c r="E48" s="2919">
        <v>373</v>
      </c>
      <c r="F48" s="2920">
        <v>196</v>
      </c>
      <c r="G48" s="3640">
        <v>2010</v>
      </c>
      <c r="H48" s="2921">
        <v>4</v>
      </c>
      <c r="I48" s="2921">
        <v>5.72</v>
      </c>
      <c r="J48" s="2921">
        <v>6.57</v>
      </c>
      <c r="K48" s="2921">
        <v>5.72</v>
      </c>
      <c r="L48" s="2922">
        <v>2.72</v>
      </c>
      <c r="N48" s="2900">
        <f t="shared" si="177"/>
        <v>5.7200000000000001E-2</v>
      </c>
      <c r="O48" s="2886">
        <f t="shared" si="177"/>
        <v>6.5700000000000008E-2</v>
      </c>
      <c r="P48" s="2886">
        <f t="shared" si="177"/>
        <v>5.7200000000000001E-2</v>
      </c>
      <c r="Q48" s="2886">
        <f t="shared" si="177"/>
        <v>2.7200000000000002E-2</v>
      </c>
      <c r="R48" s="2901"/>
      <c r="S48" s="2910"/>
      <c r="T48" s="2911"/>
      <c r="U48" s="2911"/>
      <c r="V48" s="2911"/>
      <c r="X48" s="2911"/>
      <c r="Y48" s="2911"/>
      <c r="Z48" s="2911"/>
    </row>
    <row r="49" spans="1:26">
      <c r="A49" s="2897" t="s">
        <v>2571</v>
      </c>
      <c r="B49" s="2898">
        <f t="shared" ref="B49:C51" si="189">B48/(1+N48)</f>
        <v>254.44570563753314</v>
      </c>
      <c r="C49" s="2898">
        <f t="shared" si="189"/>
        <v>207.37543398705074</v>
      </c>
      <c r="D49" s="2898">
        <f t="shared" si="175"/>
        <v>207.37543398705074</v>
      </c>
      <c r="E49" s="2898">
        <f t="shared" ref="E49:F51" si="190">E48/(1+P48)</f>
        <v>352.81876655315932</v>
      </c>
      <c r="F49" s="2898">
        <f t="shared" si="190"/>
        <v>190.809968847352</v>
      </c>
      <c r="G49" s="3641">
        <v>2010</v>
      </c>
      <c r="H49" s="2924">
        <v>3</v>
      </c>
      <c r="I49" s="2924">
        <v>4.7300000000000004</v>
      </c>
      <c r="J49" s="2924">
        <v>3.9</v>
      </c>
      <c r="K49" s="2924">
        <v>5.03</v>
      </c>
      <c r="L49" s="2925">
        <v>4.21</v>
      </c>
      <c r="N49" s="2900">
        <f t="shared" si="177"/>
        <v>4.7300000000000002E-2</v>
      </c>
      <c r="O49" s="2886">
        <f t="shared" si="177"/>
        <v>3.9E-2</v>
      </c>
      <c r="P49" s="2886">
        <f t="shared" si="177"/>
        <v>5.0300000000000004E-2</v>
      </c>
      <c r="Q49" s="2886">
        <f t="shared" si="177"/>
        <v>4.2099999999999999E-2</v>
      </c>
      <c r="R49" s="2901"/>
      <c r="S49" s="2900"/>
      <c r="T49" s="2886"/>
      <c r="U49" s="2886"/>
      <c r="V49" s="2886"/>
    </row>
    <row r="50" spans="1:26">
      <c r="A50" s="2897" t="s">
        <v>2572</v>
      </c>
      <c r="B50" s="2898">
        <f t="shared" si="189"/>
        <v>242.95398227588385</v>
      </c>
      <c r="C50" s="2898">
        <f t="shared" si="189"/>
        <v>199.59137053614126</v>
      </c>
      <c r="D50" s="2898">
        <f t="shared" si="175"/>
        <v>199.59137053614126</v>
      </c>
      <c r="E50" s="2898">
        <f t="shared" si="190"/>
        <v>335.92189522342125</v>
      </c>
      <c r="F50" s="2898">
        <f t="shared" si="190"/>
        <v>183.10139991109489</v>
      </c>
      <c r="G50" s="3641">
        <v>2010</v>
      </c>
      <c r="H50" s="2912">
        <v>2</v>
      </c>
      <c r="I50" s="2912">
        <v>4.6900000000000004</v>
      </c>
      <c r="J50" s="2912">
        <v>3.55</v>
      </c>
      <c r="K50" s="2912">
        <v>5.07</v>
      </c>
      <c r="L50" s="2913">
        <v>4.2300000000000004</v>
      </c>
      <c r="N50" s="2900">
        <f t="shared" si="177"/>
        <v>4.6900000000000004E-2</v>
      </c>
      <c r="O50" s="2886">
        <f t="shared" si="177"/>
        <v>3.5499999999999997E-2</v>
      </c>
      <c r="P50" s="2886">
        <f t="shared" si="177"/>
        <v>5.0700000000000002E-2</v>
      </c>
      <c r="Q50" s="2886">
        <f t="shared" si="177"/>
        <v>4.2300000000000004E-2</v>
      </c>
      <c r="R50" s="2901"/>
      <c r="S50" s="2900"/>
      <c r="T50" s="2886"/>
      <c r="U50" s="2886"/>
      <c r="V50" s="2886"/>
    </row>
    <row r="51" spans="1:26" ht="13.5" thickBot="1">
      <c r="A51" s="2897" t="s">
        <v>2573</v>
      </c>
      <c r="B51" s="2898">
        <f t="shared" si="189"/>
        <v>232.06990378821649</v>
      </c>
      <c r="C51" s="2898">
        <f t="shared" si="189"/>
        <v>192.74878854286936</v>
      </c>
      <c r="D51" s="2898">
        <f t="shared" si="175"/>
        <v>192.74878854286936</v>
      </c>
      <c r="E51" s="2898">
        <f t="shared" si="190"/>
        <v>319.71247284992984</v>
      </c>
      <c r="F51" s="2898">
        <f t="shared" si="190"/>
        <v>175.67053622862409</v>
      </c>
      <c r="G51" s="3642">
        <v>2010</v>
      </c>
      <c r="H51" s="2899">
        <v>1</v>
      </c>
      <c r="I51" s="2899">
        <v>5.4</v>
      </c>
      <c r="J51" s="2899">
        <v>3.2</v>
      </c>
      <c r="K51" s="2899">
        <v>6.16</v>
      </c>
      <c r="L51" s="2905">
        <v>4.51</v>
      </c>
      <c r="N51" s="2900">
        <f t="shared" si="177"/>
        <v>5.4000000000000006E-2</v>
      </c>
      <c r="O51" s="2886">
        <f t="shared" si="177"/>
        <v>3.2000000000000001E-2</v>
      </c>
      <c r="P51" s="2886">
        <f t="shared" si="177"/>
        <v>6.1600000000000002E-2</v>
      </c>
      <c r="Q51" s="2886">
        <f t="shared" si="177"/>
        <v>4.5100000000000001E-2</v>
      </c>
      <c r="R51" s="2901"/>
      <c r="S51" s="2902">
        <f>B51/B52-1</f>
        <v>5.4863199037347599E-2</v>
      </c>
      <c r="T51" s="2903">
        <f>C51/C52-1</f>
        <v>3.0742184721226584E-2</v>
      </c>
      <c r="U51" s="2903">
        <f>E51/E52-1</f>
        <v>6.2167683886810154E-2</v>
      </c>
      <c r="V51" s="2903">
        <f>F51/F52-1</f>
        <v>4.5657953741810031E-2</v>
      </c>
      <c r="X51" s="2886"/>
      <c r="Y51" s="2886"/>
      <c r="Z51" s="2886"/>
    </row>
    <row r="52" spans="1:26" ht="13.5" thickBot="1">
      <c r="A52" s="2897" t="s">
        <v>2574</v>
      </c>
      <c r="B52" s="2919">
        <v>220</v>
      </c>
      <c r="C52" s="2919">
        <v>187</v>
      </c>
      <c r="D52" s="2919">
        <f t="shared" si="175"/>
        <v>187</v>
      </c>
      <c r="E52" s="2919">
        <v>301</v>
      </c>
      <c r="F52" s="2920">
        <v>168</v>
      </c>
      <c r="G52" s="3640">
        <v>2009</v>
      </c>
      <c r="H52" s="2921">
        <v>4</v>
      </c>
      <c r="I52" s="2921">
        <v>2.2999999999999998</v>
      </c>
      <c r="J52" s="2921">
        <v>1.04</v>
      </c>
      <c r="K52" s="2921">
        <v>2.84</v>
      </c>
      <c r="L52" s="2922">
        <v>0.67</v>
      </c>
      <c r="N52" s="2916">
        <f t="shared" si="177"/>
        <v>2.3E-2</v>
      </c>
      <c r="O52" s="2917">
        <f t="shared" si="177"/>
        <v>1.04E-2</v>
      </c>
      <c r="P52" s="2917">
        <f t="shared" si="177"/>
        <v>2.8399999999999998E-2</v>
      </c>
      <c r="Q52" s="2917">
        <f t="shared" si="177"/>
        <v>6.7000000000000002E-3</v>
      </c>
      <c r="R52" s="2901"/>
      <c r="S52" s="2910"/>
      <c r="T52" s="2911"/>
      <c r="U52" s="2911"/>
      <c r="V52" s="2911"/>
      <c r="X52" s="2911"/>
      <c r="Y52" s="2911"/>
      <c r="Z52" s="2911"/>
    </row>
    <row r="53" spans="1:26">
      <c r="A53" s="2897" t="s">
        <v>2575</v>
      </c>
      <c r="B53" s="2898">
        <f t="shared" ref="B53:C55" si="191">B52/(1+N52)</f>
        <v>215.05376344086022</v>
      </c>
      <c r="C53" s="2898">
        <f t="shared" si="191"/>
        <v>185.0752177355503</v>
      </c>
      <c r="D53" s="2898">
        <f t="shared" si="175"/>
        <v>185.0752177355503</v>
      </c>
      <c r="E53" s="2898">
        <f t="shared" ref="E53:F55" si="192">E52/(1+P52)</f>
        <v>292.68767016725008</v>
      </c>
      <c r="F53" s="2898">
        <f t="shared" si="192"/>
        <v>166.88189132810174</v>
      </c>
      <c r="G53" s="3641">
        <v>2009</v>
      </c>
      <c r="H53" s="2924">
        <v>3</v>
      </c>
      <c r="I53" s="2924">
        <v>2.1</v>
      </c>
      <c r="J53" s="2924">
        <v>1.86</v>
      </c>
      <c r="K53" s="2924">
        <v>2.29</v>
      </c>
      <c r="L53" s="2925">
        <v>0.85</v>
      </c>
      <c r="N53" s="2900">
        <f t="shared" si="177"/>
        <v>2.1000000000000001E-2</v>
      </c>
      <c r="O53" s="2918">
        <f t="shared" si="177"/>
        <v>1.8600000000000002E-2</v>
      </c>
      <c r="P53" s="2918">
        <f t="shared" si="177"/>
        <v>2.29E-2</v>
      </c>
      <c r="Q53" s="2918">
        <f t="shared" si="177"/>
        <v>8.5000000000000006E-3</v>
      </c>
      <c r="R53" s="2901"/>
      <c r="S53" s="2900"/>
      <c r="T53" s="2886"/>
      <c r="U53" s="2886"/>
      <c r="V53" s="2886"/>
    </row>
    <row r="54" spans="1:26">
      <c r="A54" s="2897" t="s">
        <v>2576</v>
      </c>
      <c r="B54" s="2898">
        <f t="shared" si="191"/>
        <v>210.630522469011</v>
      </c>
      <c r="C54" s="2898">
        <f t="shared" si="191"/>
        <v>181.69567812247232</v>
      </c>
      <c r="D54" s="2898">
        <f t="shared" si="175"/>
        <v>181.69567812247232</v>
      </c>
      <c r="E54" s="2898">
        <f t="shared" si="192"/>
        <v>286.13517466736738</v>
      </c>
      <c r="F54" s="2898">
        <f t="shared" si="192"/>
        <v>165.47535084591149</v>
      </c>
      <c r="G54" s="3641">
        <v>2009</v>
      </c>
      <c r="H54" s="2912">
        <v>2</v>
      </c>
      <c r="I54" s="2912">
        <v>0.86</v>
      </c>
      <c r="J54" s="2912">
        <v>-1.1299999999999999</v>
      </c>
      <c r="K54" s="2912">
        <v>1.79</v>
      </c>
      <c r="L54" s="2913">
        <v>-2.0699999999999998</v>
      </c>
      <c r="N54" s="2900">
        <f t="shared" si="177"/>
        <v>8.6E-3</v>
      </c>
      <c r="O54" s="2918">
        <f t="shared" si="177"/>
        <v>-1.1299999999999999E-2</v>
      </c>
      <c r="P54" s="2918">
        <f t="shared" si="177"/>
        <v>1.7899999999999999E-2</v>
      </c>
      <c r="Q54" s="2918">
        <f t="shared" si="177"/>
        <v>-2.07E-2</v>
      </c>
      <c r="R54" s="2901"/>
      <c r="S54" s="2900"/>
      <c r="T54" s="2886"/>
      <c r="U54" s="2886"/>
      <c r="V54" s="2886"/>
    </row>
    <row r="55" spans="1:26">
      <c r="A55" s="2897" t="s">
        <v>2577</v>
      </c>
      <c r="B55" s="2898">
        <f t="shared" si="191"/>
        <v>208.83454537875372</v>
      </c>
      <c r="C55" s="2898">
        <f t="shared" si="191"/>
        <v>183.77230517090351</v>
      </c>
      <c r="D55" s="2898">
        <f t="shared" si="175"/>
        <v>183.77230517090351</v>
      </c>
      <c r="E55" s="2898">
        <f t="shared" si="192"/>
        <v>281.10342338870947</v>
      </c>
      <c r="F55" s="2898">
        <f t="shared" si="192"/>
        <v>168.97309388942256</v>
      </c>
      <c r="G55" s="3642">
        <v>2009</v>
      </c>
      <c r="H55" s="2899">
        <v>1</v>
      </c>
      <c r="I55" s="2899">
        <v>-2.64</v>
      </c>
      <c r="J55" s="2899">
        <v>-2.5299999999999998</v>
      </c>
      <c r="K55" s="2899">
        <v>-3.02</v>
      </c>
      <c r="L55" s="2905">
        <v>1.52</v>
      </c>
      <c r="N55" s="2902">
        <f t="shared" si="177"/>
        <v>-2.64E-2</v>
      </c>
      <c r="O55" s="2903">
        <f t="shared" si="177"/>
        <v>-2.53E-2</v>
      </c>
      <c r="P55" s="2903">
        <f t="shared" si="177"/>
        <v>-3.0200000000000001E-2</v>
      </c>
      <c r="Q55" s="2903">
        <f t="shared" si="177"/>
        <v>1.52E-2</v>
      </c>
      <c r="R55" s="2901"/>
      <c r="S55" s="2902">
        <f>B55/B56-1</f>
        <v>-2.4137638417038754E-2</v>
      </c>
      <c r="T55" s="2903">
        <f>C55/C56-1</f>
        <v>-2.248773845264096E-2</v>
      </c>
      <c r="U55" s="2903">
        <f>E55/E56-1</f>
        <v>-2.7323794502735366E-2</v>
      </c>
      <c r="V55" s="2903">
        <f>F55/F56-1</f>
        <v>1.7910204153148035E-2</v>
      </c>
      <c r="X55" s="2886"/>
      <c r="Y55" s="2886"/>
      <c r="Z55" s="2886"/>
    </row>
    <row r="56" spans="1:26" ht="13.5" thickBot="1">
      <c r="A56" s="2897" t="s">
        <v>2578</v>
      </c>
      <c r="B56" s="2947">
        <v>214</v>
      </c>
      <c r="C56" s="2947">
        <v>188</v>
      </c>
      <c r="D56" s="2947">
        <f t="shared" si="175"/>
        <v>188</v>
      </c>
      <c r="E56" s="2947">
        <v>289</v>
      </c>
      <c r="F56" s="2948">
        <v>166</v>
      </c>
      <c r="G56" s="3640">
        <v>2008</v>
      </c>
      <c r="H56" s="2921">
        <v>4</v>
      </c>
      <c r="I56" s="2921">
        <v>1.73</v>
      </c>
      <c r="J56" s="2921">
        <v>0.03</v>
      </c>
      <c r="K56" s="2921">
        <v>2.59</v>
      </c>
      <c r="L56" s="2922">
        <v>-1.66</v>
      </c>
      <c r="N56" s="2900">
        <f t="shared" si="177"/>
        <v>1.7299999999999999E-2</v>
      </c>
      <c r="O56" s="2886">
        <f t="shared" si="177"/>
        <v>2.9999999999999997E-4</v>
      </c>
      <c r="P56" s="2886">
        <f t="shared" si="177"/>
        <v>2.5899999999999999E-2</v>
      </c>
      <c r="Q56" s="2886">
        <f t="shared" si="177"/>
        <v>-1.66E-2</v>
      </c>
      <c r="R56" s="2901"/>
      <c r="S56" s="2910"/>
      <c r="T56" s="2911"/>
      <c r="U56" s="2911"/>
      <c r="V56" s="2911"/>
      <c r="X56" s="2911"/>
      <c r="Y56" s="2911"/>
      <c r="Z56" s="2911"/>
    </row>
    <row r="57" spans="1:26">
      <c r="A57" s="2897" t="s">
        <v>2579</v>
      </c>
      <c r="B57" s="2898">
        <f t="shared" ref="B57:C59" si="193">B56/(1+N56)</f>
        <v>210.36075887152265</v>
      </c>
      <c r="C57" s="2898">
        <f t="shared" si="193"/>
        <v>187.94361691492554</v>
      </c>
      <c r="D57" s="2898">
        <f t="shared" si="175"/>
        <v>187.94361691492554</v>
      </c>
      <c r="E57" s="2898">
        <f t="shared" ref="E57:F59" si="194">E56/(1+P56)</f>
        <v>281.70386977288234</v>
      </c>
      <c r="F57" s="2898">
        <f t="shared" si="194"/>
        <v>168.80211511083994</v>
      </c>
      <c r="G57" s="3641">
        <v>2008</v>
      </c>
      <c r="H57" s="2924">
        <v>3</v>
      </c>
      <c r="I57" s="2924">
        <v>1.96</v>
      </c>
      <c r="J57" s="2924">
        <v>2.36</v>
      </c>
      <c r="K57" s="2924">
        <v>1.82</v>
      </c>
      <c r="L57" s="2925">
        <v>2.2200000000000002</v>
      </c>
      <c r="N57" s="2900">
        <f t="shared" si="177"/>
        <v>1.9599999999999999E-2</v>
      </c>
      <c r="O57" s="2886">
        <f t="shared" si="177"/>
        <v>2.3599999999999999E-2</v>
      </c>
      <c r="P57" s="2886">
        <f t="shared" si="177"/>
        <v>1.8200000000000001E-2</v>
      </c>
      <c r="Q57" s="2886">
        <f t="shared" si="177"/>
        <v>2.2200000000000001E-2</v>
      </c>
      <c r="R57" s="2901"/>
      <c r="S57" s="2900"/>
      <c r="T57" s="2886"/>
      <c r="U57" s="2886"/>
      <c r="V57" s="2886"/>
    </row>
    <row r="58" spans="1:26">
      <c r="A58" s="2897" t="s">
        <v>2580</v>
      </c>
      <c r="B58" s="2898">
        <f t="shared" si="193"/>
        <v>206.31694671589116</v>
      </c>
      <c r="C58" s="2898">
        <f t="shared" si="193"/>
        <v>183.61041121036101</v>
      </c>
      <c r="D58" s="2898">
        <f t="shared" si="175"/>
        <v>183.61041121036101</v>
      </c>
      <c r="E58" s="2898">
        <f t="shared" si="194"/>
        <v>276.66850301795557</v>
      </c>
      <c r="F58" s="2898">
        <f t="shared" si="194"/>
        <v>165.1360938278614</v>
      </c>
      <c r="G58" s="3641">
        <v>2008</v>
      </c>
      <c r="H58" s="2912">
        <v>2</v>
      </c>
      <c r="I58" s="2912">
        <v>4.93</v>
      </c>
      <c r="J58" s="2912">
        <v>7.38</v>
      </c>
      <c r="K58" s="2912">
        <v>3.98</v>
      </c>
      <c r="L58" s="2913">
        <v>6.86</v>
      </c>
      <c r="N58" s="2900">
        <f t="shared" si="177"/>
        <v>4.9299999999999997E-2</v>
      </c>
      <c r="O58" s="2886">
        <f t="shared" si="177"/>
        <v>7.3800000000000004E-2</v>
      </c>
      <c r="P58" s="2886">
        <f t="shared" si="177"/>
        <v>3.9800000000000002E-2</v>
      </c>
      <c r="Q58" s="2886">
        <f t="shared" si="177"/>
        <v>6.8600000000000008E-2</v>
      </c>
      <c r="R58" s="2901"/>
      <c r="S58" s="2900"/>
      <c r="T58" s="2886"/>
      <c r="U58" s="2886"/>
      <c r="V58" s="2886"/>
    </row>
    <row r="59" spans="1:26" s="2953" customFormat="1" ht="13.5" thickBot="1">
      <c r="A59" s="2897" t="s">
        <v>2581</v>
      </c>
      <c r="B59" s="2950">
        <f t="shared" si="193"/>
        <v>196.62341248059772</v>
      </c>
      <c r="C59" s="2950">
        <f t="shared" si="193"/>
        <v>170.99125648199012</v>
      </c>
      <c r="D59" s="2950">
        <f t="shared" si="175"/>
        <v>170.99125648199012</v>
      </c>
      <c r="E59" s="2950">
        <f t="shared" si="194"/>
        <v>266.07857570490052</v>
      </c>
      <c r="F59" s="2950">
        <f t="shared" si="194"/>
        <v>154.53499328828505</v>
      </c>
      <c r="G59" s="3642">
        <v>2008</v>
      </c>
      <c r="H59" s="2951">
        <v>1</v>
      </c>
      <c r="I59" s="2951">
        <v>4.1399999999999997</v>
      </c>
      <c r="J59" s="2951">
        <v>3.45</v>
      </c>
      <c r="K59" s="2951">
        <v>4.95</v>
      </c>
      <c r="L59" s="2952">
        <v>4.82</v>
      </c>
      <c r="N59" s="2954">
        <f t="shared" si="177"/>
        <v>4.1399999999999999E-2</v>
      </c>
      <c r="O59" s="2955">
        <f t="shared" si="177"/>
        <v>3.4500000000000003E-2</v>
      </c>
      <c r="P59" s="2955">
        <f t="shared" si="177"/>
        <v>4.9500000000000002E-2</v>
      </c>
      <c r="Q59" s="2955">
        <f t="shared" si="177"/>
        <v>4.82E-2</v>
      </c>
      <c r="R59" s="2956"/>
      <c r="S59" s="2954">
        <f>B59/B60-1</f>
        <v>4.5869215322328349E-2</v>
      </c>
      <c r="T59" s="2955">
        <f>C59/C60-1</f>
        <v>3.6310645345394743E-2</v>
      </c>
      <c r="U59" s="2955">
        <f>E59/E60-1</f>
        <v>4.7553447657088688E-2</v>
      </c>
      <c r="V59" s="2955">
        <f>F59/F60-1</f>
        <v>4.4155360055980086E-2</v>
      </c>
      <c r="X59" s="2955"/>
      <c r="Y59" s="2955"/>
      <c r="Z59" s="2955"/>
    </row>
    <row r="60" spans="1:26" ht="13.5" thickBot="1">
      <c r="A60" s="2897" t="s">
        <v>2582</v>
      </c>
      <c r="B60" s="2919">
        <v>188</v>
      </c>
      <c r="C60" s="2919">
        <v>165</v>
      </c>
      <c r="D60" s="2919">
        <f t="shared" si="175"/>
        <v>165</v>
      </c>
      <c r="E60" s="2919">
        <v>254</v>
      </c>
      <c r="F60" s="2920">
        <v>148</v>
      </c>
      <c r="G60" s="3640">
        <v>2007</v>
      </c>
      <c r="H60" s="2957">
        <v>4</v>
      </c>
      <c r="I60" s="2957">
        <v>5.51</v>
      </c>
      <c r="J60" s="2957">
        <v>4.8899999999999997</v>
      </c>
      <c r="K60" s="2957">
        <v>6.43</v>
      </c>
      <c r="L60" s="2958">
        <v>5.36</v>
      </c>
      <c r="N60" s="2959">
        <f t="shared" ref="N60:O63" si="195">B60/B61-1</f>
        <v>4.1339718365245526E-2</v>
      </c>
      <c r="O60" s="2960">
        <f t="shared" si="195"/>
        <v>4.0324492593776018E-2</v>
      </c>
      <c r="P60" s="2960">
        <f t="shared" ref="P60:Q63" si="196">E60/E61-1</f>
        <v>6.1625555347990968E-2</v>
      </c>
      <c r="Q60" s="2960">
        <f t="shared" si="196"/>
        <v>4.6757569250590603E-2</v>
      </c>
      <c r="R60" s="2901"/>
      <c r="S60" s="2910"/>
      <c r="T60" s="2911"/>
      <c r="U60" s="2911"/>
      <c r="V60" s="2911"/>
      <c r="X60" s="2911"/>
      <c r="Y60" s="2911"/>
      <c r="Z60" s="2911"/>
    </row>
    <row r="61" spans="1:26">
      <c r="A61" s="2897" t="s">
        <v>2583</v>
      </c>
      <c r="B61" s="2898">
        <f t="shared" ref="B61:C63" si="197">B62+(B$60-B$64)*I61/SUM(I$60:I$63)</f>
        <v>180.5366651097618</v>
      </c>
      <c r="C61" s="2898">
        <f t="shared" si="197"/>
        <v>158.60435967302453</v>
      </c>
      <c r="D61" s="2898">
        <f t="shared" si="175"/>
        <v>158.60435967302453</v>
      </c>
      <c r="E61" s="2898">
        <f t="shared" ref="E61:F63" si="198">E62+(E$60-E$64)*K61/SUM(K$60:K$63)</f>
        <v>239.25573260785075</v>
      </c>
      <c r="F61" s="2898">
        <f t="shared" si="198"/>
        <v>141.38899430740037</v>
      </c>
      <c r="G61" s="3641">
        <v>2007</v>
      </c>
      <c r="H61" s="2924">
        <v>3</v>
      </c>
      <c r="I61" s="2924">
        <v>8.65</v>
      </c>
      <c r="J61" s="2924">
        <v>8.06</v>
      </c>
      <c r="K61" s="2924">
        <v>9.94</v>
      </c>
      <c r="L61" s="2925">
        <v>5.8</v>
      </c>
      <c r="N61" s="2959">
        <f t="shared" si="195"/>
        <v>6.940217571740015E-2</v>
      </c>
      <c r="O61" s="2960">
        <f t="shared" si="195"/>
        <v>7.1197482471153428E-2</v>
      </c>
      <c r="P61" s="2960">
        <f t="shared" si="196"/>
        <v>0.10529679922579582</v>
      </c>
      <c r="Q61" s="2960">
        <f t="shared" si="196"/>
        <v>5.3292245059512133E-2</v>
      </c>
      <c r="R61" s="2901"/>
      <c r="S61" s="2900"/>
      <c r="T61" s="2886"/>
      <c r="U61" s="2886"/>
      <c r="V61" s="2886"/>
      <c r="X61" s="2961"/>
      <c r="Y61" s="2961"/>
      <c r="Z61" s="2961"/>
    </row>
    <row r="62" spans="1:26">
      <c r="A62" s="2897" t="s">
        <v>2584</v>
      </c>
      <c r="B62" s="2898">
        <f t="shared" si="197"/>
        <v>168.82017748715555</v>
      </c>
      <c r="C62" s="2898">
        <f t="shared" si="197"/>
        <v>148.06267029972753</v>
      </c>
      <c r="D62" s="2898">
        <f t="shared" si="175"/>
        <v>148.06267029972753</v>
      </c>
      <c r="E62" s="2898">
        <f t="shared" si="198"/>
        <v>216.46288379323747</v>
      </c>
      <c r="F62" s="2898">
        <f t="shared" si="198"/>
        <v>134.23529411764704</v>
      </c>
      <c r="G62" s="3641">
        <v>2007</v>
      </c>
      <c r="H62" s="2912">
        <v>2</v>
      </c>
      <c r="I62" s="2912">
        <v>3.67</v>
      </c>
      <c r="J62" s="2912">
        <v>2.3199999999999998</v>
      </c>
      <c r="K62" s="2912">
        <v>5.0199999999999996</v>
      </c>
      <c r="L62" s="2913">
        <v>6.71</v>
      </c>
      <c r="N62" s="2959">
        <f t="shared" si="195"/>
        <v>3.0339138143848032E-2</v>
      </c>
      <c r="O62" s="2960">
        <f t="shared" si="195"/>
        <v>2.0922341588790472E-2</v>
      </c>
      <c r="P62" s="2960">
        <f t="shared" si="196"/>
        <v>5.6164796592717003E-2</v>
      </c>
      <c r="Q62" s="2960">
        <f t="shared" si="196"/>
        <v>6.5704536723887319E-2</v>
      </c>
      <c r="R62" s="2901"/>
      <c r="S62" s="2900"/>
      <c r="T62" s="2886"/>
      <c r="U62" s="2886"/>
      <c r="V62" s="2886"/>
      <c r="X62" s="2961"/>
      <c r="Y62" s="2961"/>
      <c r="Z62" s="2961"/>
    </row>
    <row r="63" spans="1:26">
      <c r="A63" s="2897" t="s">
        <v>2585</v>
      </c>
      <c r="B63" s="2898">
        <f t="shared" si="197"/>
        <v>163.84913591779542</v>
      </c>
      <c r="C63" s="2898">
        <f t="shared" si="197"/>
        <v>145.0283378746594</v>
      </c>
      <c r="D63" s="2898">
        <f t="shared" si="175"/>
        <v>145.0283378746594</v>
      </c>
      <c r="E63" s="2898">
        <f t="shared" si="198"/>
        <v>204.95180722891567</v>
      </c>
      <c r="F63" s="2898">
        <f t="shared" si="198"/>
        <v>125.95920303605313</v>
      </c>
      <c r="G63" s="3642">
        <v>2007</v>
      </c>
      <c r="H63" s="2899">
        <v>1</v>
      </c>
      <c r="I63" s="2899">
        <v>3.58</v>
      </c>
      <c r="J63" s="2899">
        <v>3.08</v>
      </c>
      <c r="K63" s="2899">
        <v>4.34</v>
      </c>
      <c r="L63" s="2905">
        <v>3.21</v>
      </c>
      <c r="N63" s="2962">
        <f t="shared" si="195"/>
        <v>3.0497710174814063E-2</v>
      </c>
      <c r="O63" s="2963">
        <f t="shared" si="195"/>
        <v>2.8569772160704998E-2</v>
      </c>
      <c r="P63" s="2963">
        <f t="shared" si="196"/>
        <v>5.1034908866234296E-2</v>
      </c>
      <c r="Q63" s="2963">
        <f t="shared" si="196"/>
        <v>3.245248390207478E-2</v>
      </c>
      <c r="R63" s="2901"/>
      <c r="S63" s="2902">
        <f>B63/B64-1</f>
        <v>3.0497710174814063E-2</v>
      </c>
      <c r="T63" s="2903">
        <f>C63/C64-1</f>
        <v>2.8569772160704998E-2</v>
      </c>
      <c r="U63" s="2903">
        <f>E63/E64-1</f>
        <v>5.1034908866234296E-2</v>
      </c>
      <c r="V63" s="2903">
        <f>F63/F64-1</f>
        <v>3.245248390207478E-2</v>
      </c>
      <c r="X63" s="2961"/>
      <c r="Y63" s="2961"/>
      <c r="Z63" s="2961"/>
    </row>
    <row r="64" spans="1:26" ht="13.5" thickBot="1">
      <c r="A64" s="2897" t="s">
        <v>2586</v>
      </c>
      <c r="B64" s="2926">
        <v>159</v>
      </c>
      <c r="C64" s="2926">
        <v>141</v>
      </c>
      <c r="D64" s="2926">
        <f t="shared" si="175"/>
        <v>141</v>
      </c>
      <c r="E64" s="2926">
        <v>195</v>
      </c>
      <c r="F64" s="2927">
        <v>122</v>
      </c>
      <c r="G64" s="3640">
        <v>2006</v>
      </c>
      <c r="H64" s="2921">
        <v>4</v>
      </c>
      <c r="I64" s="2921">
        <v>3.79</v>
      </c>
      <c r="J64" s="2921">
        <v>2.21</v>
      </c>
      <c r="K64" s="2921">
        <v>5.65</v>
      </c>
      <c r="L64" s="2922">
        <v>5.41</v>
      </c>
      <c r="N64" s="2959">
        <f t="shared" ref="N64:O67" si="199">I64/SUM(I$64:I$67)*(B$64/B$68-1)</f>
        <v>7.245466462748526E-2</v>
      </c>
      <c r="O64" s="2960">
        <f t="shared" si="199"/>
        <v>2.3237230038062766E-2</v>
      </c>
      <c r="P64" s="2960">
        <f t="shared" ref="P64:Q67" si="200">K64/SUM(K$64:K$67)*(E$64/E$68-1)</f>
        <v>0.16146893866323722</v>
      </c>
      <c r="Q64" s="2960">
        <f t="shared" si="200"/>
        <v>5.0755230321793784E-2</v>
      </c>
      <c r="R64" s="2901"/>
      <c r="S64" s="2910"/>
      <c r="T64" s="2911"/>
      <c r="U64" s="2911"/>
      <c r="V64" s="2911"/>
      <c r="X64" s="2961"/>
      <c r="Y64" s="2961"/>
      <c r="Z64" s="2961"/>
    </row>
    <row r="65" spans="1:26">
      <c r="A65" s="2897" t="s">
        <v>2587</v>
      </c>
      <c r="B65" s="2898">
        <f t="shared" ref="B65:C67" si="201">B66+(B$64-B$68)*I65/SUM(I$64:I$67)</f>
        <v>149.00125628140702</v>
      </c>
      <c r="C65" s="2898">
        <f t="shared" si="201"/>
        <v>137.95592286501378</v>
      </c>
      <c r="D65" s="2898">
        <f t="shared" si="175"/>
        <v>137.95592286501378</v>
      </c>
      <c r="E65" s="2898">
        <f t="shared" ref="E65:F67" si="202">E66+(E$64-E$68)*K65/SUM(K$64:K$67)</f>
        <v>169.97231450719823</v>
      </c>
      <c r="F65" s="2898">
        <f t="shared" si="202"/>
        <v>116.21390374331551</v>
      </c>
      <c r="G65" s="3641">
        <v>2006</v>
      </c>
      <c r="H65" s="2924">
        <v>3</v>
      </c>
      <c r="I65" s="2924">
        <v>0.92</v>
      </c>
      <c r="J65" s="2924">
        <v>1.08</v>
      </c>
      <c r="K65" s="2924">
        <v>0.73</v>
      </c>
      <c r="L65" s="2925">
        <v>1.08</v>
      </c>
      <c r="N65" s="2959">
        <f t="shared" si="199"/>
        <v>1.7587939698492462E-2</v>
      </c>
      <c r="O65" s="2960">
        <f t="shared" si="199"/>
        <v>1.1355750425840628E-2</v>
      </c>
      <c r="P65" s="2960">
        <f t="shared" si="200"/>
        <v>2.0862358446754544E-2</v>
      </c>
      <c r="Q65" s="2960">
        <f t="shared" si="200"/>
        <v>1.0132282578103011E-2</v>
      </c>
      <c r="R65" s="2901"/>
      <c r="S65" s="2900"/>
      <c r="T65" s="2886"/>
      <c r="U65" s="2886"/>
      <c r="V65" s="2886"/>
      <c r="X65" s="2961"/>
      <c r="Y65" s="2961"/>
      <c r="Z65" s="2961"/>
    </row>
    <row r="66" spans="1:26">
      <c r="A66" s="2897" t="s">
        <v>2588</v>
      </c>
      <c r="B66" s="2898">
        <f t="shared" si="201"/>
        <v>146.57412060301507</v>
      </c>
      <c r="C66" s="2898">
        <f t="shared" si="201"/>
        <v>136.46831955922866</v>
      </c>
      <c r="D66" s="2898">
        <f t="shared" si="175"/>
        <v>136.46831955922866</v>
      </c>
      <c r="E66" s="2898">
        <f t="shared" si="202"/>
        <v>166.73864894795128</v>
      </c>
      <c r="F66" s="2898">
        <f t="shared" si="202"/>
        <v>115.05882352941177</v>
      </c>
      <c r="G66" s="3641">
        <v>2006</v>
      </c>
      <c r="H66" s="2912">
        <v>2</v>
      </c>
      <c r="I66" s="2912">
        <v>0.96</v>
      </c>
      <c r="J66" s="2912">
        <v>0.25</v>
      </c>
      <c r="K66" s="2912">
        <v>1.9</v>
      </c>
      <c r="L66" s="2913">
        <v>0.95</v>
      </c>
      <c r="N66" s="2959">
        <f t="shared" si="199"/>
        <v>1.8352632728861701E-2</v>
      </c>
      <c r="O66" s="2960">
        <f t="shared" si="199"/>
        <v>2.6286459319075526E-3</v>
      </c>
      <c r="P66" s="2960">
        <f t="shared" si="200"/>
        <v>5.4299289107991269E-2</v>
      </c>
      <c r="Q66" s="2960">
        <f t="shared" si="200"/>
        <v>8.9126559714794995E-3</v>
      </c>
      <c r="R66" s="2901"/>
      <c r="S66" s="2900"/>
      <c r="T66" s="2886"/>
      <c r="U66" s="2886"/>
      <c r="V66" s="2886"/>
      <c r="X66" s="2961"/>
      <c r="Y66" s="2961"/>
      <c r="Z66" s="2961"/>
    </row>
    <row r="67" spans="1:26">
      <c r="A67" s="2897" t="s">
        <v>2589</v>
      </c>
      <c r="B67" s="2898">
        <f t="shared" si="201"/>
        <v>144.04145728643215</v>
      </c>
      <c r="C67" s="2898">
        <f t="shared" si="201"/>
        <v>136.12396694214877</v>
      </c>
      <c r="D67" s="2898">
        <f t="shared" si="175"/>
        <v>136.12396694214877</v>
      </c>
      <c r="E67" s="2898">
        <f t="shared" si="202"/>
        <v>158.32225913621264</v>
      </c>
      <c r="F67" s="2898">
        <f t="shared" si="202"/>
        <v>114.04278074866311</v>
      </c>
      <c r="G67" s="3642">
        <v>2006</v>
      </c>
      <c r="H67" s="2899">
        <v>1</v>
      </c>
      <c r="I67" s="2899">
        <v>2.29</v>
      </c>
      <c r="J67" s="2899">
        <v>3.72</v>
      </c>
      <c r="K67" s="2899">
        <v>0.75</v>
      </c>
      <c r="L67" s="2905">
        <v>0.04</v>
      </c>
      <c r="N67" s="2962">
        <f t="shared" si="199"/>
        <v>4.3778675988638847E-2</v>
      </c>
      <c r="O67" s="2963">
        <f t="shared" si="199"/>
        <v>3.9114251466784385E-2</v>
      </c>
      <c r="P67" s="2963">
        <f t="shared" si="200"/>
        <v>2.1433929911049188E-2</v>
      </c>
      <c r="Q67" s="2963">
        <f t="shared" si="200"/>
        <v>3.7526972511492629E-4</v>
      </c>
      <c r="R67" s="2901"/>
      <c r="S67" s="2902">
        <f>B67/B68-1</f>
        <v>4.3778675988638716E-2</v>
      </c>
      <c r="T67" s="2903">
        <f>C67/C68-1</f>
        <v>3.91142514667846E-2</v>
      </c>
      <c r="U67" s="2903">
        <f>E67/E68-1</f>
        <v>2.143392991104931E-2</v>
      </c>
      <c r="V67" s="2903">
        <f>F67/F68-1</f>
        <v>3.7526972511492396E-4</v>
      </c>
      <c r="X67" s="2961"/>
      <c r="Y67" s="2961"/>
      <c r="Z67" s="2961"/>
    </row>
    <row r="68" spans="1:26" ht="13.5" thickBot="1">
      <c r="A68" s="2897" t="s">
        <v>2590</v>
      </c>
      <c r="B68" s="2926">
        <v>138</v>
      </c>
      <c r="C68" s="2926">
        <v>131</v>
      </c>
      <c r="D68" s="2926">
        <f t="shared" si="175"/>
        <v>131</v>
      </c>
      <c r="E68" s="2926">
        <v>155</v>
      </c>
      <c r="F68" s="2927">
        <v>114</v>
      </c>
      <c r="G68" s="3640">
        <v>2005</v>
      </c>
      <c r="H68" s="2921">
        <v>4</v>
      </c>
      <c r="I68" s="2921">
        <v>3.29</v>
      </c>
      <c r="J68" s="2921">
        <v>1.44</v>
      </c>
      <c r="K68" s="2921">
        <v>0.66</v>
      </c>
      <c r="L68" s="2922">
        <v>7.78</v>
      </c>
      <c r="N68" s="2959">
        <f t="shared" ref="N68:O71" si="203">I68/SUM(I$68:I$71)*(B$68/B$72-1)</f>
        <v>9.9404603216919935E-2</v>
      </c>
      <c r="O68" s="2960">
        <f t="shared" si="203"/>
        <v>4.7636550760861554E-2</v>
      </c>
      <c r="P68" s="2960">
        <f t="shared" ref="P68:Q71" si="204">K68/SUM(K$68:K$71)*(E$68/E$72-1)</f>
        <v>8.3756345177664976E-2</v>
      </c>
      <c r="Q68" s="2960">
        <f t="shared" si="204"/>
        <v>5.2148766661559584E-2</v>
      </c>
      <c r="R68" s="2901"/>
      <c r="S68" s="2910"/>
      <c r="T68" s="2911"/>
      <c r="U68" s="2911"/>
      <c r="V68" s="2911"/>
      <c r="X68" s="2961"/>
      <c r="Y68" s="2961"/>
      <c r="Z68" s="2961"/>
    </row>
    <row r="69" spans="1:26">
      <c r="A69" s="2897" t="s">
        <v>2591</v>
      </c>
      <c r="B69" s="2898">
        <f t="shared" ref="B69:C71" si="205">B70+(B$68-B$72)*I69/SUM(I$68:I$71)</f>
        <v>125.9720430107527</v>
      </c>
      <c r="C69" s="2898">
        <f t="shared" si="205"/>
        <v>125.1883408071749</v>
      </c>
      <c r="D69" s="2898">
        <f t="shared" si="175"/>
        <v>125.1883408071749</v>
      </c>
      <c r="E69" s="2898">
        <f t="shared" ref="E69:F71" si="206">E70+(E$68-E$72)*K69/SUM(K$68:K$71)</f>
        <v>144.61421319796952</v>
      </c>
      <c r="F69" s="2898">
        <f t="shared" si="206"/>
        <v>108.42008196721311</v>
      </c>
      <c r="G69" s="3641">
        <v>2005</v>
      </c>
      <c r="H69" s="2924">
        <v>3</v>
      </c>
      <c r="I69" s="2924">
        <v>0.46</v>
      </c>
      <c r="J69" s="2924">
        <v>0.32</v>
      </c>
      <c r="K69" s="2924">
        <v>0.42</v>
      </c>
      <c r="L69" s="2925">
        <v>0.64</v>
      </c>
      <c r="N69" s="2959">
        <f t="shared" si="203"/>
        <v>1.3898515951301874E-2</v>
      </c>
      <c r="O69" s="2960">
        <f t="shared" si="203"/>
        <v>1.0585900169080346E-2</v>
      </c>
      <c r="P69" s="2960">
        <f t="shared" si="204"/>
        <v>5.3299492385786795E-2</v>
      </c>
      <c r="Q69" s="2960">
        <f t="shared" si="204"/>
        <v>4.2898728359123568E-3</v>
      </c>
      <c r="R69" s="2901"/>
      <c r="S69" s="2900"/>
      <c r="T69" s="2886"/>
      <c r="U69" s="2886"/>
      <c r="V69" s="2886"/>
      <c r="X69" s="2961"/>
      <c r="Y69" s="2961"/>
      <c r="Z69" s="2961"/>
    </row>
    <row r="70" spans="1:26">
      <c r="A70" s="2897" t="s">
        <v>2592</v>
      </c>
      <c r="B70" s="2898">
        <f t="shared" si="205"/>
        <v>124.29032258064517</v>
      </c>
      <c r="C70" s="2898">
        <f t="shared" si="205"/>
        <v>123.8968609865471</v>
      </c>
      <c r="D70" s="2898">
        <f t="shared" si="175"/>
        <v>123.8968609865471</v>
      </c>
      <c r="E70" s="2898">
        <f t="shared" si="206"/>
        <v>138.00507614213197</v>
      </c>
      <c r="F70" s="2898">
        <f t="shared" si="206"/>
        <v>107.96106557377048</v>
      </c>
      <c r="G70" s="3641">
        <v>2005</v>
      </c>
      <c r="H70" s="2912">
        <v>2</v>
      </c>
      <c r="I70" s="2912">
        <v>0.47</v>
      </c>
      <c r="J70" s="2912">
        <v>0.1</v>
      </c>
      <c r="K70" s="2912">
        <v>0.52</v>
      </c>
      <c r="L70" s="2913">
        <v>0.79</v>
      </c>
      <c r="N70" s="2959">
        <f t="shared" si="203"/>
        <v>1.420065760241713E-2</v>
      </c>
      <c r="O70" s="2960">
        <f t="shared" si="203"/>
        <v>3.3080938028376083E-3</v>
      </c>
      <c r="P70" s="2960">
        <f t="shared" si="204"/>
        <v>6.598984771573603E-2</v>
      </c>
      <c r="Q70" s="2960">
        <f t="shared" si="204"/>
        <v>5.2953117818293153E-3</v>
      </c>
      <c r="R70" s="2901"/>
      <c r="S70" s="2900"/>
      <c r="T70" s="2886"/>
      <c r="U70" s="2886"/>
      <c r="V70" s="2886"/>
      <c r="X70" s="2961"/>
      <c r="Y70" s="2961"/>
      <c r="Z70" s="2961"/>
    </row>
    <row r="71" spans="1:26">
      <c r="A71" s="2897" t="s">
        <v>2593</v>
      </c>
      <c r="B71" s="2898">
        <f t="shared" si="205"/>
        <v>122.57204301075269</v>
      </c>
      <c r="C71" s="2898">
        <f t="shared" si="205"/>
        <v>123.4932735426009</v>
      </c>
      <c r="D71" s="2898">
        <f t="shared" si="175"/>
        <v>123.4932735426009</v>
      </c>
      <c r="E71" s="2898">
        <f t="shared" si="206"/>
        <v>129.82233502538071</v>
      </c>
      <c r="F71" s="2898">
        <f t="shared" si="206"/>
        <v>107.39446721311475</v>
      </c>
      <c r="G71" s="3642">
        <v>2005</v>
      </c>
      <c r="H71" s="2899">
        <v>1</v>
      </c>
      <c r="I71" s="2899">
        <v>0.43</v>
      </c>
      <c r="J71" s="2899">
        <v>0.37</v>
      </c>
      <c r="K71" s="2899">
        <v>0.37</v>
      </c>
      <c r="L71" s="2905">
        <v>0.55000000000000004</v>
      </c>
      <c r="N71" s="2962">
        <f t="shared" si="203"/>
        <v>1.2992090997956099E-2</v>
      </c>
      <c r="O71" s="2963">
        <f t="shared" si="203"/>
        <v>1.2239947070499151E-2</v>
      </c>
      <c r="P71" s="2963">
        <f t="shared" si="204"/>
        <v>4.6954314720812178E-2</v>
      </c>
      <c r="Q71" s="2963">
        <f t="shared" si="204"/>
        <v>3.6866094683621815E-3</v>
      </c>
      <c r="R71" s="2901"/>
      <c r="S71" s="2902">
        <f>B71/B72-1</f>
        <v>1.2992090997956174E-2</v>
      </c>
      <c r="T71" s="2903">
        <f>C71/C72-1</f>
        <v>1.2239947070499246E-2</v>
      </c>
      <c r="U71" s="2903">
        <f>E71/E72-1</f>
        <v>4.695431472081224E-2</v>
      </c>
      <c r="V71" s="2903">
        <f>F71/F72-1</f>
        <v>3.6866094683620787E-3</v>
      </c>
      <c r="X71" s="2961"/>
      <c r="Y71" s="2961"/>
      <c r="Z71" s="2961"/>
    </row>
    <row r="72" spans="1:26" ht="13.5" thickBot="1">
      <c r="A72" s="2897" t="s">
        <v>2594</v>
      </c>
      <c r="B72" s="2947">
        <v>121</v>
      </c>
      <c r="C72" s="2947">
        <v>122</v>
      </c>
      <c r="D72" s="2947">
        <f t="shared" si="175"/>
        <v>122</v>
      </c>
      <c r="E72" s="2947">
        <v>124</v>
      </c>
      <c r="F72" s="2948">
        <v>107</v>
      </c>
      <c r="G72" s="3640">
        <v>2004</v>
      </c>
      <c r="H72" s="2921">
        <v>4</v>
      </c>
      <c r="I72" s="2921">
        <v>0.33</v>
      </c>
      <c r="J72" s="2921">
        <v>0.5</v>
      </c>
      <c r="K72" s="2921">
        <v>0.5</v>
      </c>
      <c r="L72" s="2922">
        <v>0</v>
      </c>
      <c r="N72" s="2959">
        <f t="shared" ref="N72:O75" si="207">I72/SUM(I$72:I$75)*(B$72/B$76-1)</f>
        <v>1.3391770148526898E-2</v>
      </c>
      <c r="O72" s="2960">
        <f t="shared" si="207"/>
        <v>1.063264221158958E-2</v>
      </c>
      <c r="P72" s="2960">
        <f t="shared" ref="P72:Q75" si="208">K72/SUM(K$72:K$75)*(E$72/E$76-1)</f>
        <v>2.2244466688911134E-2</v>
      </c>
      <c r="Q72" s="2960">
        <f t="shared" si="208"/>
        <v>0</v>
      </c>
      <c r="R72" s="2901"/>
      <c r="S72" s="2910"/>
      <c r="T72" s="2911"/>
      <c r="U72" s="2911"/>
      <c r="V72" s="2911"/>
      <c r="X72" s="2961"/>
      <c r="Y72" s="2961"/>
      <c r="Z72" s="2961"/>
    </row>
    <row r="73" spans="1:26">
      <c r="A73" s="2897" t="s">
        <v>2595</v>
      </c>
      <c r="B73" s="2898">
        <f t="shared" ref="B73:C75" si="209">B74+(B$72-B$76)*I73/SUM(I$72:I$75)</f>
        <v>119.51351351351352</v>
      </c>
      <c r="C73" s="2898">
        <f t="shared" si="209"/>
        <v>120.7878787878788</v>
      </c>
      <c r="D73" s="2898">
        <f t="shared" si="175"/>
        <v>120.7878787878788</v>
      </c>
      <c r="E73" s="2898">
        <f t="shared" ref="E73:F75" si="210">E74+(E$72-E$76)*K73/SUM(K$72:K$75)</f>
        <v>121.5975975975976</v>
      </c>
      <c r="F73" s="2898">
        <f t="shared" si="210"/>
        <v>107</v>
      </c>
      <c r="G73" s="3641">
        <v>2004</v>
      </c>
      <c r="H73" s="2924">
        <v>3</v>
      </c>
      <c r="I73" s="2924">
        <v>0.56000000000000005</v>
      </c>
      <c r="J73" s="2924">
        <v>0.8</v>
      </c>
      <c r="K73" s="2924">
        <v>0.83</v>
      </c>
      <c r="L73" s="2925">
        <v>0.06</v>
      </c>
      <c r="N73" s="2959">
        <f t="shared" si="207"/>
        <v>2.2725428130833527E-2</v>
      </c>
      <c r="O73" s="2960">
        <f t="shared" si="207"/>
        <v>1.7012227538543329E-2</v>
      </c>
      <c r="P73" s="2960">
        <f t="shared" si="208"/>
        <v>3.6925814703592477E-2</v>
      </c>
      <c r="Q73" s="2960">
        <f t="shared" si="208"/>
        <v>2.8846153846153744E-2</v>
      </c>
      <c r="R73" s="2901"/>
      <c r="S73" s="2900"/>
      <c r="T73" s="2886"/>
      <c r="U73" s="2886"/>
      <c r="V73" s="2886"/>
      <c r="X73" s="2961"/>
      <c r="Y73" s="2961"/>
      <c r="Z73" s="2961"/>
    </row>
    <row r="74" spans="1:26">
      <c r="A74" s="2897" t="s">
        <v>2596</v>
      </c>
      <c r="B74" s="2898">
        <f t="shared" si="209"/>
        <v>116.99099099099099</v>
      </c>
      <c r="C74" s="2898">
        <f t="shared" si="209"/>
        <v>118.84848484848486</v>
      </c>
      <c r="D74" s="2898">
        <f t="shared" si="175"/>
        <v>118.84848484848486</v>
      </c>
      <c r="E74" s="2898">
        <f t="shared" si="210"/>
        <v>117.60960960960961</v>
      </c>
      <c r="F74" s="2898">
        <f t="shared" si="210"/>
        <v>104</v>
      </c>
      <c r="G74" s="3641">
        <v>2004</v>
      </c>
      <c r="H74" s="2912">
        <v>2</v>
      </c>
      <c r="I74" s="2912">
        <v>1</v>
      </c>
      <c r="J74" s="2912">
        <v>1.5</v>
      </c>
      <c r="K74" s="2912">
        <v>1.5</v>
      </c>
      <c r="L74" s="2913">
        <v>0</v>
      </c>
      <c r="N74" s="2959">
        <f t="shared" si="207"/>
        <v>4.0581121662202721E-2</v>
      </c>
      <c r="O74" s="2960">
        <f t="shared" si="207"/>
        <v>3.1897926634768738E-2</v>
      </c>
      <c r="P74" s="2960">
        <f t="shared" si="208"/>
        <v>6.6733400066733395E-2</v>
      </c>
      <c r="Q74" s="2960">
        <f t="shared" si="208"/>
        <v>0</v>
      </c>
      <c r="R74" s="2901"/>
      <c r="S74" s="2900"/>
      <c r="T74" s="2886"/>
      <c r="U74" s="2886"/>
      <c r="V74" s="2886"/>
      <c r="X74" s="2961"/>
      <c r="Y74" s="2961"/>
      <c r="Z74" s="2961"/>
    </row>
    <row r="75" spans="1:26" s="2953" customFormat="1" ht="13.5" thickBot="1">
      <c r="A75" s="2897" t="s">
        <v>2597</v>
      </c>
      <c r="B75" s="2950">
        <f t="shared" si="209"/>
        <v>112.48648648648648</v>
      </c>
      <c r="C75" s="2950">
        <f t="shared" si="209"/>
        <v>115.21212121212122</v>
      </c>
      <c r="D75" s="2950">
        <f t="shared" si="175"/>
        <v>115.21212121212122</v>
      </c>
      <c r="E75" s="2950">
        <f t="shared" si="210"/>
        <v>110.4024024024024</v>
      </c>
      <c r="F75" s="2950">
        <f t="shared" si="210"/>
        <v>104</v>
      </c>
      <c r="G75" s="3642">
        <v>2004</v>
      </c>
      <c r="H75" s="2951">
        <v>1</v>
      </c>
      <c r="I75" s="2951">
        <v>0.33</v>
      </c>
      <c r="J75" s="2951">
        <v>0.5</v>
      </c>
      <c r="K75" s="2951">
        <v>0.5</v>
      </c>
      <c r="L75" s="2952">
        <v>0</v>
      </c>
      <c r="N75" s="2964">
        <f t="shared" si="207"/>
        <v>1.3391770148526898E-2</v>
      </c>
      <c r="O75" s="2965">
        <f t="shared" si="207"/>
        <v>1.063264221158958E-2</v>
      </c>
      <c r="P75" s="2965">
        <f t="shared" si="208"/>
        <v>2.2244466688911134E-2</v>
      </c>
      <c r="Q75" s="2965">
        <f t="shared" si="208"/>
        <v>0</v>
      </c>
      <c r="R75" s="2956"/>
      <c r="S75" s="2954">
        <f>B75/B76-1</f>
        <v>1.3391770148526883E-2</v>
      </c>
      <c r="T75" s="2955">
        <f>C75/C76-1</f>
        <v>1.063264221158966E-2</v>
      </c>
      <c r="U75" s="2955">
        <f>E75/E76-1</f>
        <v>2.2244466688911224E-2</v>
      </c>
      <c r="V75" s="2955">
        <f>F75/F76-1</f>
        <v>0</v>
      </c>
      <c r="X75" s="2966"/>
      <c r="Y75" s="2966"/>
      <c r="Z75" s="2966"/>
    </row>
    <row r="76" spans="1:26" ht="13.5" thickBot="1">
      <c r="A76" s="2897" t="s">
        <v>2598</v>
      </c>
      <c r="B76" s="2967">
        <v>111</v>
      </c>
      <c r="C76" s="2967">
        <v>114</v>
      </c>
      <c r="D76" s="2967">
        <f t="shared" si="175"/>
        <v>114</v>
      </c>
      <c r="E76" s="2967">
        <v>108</v>
      </c>
      <c r="F76" s="2968">
        <v>104</v>
      </c>
      <c r="G76" s="3640">
        <v>2003</v>
      </c>
      <c r="H76" s="2957">
        <v>4</v>
      </c>
      <c r="I76" s="2969"/>
      <c r="J76" s="2969"/>
      <c r="K76" s="2969"/>
      <c r="L76" s="2969"/>
      <c r="N76" s="2970"/>
      <c r="O76" s="2969"/>
      <c r="P76" s="2969"/>
      <c r="Q76" s="2969"/>
      <c r="S76" s="2970"/>
      <c r="T76" s="2969"/>
      <c r="U76" s="2969"/>
      <c r="V76" s="2969"/>
      <c r="X76" s="2961"/>
      <c r="Y76" s="2961"/>
      <c r="Z76" s="2961"/>
    </row>
    <row r="77" spans="1:26">
      <c r="A77" s="2897" t="s">
        <v>2599</v>
      </c>
      <c r="B77" s="2971">
        <f t="shared" ref="B77:C79" si="211">B78+(B$76-B$80)/4</f>
        <v>109.75</v>
      </c>
      <c r="C77" s="2971">
        <f t="shared" si="211"/>
        <v>112.25</v>
      </c>
      <c r="D77" s="2971">
        <f t="shared" si="175"/>
        <v>112.25</v>
      </c>
      <c r="E77" s="2971">
        <f t="shared" ref="E77:F79" si="212">E78+(E$76-E$80)/4</f>
        <v>107.25</v>
      </c>
      <c r="F77" s="2971">
        <f t="shared" si="212"/>
        <v>103.5</v>
      </c>
      <c r="G77" s="3641">
        <v>2003</v>
      </c>
      <c r="H77" s="2924">
        <v>3</v>
      </c>
      <c r="I77" s="2969"/>
      <c r="J77" s="2969"/>
      <c r="K77" s="2969"/>
      <c r="L77" s="2969"/>
      <c r="X77" s="2961"/>
      <c r="Y77" s="2961"/>
      <c r="Z77" s="2961"/>
    </row>
    <row r="78" spans="1:26">
      <c r="A78" s="2897" t="s">
        <v>2600</v>
      </c>
      <c r="B78" s="2971">
        <f t="shared" si="211"/>
        <v>108.5</v>
      </c>
      <c r="C78" s="2971">
        <f t="shared" si="211"/>
        <v>110.5</v>
      </c>
      <c r="D78" s="2971">
        <f t="shared" si="175"/>
        <v>110.5</v>
      </c>
      <c r="E78" s="2971">
        <f t="shared" si="212"/>
        <v>106.5</v>
      </c>
      <c r="F78" s="2971">
        <f t="shared" si="212"/>
        <v>103</v>
      </c>
      <c r="G78" s="3641">
        <v>2003</v>
      </c>
      <c r="H78" s="2912">
        <v>2</v>
      </c>
      <c r="I78" s="2969"/>
      <c r="J78" s="2969"/>
      <c r="K78" s="2969"/>
      <c r="L78" s="2969"/>
      <c r="X78" s="2961"/>
      <c r="Y78" s="2961"/>
      <c r="Z78" s="2961"/>
    </row>
    <row r="79" spans="1:26" ht="13.5" thickBot="1">
      <c r="A79" s="2897" t="s">
        <v>2601</v>
      </c>
      <c r="B79" s="2971">
        <f t="shared" si="211"/>
        <v>107.25</v>
      </c>
      <c r="C79" s="2971">
        <f t="shared" si="211"/>
        <v>108.75</v>
      </c>
      <c r="D79" s="2971">
        <f t="shared" si="175"/>
        <v>108.75</v>
      </c>
      <c r="E79" s="2971">
        <f t="shared" si="212"/>
        <v>105.75</v>
      </c>
      <c r="F79" s="2971">
        <f t="shared" si="212"/>
        <v>102.5</v>
      </c>
      <c r="G79" s="3642">
        <v>2003</v>
      </c>
      <c r="H79" s="2972">
        <v>1</v>
      </c>
      <c r="I79" s="2969"/>
      <c r="J79" s="2969"/>
      <c r="K79" s="2969"/>
      <c r="L79" s="2969"/>
      <c r="S79" s="2900"/>
      <c r="T79" s="2886"/>
      <c r="U79" s="2886"/>
      <c r="X79" s="2961"/>
      <c r="Y79" s="2961"/>
      <c r="Z79" s="2961"/>
    </row>
    <row r="80" spans="1:26" ht="13.5" thickBot="1">
      <c r="A80" s="2897" t="s">
        <v>2602</v>
      </c>
      <c r="B80" s="2973">
        <v>106</v>
      </c>
      <c r="C80" s="2973">
        <v>107</v>
      </c>
      <c r="D80" s="2973">
        <f t="shared" si="175"/>
        <v>107</v>
      </c>
      <c r="E80" s="2973">
        <v>105</v>
      </c>
      <c r="F80" s="2974">
        <v>102</v>
      </c>
      <c r="G80" s="3640">
        <v>2002</v>
      </c>
      <c r="H80" s="2921">
        <v>4</v>
      </c>
      <c r="I80" s="2969"/>
      <c r="J80" s="2969"/>
      <c r="K80" s="2969"/>
      <c r="L80" s="2969"/>
      <c r="N80" s="2970"/>
      <c r="O80" s="2969"/>
      <c r="P80" s="2969"/>
      <c r="Q80" s="2969"/>
      <c r="S80" s="2970"/>
      <c r="T80" s="2969"/>
      <c r="U80" s="2969"/>
      <c r="V80" s="2969"/>
      <c r="X80" s="2961"/>
      <c r="Y80" s="2961"/>
      <c r="Z80" s="2961"/>
    </row>
    <row r="81" spans="1:26">
      <c r="A81" s="2897" t="s">
        <v>2603</v>
      </c>
      <c r="B81" s="2971">
        <f t="shared" ref="B81:C83" si="213">B82+(B$80-B$84)/4</f>
        <v>105</v>
      </c>
      <c r="C81" s="2971">
        <f t="shared" si="213"/>
        <v>106</v>
      </c>
      <c r="D81" s="2971">
        <f t="shared" si="175"/>
        <v>106</v>
      </c>
      <c r="E81" s="2971">
        <f t="shared" ref="E81:F83" si="214">E82+(E$80-E$84)/4</f>
        <v>104.5</v>
      </c>
      <c r="F81" s="2971">
        <f t="shared" si="214"/>
        <v>101.5</v>
      </c>
      <c r="G81" s="3641">
        <v>2002</v>
      </c>
      <c r="H81" s="2924">
        <v>3</v>
      </c>
      <c r="I81" s="2969"/>
      <c r="J81" s="2969"/>
      <c r="K81" s="2969"/>
      <c r="L81" s="2969"/>
      <c r="X81" s="2961"/>
      <c r="Y81" s="2961"/>
      <c r="Z81" s="2961"/>
    </row>
    <row r="82" spans="1:26">
      <c r="A82" s="2897" t="s">
        <v>2604</v>
      </c>
      <c r="B82" s="2971">
        <f t="shared" si="213"/>
        <v>104</v>
      </c>
      <c r="C82" s="2971">
        <f t="shared" si="213"/>
        <v>105</v>
      </c>
      <c r="D82" s="2971">
        <f t="shared" si="175"/>
        <v>105</v>
      </c>
      <c r="E82" s="2971">
        <f t="shared" si="214"/>
        <v>104</v>
      </c>
      <c r="F82" s="2971">
        <f t="shared" si="214"/>
        <v>101</v>
      </c>
      <c r="G82" s="3641">
        <v>2002</v>
      </c>
      <c r="H82" s="2912">
        <v>2</v>
      </c>
      <c r="I82" s="2969"/>
      <c r="J82" s="2969"/>
      <c r="K82" s="2969"/>
      <c r="L82" s="2969"/>
      <c r="X82" s="2961"/>
      <c r="Y82" s="2961"/>
      <c r="Z82" s="2961"/>
    </row>
    <row r="83" spans="1:26" s="2934" customFormat="1" ht="13.5" thickBot="1">
      <c r="A83" s="2930" t="s">
        <v>2605</v>
      </c>
      <c r="B83" s="2937">
        <f t="shared" si="213"/>
        <v>103</v>
      </c>
      <c r="C83" s="2937">
        <f t="shared" si="213"/>
        <v>104</v>
      </c>
      <c r="D83" s="2937">
        <f t="shared" si="175"/>
        <v>104</v>
      </c>
      <c r="E83" s="2937">
        <f t="shared" si="214"/>
        <v>103.5</v>
      </c>
      <c r="F83" s="2937">
        <f t="shared" si="214"/>
        <v>100.5</v>
      </c>
      <c r="G83" s="3642">
        <v>2002</v>
      </c>
      <c r="H83" s="2975">
        <v>1</v>
      </c>
      <c r="I83" s="2976"/>
      <c r="J83" s="2976"/>
      <c r="K83" s="2976"/>
      <c r="L83" s="2976"/>
      <c r="N83" s="2977"/>
      <c r="S83" s="2977"/>
      <c r="X83" s="2978"/>
      <c r="Y83" s="2978"/>
      <c r="Z83" s="2978"/>
    </row>
    <row r="84" spans="1:26" ht="13.5" thickBot="1">
      <c r="B84" s="2979">
        <v>102</v>
      </c>
      <c r="C84" s="2980">
        <v>103</v>
      </c>
      <c r="D84" s="2980">
        <f t="shared" si="175"/>
        <v>103</v>
      </c>
      <c r="E84" s="2980">
        <v>103</v>
      </c>
      <c r="F84" s="2981">
        <v>100</v>
      </c>
      <c r="I84" s="2969"/>
      <c r="J84" s="2969"/>
      <c r="K84" s="2969"/>
      <c r="L84" s="2969"/>
      <c r="N84" s="2970"/>
      <c r="O84" s="2969"/>
      <c r="P84" s="2969"/>
      <c r="Q84" s="2969"/>
      <c r="S84" s="2970"/>
      <c r="T84" s="2969"/>
      <c r="U84" s="2969"/>
      <c r="V84" s="2969"/>
      <c r="X84" s="2911"/>
      <c r="Y84" s="2911"/>
      <c r="Z84" s="2911"/>
    </row>
    <row r="86" spans="1:26" s="2983" customFormat="1">
      <c r="A86" s="2982" t="s">
        <v>2606</v>
      </c>
      <c r="G86" s="2984"/>
      <c r="N86" s="2984"/>
      <c r="S86" s="2984"/>
    </row>
    <row r="87" spans="1:26" s="2983" customFormat="1">
      <c r="A87" s="2983" t="s">
        <v>2607</v>
      </c>
      <c r="G87" s="2984"/>
      <c r="N87" s="2984"/>
      <c r="S87" s="2984"/>
    </row>
    <row r="88" spans="1:26" s="2983" customFormat="1">
      <c r="A88" s="2983" t="s">
        <v>2608</v>
      </c>
      <c r="G88" s="2984"/>
      <c r="I88" s="2985"/>
      <c r="J88" s="2985"/>
      <c r="K88" s="2985"/>
      <c r="L88" s="2985"/>
      <c r="N88" s="2986"/>
      <c r="O88" s="2985"/>
      <c r="P88" s="2985"/>
      <c r="Q88" s="2985"/>
      <c r="S88" s="2986"/>
      <c r="T88" s="2985"/>
      <c r="U88" s="2985"/>
      <c r="V88" s="2985"/>
    </row>
    <row r="89" spans="1:26" s="2983" customFormat="1">
      <c r="A89" s="2983" t="s">
        <v>2609</v>
      </c>
      <c r="G89" s="2984"/>
      <c r="N89" s="2984"/>
      <c r="S89" s="2984"/>
    </row>
    <row r="96" spans="1:26" ht="13.5" thickBot="1"/>
    <row r="97" spans="7:22">
      <c r="G97" s="2885"/>
      <c r="S97" s="2987" t="s">
        <v>2610</v>
      </c>
      <c r="T97" s="2988" t="s">
        <v>2611</v>
      </c>
      <c r="U97" s="2988" t="s">
        <v>2612</v>
      </c>
      <c r="V97" s="2988" t="s">
        <v>2613</v>
      </c>
    </row>
    <row r="98" spans="7:22">
      <c r="G98" s="2885"/>
      <c r="N98" s="2910"/>
      <c r="O98" s="2911"/>
      <c r="P98" s="2911"/>
      <c r="Q98" s="2911"/>
      <c r="S98" s="2989">
        <v>2006</v>
      </c>
      <c r="T98" s="2990">
        <v>15.1</v>
      </c>
      <c r="U98" s="2990">
        <v>7.43</v>
      </c>
      <c r="V98" s="2990">
        <v>26.26</v>
      </c>
    </row>
    <row r="99" spans="7:22">
      <c r="G99" s="2885"/>
      <c r="N99" s="2910"/>
      <c r="O99" s="2911"/>
      <c r="P99" s="2911"/>
      <c r="Q99" s="2911"/>
      <c r="S99" s="2991">
        <v>2005</v>
      </c>
      <c r="T99" s="2992">
        <v>13.9</v>
      </c>
      <c r="U99" s="2992">
        <v>7.49</v>
      </c>
      <c r="V99" s="2992">
        <v>24.92</v>
      </c>
    </row>
    <row r="100" spans="7:22">
      <c r="G100" s="2885"/>
      <c r="N100" s="2910"/>
      <c r="O100" s="2911"/>
      <c r="P100" s="2911"/>
      <c r="Q100" s="2911"/>
      <c r="S100" s="2989">
        <v>2004</v>
      </c>
      <c r="T100" s="2990">
        <v>9.48</v>
      </c>
      <c r="U100" s="2990">
        <v>7.2</v>
      </c>
      <c r="V100" s="2990">
        <v>14.68</v>
      </c>
    </row>
    <row r="101" spans="7:22">
      <c r="G101" s="2885"/>
      <c r="N101" s="2910"/>
      <c r="O101" s="2911"/>
      <c r="P101" s="2911"/>
      <c r="Q101" s="2911"/>
      <c r="S101" s="2991">
        <v>2003</v>
      </c>
      <c r="T101" s="2992">
        <v>4.5</v>
      </c>
      <c r="U101" s="2992">
        <v>6.12</v>
      </c>
      <c r="V101" s="2992">
        <v>2.34</v>
      </c>
    </row>
    <row r="102" spans="7:22" ht="13.5" thickBot="1">
      <c r="G102" s="2885"/>
      <c r="N102" s="2910"/>
      <c r="O102" s="2911"/>
      <c r="P102" s="2911"/>
      <c r="Q102" s="2911"/>
      <c r="S102" s="2993">
        <v>2002</v>
      </c>
      <c r="T102" s="2994">
        <v>3.59</v>
      </c>
      <c r="U102" s="2994">
        <v>4.54</v>
      </c>
      <c r="V102" s="2994">
        <v>2.5499999999999998</v>
      </c>
    </row>
    <row r="103" spans="7:22">
      <c r="G103" s="2885"/>
      <c r="N103" s="2910"/>
      <c r="O103" s="2911"/>
      <c r="P103" s="2911"/>
      <c r="Q103" s="2911"/>
    </row>
    <row r="104" spans="7:22">
      <c r="G104" s="2885"/>
      <c r="N104" s="2910"/>
      <c r="O104" s="2911"/>
      <c r="P104" s="2911"/>
      <c r="Q104" s="2911"/>
    </row>
    <row r="105" spans="7:22">
      <c r="G105" s="2885"/>
      <c r="N105" s="2910"/>
      <c r="O105" s="2911"/>
      <c r="P105" s="2911"/>
      <c r="Q105" s="2911"/>
    </row>
    <row r="106" spans="7:22">
      <c r="G106" s="2885"/>
      <c r="N106" s="2910"/>
      <c r="O106" s="2911"/>
      <c r="P106" s="2911"/>
      <c r="Q106" s="2911"/>
    </row>
    <row r="107" spans="7:22">
      <c r="G107" s="2885"/>
      <c r="N107" s="2910"/>
      <c r="O107" s="2911"/>
      <c r="P107" s="2911"/>
      <c r="Q107" s="2911"/>
    </row>
    <row r="108" spans="7:22">
      <c r="G108" s="2885"/>
      <c r="N108" s="2910"/>
      <c r="O108" s="2911"/>
      <c r="P108" s="2911"/>
      <c r="Q108" s="2911"/>
    </row>
    <row r="109" spans="7:22">
      <c r="G109" s="2885"/>
      <c r="N109" s="2910"/>
      <c r="O109" s="2911"/>
      <c r="P109" s="2911"/>
      <c r="Q109" s="2911"/>
    </row>
    <row r="110" spans="7:22">
      <c r="G110" s="2885"/>
      <c r="N110" s="2910"/>
      <c r="O110" s="2911"/>
      <c r="P110" s="2911"/>
      <c r="Q110" s="2911"/>
    </row>
    <row r="111" spans="7:22">
      <c r="G111" s="2885"/>
      <c r="N111" s="2910"/>
      <c r="O111" s="2911"/>
      <c r="P111" s="2911"/>
      <c r="Q111" s="2911"/>
    </row>
    <row r="112" spans="7:22">
      <c r="G112" s="2885"/>
      <c r="N112" s="2910"/>
      <c r="O112" s="2911"/>
      <c r="P112" s="2911"/>
      <c r="Q112" s="2911"/>
    </row>
    <row r="113" spans="7:19">
      <c r="G113" s="2885"/>
      <c r="N113" s="2910"/>
      <c r="O113" s="2911"/>
      <c r="P113" s="2911"/>
      <c r="Q113" s="2911"/>
      <c r="S113" s="2885"/>
    </row>
    <row r="114" spans="7:19">
      <c r="G114" s="2885"/>
      <c r="N114" s="2910"/>
      <c r="O114" s="2911"/>
      <c r="P114" s="2911"/>
      <c r="Q114" s="2911"/>
      <c r="S114" s="2885"/>
    </row>
    <row r="115" spans="7:19">
      <c r="G115" s="2885"/>
      <c r="N115" s="2910"/>
      <c r="O115" s="2911"/>
      <c r="P115" s="2911"/>
      <c r="Q115" s="2911"/>
      <c r="S115" s="2885"/>
    </row>
    <row r="116" spans="7:19">
      <c r="G116" s="2885"/>
      <c r="N116" s="2910"/>
      <c r="O116" s="2911"/>
      <c r="P116" s="2911"/>
      <c r="Q116" s="2911"/>
      <c r="S116" s="2885"/>
    </row>
    <row r="117" spans="7:19">
      <c r="G117" s="2885"/>
      <c r="N117" s="2910"/>
      <c r="O117" s="2911"/>
      <c r="P117" s="2911"/>
      <c r="Q117" s="2911"/>
      <c r="S117" s="2885"/>
    </row>
    <row r="118" spans="7:19">
      <c r="G118" s="2885"/>
      <c r="N118" s="2910"/>
      <c r="O118" s="2911"/>
      <c r="P118" s="2911"/>
      <c r="Q118" s="2911"/>
      <c r="S118" s="2885"/>
    </row>
  </sheetData>
  <sheetProtection sheet="1" objects="1" scenarios="1" formatCells="0" formatColumns="0" formatRows="0"/>
  <mergeCells count="23">
    <mergeCell ref="G20:G23"/>
    <mergeCell ref="G16:G19"/>
    <mergeCell ref="G44:G47"/>
    <mergeCell ref="G48:G51"/>
    <mergeCell ref="G52:G55"/>
    <mergeCell ref="G24:G27"/>
    <mergeCell ref="G28:G31"/>
    <mergeCell ref="X1:AB1"/>
    <mergeCell ref="B1:F1"/>
    <mergeCell ref="AD1:AH1"/>
    <mergeCell ref="G80:G83"/>
    <mergeCell ref="G1:L1"/>
    <mergeCell ref="N1:Q1"/>
    <mergeCell ref="S1:V1"/>
    <mergeCell ref="G56:G59"/>
    <mergeCell ref="G60:G63"/>
    <mergeCell ref="G64:G67"/>
    <mergeCell ref="G68:G71"/>
    <mergeCell ref="G72:G75"/>
    <mergeCell ref="G76:G79"/>
    <mergeCell ref="G32:G35"/>
    <mergeCell ref="G36:G39"/>
    <mergeCell ref="G40:G43"/>
  </mergeCells>
  <phoneticPr fontId="228" type="noConversion"/>
  <pageMargins left="0.7" right="0.7" top="0.75" bottom="0.75" header="0.3" footer="0.3"/>
  <pageSetup paperSize="9" scale="75" orientation="landscape" r:id="rId1"/>
  <rowBreaks count="1" manualBreakCount="1">
    <brk id="5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1890</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受贵公司委托，我公司对北京市出让国有建设用地使用权市场价格进行了预评估。</v>
      </c>
    </row>
    <row r="5" spans="1:4" ht="18.75">
      <c r="A5" s="1709" t="s">
        <v>1891</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32358.705平方米。根据《建设工程规划许可证》[]、《出让合同》[]，估价对象规划建筑面积为142378.302平方米。</v>
      </c>
    </row>
    <row r="7" spans="1:4" ht="56.25">
      <c r="A7" s="1710" t="s">
        <v>2722</v>
      </c>
    </row>
    <row r="8" spans="1:4" ht="18.75">
      <c r="A8" s="1709" t="s">
        <v>1892</v>
      </c>
    </row>
    <row r="9" spans="1:4" ht="75">
      <c r="A9" s="171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2010</v>
      </c>
    </row>
    <row r="11" spans="1:4" ht="18.75">
      <c r="A11" s="1695" t="str">
        <f>TEXT(项目基本情况!D3,"yyyy年m月d日;;")&amp;IF(项目基本情况!B3=项目基本情况!D3,"（评估专业人员勘察现场之日）","")</f>
        <v>2021年9月24日（评估专业人员勘察现场之日）</v>
      </c>
    </row>
    <row r="12" spans="1:4" ht="18.75">
      <c r="A12" s="1712" t="s">
        <v>2009</v>
      </c>
    </row>
    <row r="13" spans="1:4" ht="18.75">
      <c r="A13" s="1706" t="s">
        <v>2899</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2056</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2057</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根据《国有土地使用证》[]，估价对象（分摊）出让国有建设用地使用权面积为32358.705平方米。根据《建设工程规划许可证》[]、《出让合同》[]，估价对象规划建筑面积为142378.302平方米。</v>
      </c>
    </row>
    <row r="21" spans="1:1" ht="18.75">
      <c r="A21" s="1706" t="s">
        <v>2058</v>
      </c>
    </row>
    <row r="22" spans="1:1" ht="56.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本次估价对象为出让国有建设用地使用权，《国有土地使用证》[]证载土地终止日期为商业2061年9月20日、办公2071年9月23日。截至估价期日，出让国有建设用地使用权剩余土地使用年限为。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2059</v>
      </c>
    </row>
    <row r="25" spans="1:1" ht="75">
      <c r="A25" s="1706" t="str">
        <f>定义!C53</f>
        <v>本次估价的“出让国有建设用地使用权价格”是指在估价对象土地所有权为国家所有，使用权性质为出让，在公开市场条件下、于估价期日2021年9月24日，在规划利用条件下、设定土地开发程度为红线外“七通”、宗地内场地，设定用途为，剩余土地使用年限为的出让国有建设用地使用权价格。</v>
      </c>
    </row>
    <row r="26" spans="1:1" ht="18.75">
      <c r="A26" s="1706" t="str">
        <f>IF(项目基本情况!B9="市场价格","——",IF(项目基本情况!E8="抵押价格",定义!C54,IF(项目基本情况!E8="已注销",定义!C55,定义!C56)))</f>
        <v>——</v>
      </c>
    </row>
    <row r="27" spans="1:1" ht="18.7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6" t="str">
        <f>IF(项目基本情况!B9="市场价格","——",IF(项目基本情况!E9="——","",定义!C57))</f>
        <v>——</v>
      </c>
    </row>
    <row r="29" spans="1:1" ht="18.75">
      <c r="A29" s="1712" t="s">
        <v>2011</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4" customWidth="1"/>
    <col min="2" max="2" width="12.5" style="3244" customWidth="1"/>
    <col min="3" max="3" width="12.125" style="3244" customWidth="1"/>
    <col min="4" max="4" width="16.625" style="3244" customWidth="1"/>
    <col min="5" max="5" width="12.5" style="3244" customWidth="1"/>
    <col min="6" max="6" width="12.75" style="3244" customWidth="1"/>
    <col min="7" max="16384" width="8.875" style="3244"/>
  </cols>
  <sheetData>
    <row r="1" spans="1:14" ht="20.25">
      <c r="A1" s="3247" t="s">
        <v>2906</v>
      </c>
      <c r="B1" s="3242"/>
      <c r="C1" s="3242"/>
      <c r="D1" s="3242"/>
      <c r="E1" s="3242"/>
      <c r="F1" s="3242"/>
      <c r="G1" s="3243"/>
      <c r="H1" s="3243"/>
      <c r="I1" s="3243"/>
      <c r="J1" s="3243"/>
      <c r="K1" s="3243"/>
      <c r="L1" s="3243"/>
      <c r="M1" s="3243"/>
      <c r="N1" s="3243"/>
    </row>
    <row r="2" spans="1:14" ht="14.25">
      <c r="A2" s="3248" t="s">
        <v>2901</v>
      </c>
      <c r="B2" s="3253">
        <f ca="1">SUMIF(B7:B14,"&lt;&gt;#ref!",B7:B14)</f>
        <v>0</v>
      </c>
      <c r="C2" s="3248" t="s">
        <v>2902</v>
      </c>
      <c r="D2" s="3245"/>
      <c r="E2" s="3245"/>
      <c r="F2" s="3245"/>
      <c r="G2" s="3243"/>
      <c r="H2" s="3243"/>
      <c r="I2" s="3243"/>
      <c r="J2" s="3243"/>
      <c r="K2" s="3243"/>
      <c r="L2" s="3243"/>
      <c r="M2" s="3243"/>
      <c r="N2" s="3243"/>
    </row>
    <row r="3" spans="1:14" ht="14.25">
      <c r="A3" s="3248" t="s">
        <v>2931</v>
      </c>
      <c r="B3" s="3253" t="e">
        <f ca="1">ROUND(B2*10000/E3,0)</f>
        <v>#DIV/0!</v>
      </c>
      <c r="C3" s="3248" t="s">
        <v>2062</v>
      </c>
      <c r="D3" s="3248" t="s">
        <v>2903</v>
      </c>
      <c r="E3" s="3246">
        <f ca="1">SUMIF(E7:E14,"&lt;&gt;#ref!",E7:E14)</f>
        <v>0</v>
      </c>
      <c r="F3" s="3245"/>
      <c r="G3" s="3243"/>
      <c r="H3" s="3243"/>
      <c r="I3" s="3243"/>
      <c r="J3" s="3243"/>
      <c r="K3" s="3243"/>
      <c r="L3" s="3243"/>
      <c r="M3" s="3243"/>
      <c r="N3" s="3243"/>
    </row>
    <row r="4" spans="1:14" ht="14.25">
      <c r="A4" s="3248" t="s">
        <v>2909</v>
      </c>
      <c r="B4" s="3253" t="e">
        <f ca="1">ROUND(B2*10000/E4,0)</f>
        <v>#DIV/0!</v>
      </c>
      <c r="C4" s="3248" t="s">
        <v>2062</v>
      </c>
      <c r="D4" s="3248" t="s">
        <v>2910</v>
      </c>
      <c r="E4" s="3246">
        <f ca="1">SUMIF(F7:F14,"&lt;&gt;#ref!",F7:F14)</f>
        <v>0</v>
      </c>
      <c r="F4" s="3245"/>
      <c r="G4" s="3243"/>
      <c r="H4" s="3243"/>
      <c r="I4" s="3243"/>
      <c r="J4" s="3243"/>
      <c r="K4" s="3243"/>
      <c r="L4" s="3243"/>
      <c r="M4" s="3243"/>
      <c r="N4" s="3243"/>
    </row>
    <row r="5" spans="1:14" ht="14.25">
      <c r="A5" s="3249"/>
      <c r="B5" s="3245"/>
      <c r="C5" s="3245"/>
      <c r="D5" s="3245"/>
      <c r="E5" s="3245"/>
      <c r="F5" s="3245"/>
      <c r="G5" s="3243"/>
      <c r="H5" s="3243"/>
      <c r="I5" s="3243"/>
      <c r="J5" s="3243"/>
      <c r="K5" s="3243"/>
      <c r="L5" s="3243"/>
      <c r="M5" s="3243"/>
      <c r="N5" s="3243"/>
    </row>
    <row r="6" spans="1:14" ht="28.5">
      <c r="A6" s="3250" t="s">
        <v>2907</v>
      </c>
      <c r="B6" s="3248" t="s">
        <v>2904</v>
      </c>
      <c r="C6" s="2789"/>
      <c r="D6" s="3245"/>
      <c r="E6" s="3248" t="s">
        <v>2905</v>
      </c>
      <c r="F6" s="3248" t="s">
        <v>2908</v>
      </c>
      <c r="G6" s="3243"/>
      <c r="H6" s="3243"/>
      <c r="I6" s="3243"/>
      <c r="J6" s="3243"/>
      <c r="K6" s="3243"/>
      <c r="L6" s="3243"/>
      <c r="M6" s="3243"/>
      <c r="N6" s="3243"/>
    </row>
    <row r="7" spans="1:14" ht="14.25">
      <c r="A7" s="3251"/>
      <c r="B7" s="3253" t="e">
        <f ca="1">SUMIF(INDIRECT("'"&amp;A7&amp;"'"&amp;"!A:A"),"总价",INDIRECT("'"&amp;A7&amp;"'"&amp;"!B:B"))</f>
        <v>#REF!</v>
      </c>
      <c r="C7" s="3248" t="s">
        <v>2902</v>
      </c>
      <c r="D7" s="3245"/>
      <c r="E7" s="3246" t="e">
        <f ca="1">SUMIF(INDIRECT("'"&amp;A7&amp;"'"&amp;"!C:C"),"建筑面积",INDIRECT("'"&amp;A7&amp;"'"&amp;"!D:D"))</f>
        <v>#REF!</v>
      </c>
      <c r="F7" s="3246" t="e">
        <f ca="1">SUMIF(INDIRECT("'"&amp;A7&amp;"'"&amp;"!E:E"),"土地面积",INDIRECT("'"&amp;A7&amp;"'"&amp;"!F:F"))</f>
        <v>#REF!</v>
      </c>
      <c r="G7" s="3243"/>
      <c r="H7" s="3243"/>
      <c r="I7" s="3243"/>
      <c r="J7" s="3243"/>
      <c r="K7" s="3243"/>
      <c r="L7" s="3243"/>
      <c r="M7" s="3243"/>
      <c r="N7" s="3243"/>
    </row>
    <row r="8" spans="1:14" ht="14.25">
      <c r="A8" s="3251"/>
      <c r="B8" s="3253" t="e">
        <f t="shared" ref="B8:B14" ca="1" si="0">SUMIF(INDIRECT("'"&amp;A8&amp;"'"&amp;"!A:A"),"总价",INDIRECT("'"&amp;A8&amp;"'"&amp;"!B:B"))</f>
        <v>#REF!</v>
      </c>
      <c r="C8" s="3248" t="s">
        <v>2902</v>
      </c>
      <c r="D8" s="3245"/>
      <c r="E8" s="3246" t="e">
        <f t="shared" ref="E8:E14" ca="1" si="1">SUMIF(INDIRECT("'"&amp;A8&amp;"'"&amp;"!C:C"),"建筑面积",INDIRECT("'"&amp;A8&amp;"'"&amp;"!D:D"))</f>
        <v>#REF!</v>
      </c>
      <c r="F8" s="3246" t="e">
        <f t="shared" ref="F8:F14" ca="1" si="2">SUMIF(INDIRECT("'"&amp;A8&amp;"'"&amp;"!E:E"),"土地面积",INDIRECT("'"&amp;A8&amp;"'"&amp;"!F:F"))</f>
        <v>#REF!</v>
      </c>
      <c r="G8" s="3243"/>
      <c r="H8" s="3243"/>
      <c r="I8" s="3243"/>
      <c r="J8" s="3243"/>
      <c r="K8" s="3243"/>
      <c r="L8" s="3243"/>
      <c r="M8" s="3243"/>
      <c r="N8" s="3243"/>
    </row>
    <row r="9" spans="1:14" ht="14.25">
      <c r="A9" s="3251"/>
      <c r="B9" s="3253" t="e">
        <f t="shared" ca="1" si="0"/>
        <v>#REF!</v>
      </c>
      <c r="C9" s="3248" t="s">
        <v>2902</v>
      </c>
      <c r="D9" s="3245"/>
      <c r="E9" s="3246" t="e">
        <f t="shared" ca="1" si="1"/>
        <v>#REF!</v>
      </c>
      <c r="F9" s="3246" t="e">
        <f t="shared" ca="1" si="2"/>
        <v>#REF!</v>
      </c>
      <c r="G9" s="3243"/>
      <c r="H9" s="3243"/>
      <c r="I9" s="3243"/>
      <c r="J9" s="3243"/>
      <c r="K9" s="3243"/>
      <c r="L9" s="3243"/>
      <c r="M9" s="3243"/>
      <c r="N9" s="3243"/>
    </row>
    <row r="10" spans="1:14" ht="14.25">
      <c r="A10" s="3251"/>
      <c r="B10" s="3253" t="e">
        <f t="shared" ca="1" si="0"/>
        <v>#REF!</v>
      </c>
      <c r="C10" s="3248" t="s">
        <v>2902</v>
      </c>
      <c r="D10" s="3245"/>
      <c r="E10" s="3246" t="e">
        <f t="shared" ca="1" si="1"/>
        <v>#REF!</v>
      </c>
      <c r="F10" s="3246" t="e">
        <f t="shared" ca="1" si="2"/>
        <v>#REF!</v>
      </c>
      <c r="G10" s="3243"/>
      <c r="H10" s="3243"/>
      <c r="I10" s="3243"/>
      <c r="J10" s="3243"/>
      <c r="K10" s="3243"/>
      <c r="L10" s="3243"/>
      <c r="M10" s="3243"/>
      <c r="N10" s="3243"/>
    </row>
    <row r="11" spans="1:14" ht="14.25">
      <c r="A11" s="3251"/>
      <c r="B11" s="3253" t="e">
        <f t="shared" ca="1" si="0"/>
        <v>#REF!</v>
      </c>
      <c r="C11" s="3248" t="s">
        <v>2902</v>
      </c>
      <c r="D11" s="3245"/>
      <c r="E11" s="3246" t="e">
        <f t="shared" ca="1" si="1"/>
        <v>#REF!</v>
      </c>
      <c r="F11" s="3246" t="e">
        <f t="shared" ca="1" si="2"/>
        <v>#REF!</v>
      </c>
      <c r="G11" s="3243"/>
      <c r="H11" s="3243"/>
      <c r="I11" s="3243"/>
      <c r="J11" s="3243"/>
      <c r="K11" s="3243"/>
      <c r="L11" s="3243"/>
      <c r="M11" s="3243"/>
      <c r="N11" s="3243"/>
    </row>
    <row r="12" spans="1:14" ht="14.25">
      <c r="A12" s="3251"/>
      <c r="B12" s="3253" t="e">
        <f t="shared" ca="1" si="0"/>
        <v>#REF!</v>
      </c>
      <c r="C12" s="3248" t="s">
        <v>2902</v>
      </c>
      <c r="D12" s="3245"/>
      <c r="E12" s="3246" t="e">
        <f t="shared" ca="1" si="1"/>
        <v>#REF!</v>
      </c>
      <c r="F12" s="3246" t="e">
        <f t="shared" ca="1" si="2"/>
        <v>#REF!</v>
      </c>
      <c r="G12" s="3243"/>
      <c r="H12" s="3243"/>
      <c r="I12" s="3243"/>
      <c r="J12" s="3243"/>
      <c r="K12" s="3243"/>
      <c r="L12" s="3243"/>
      <c r="M12" s="3243"/>
      <c r="N12" s="3243"/>
    </row>
    <row r="13" spans="1:14" ht="14.25">
      <c r="A13" s="3251"/>
      <c r="B13" s="3253" t="e">
        <f t="shared" ca="1" si="0"/>
        <v>#REF!</v>
      </c>
      <c r="C13" s="3248" t="s">
        <v>2902</v>
      </c>
      <c r="D13" s="3245"/>
      <c r="E13" s="3246" t="e">
        <f t="shared" ca="1" si="1"/>
        <v>#REF!</v>
      </c>
      <c r="F13" s="3246" t="e">
        <f t="shared" ca="1" si="2"/>
        <v>#REF!</v>
      </c>
      <c r="G13" s="3243"/>
      <c r="H13" s="3243"/>
      <c r="I13" s="3243"/>
      <c r="J13" s="3243"/>
      <c r="K13" s="3243"/>
      <c r="L13" s="3243"/>
      <c r="M13" s="3243"/>
      <c r="N13" s="3243"/>
    </row>
    <row r="14" spans="1:14" ht="14.25">
      <c r="A14" s="3252"/>
      <c r="B14" s="3253" t="e">
        <f t="shared" ca="1" si="0"/>
        <v>#REF!</v>
      </c>
      <c r="C14" s="3248" t="s">
        <v>2902</v>
      </c>
      <c r="D14" s="3245"/>
      <c r="E14" s="3246" t="e">
        <f t="shared" ca="1" si="1"/>
        <v>#REF!</v>
      </c>
      <c r="F14" s="3246" t="e">
        <f t="shared" ca="1" si="2"/>
        <v>#REF!</v>
      </c>
      <c r="G14" s="3243"/>
      <c r="H14" s="3243"/>
      <c r="I14" s="3243"/>
      <c r="J14" s="3243"/>
      <c r="K14" s="3243"/>
      <c r="L14" s="3243"/>
      <c r="M14" s="3243"/>
      <c r="N14" s="3243"/>
    </row>
    <row r="15" spans="1:14">
      <c r="A15" s="3243"/>
      <c r="B15" s="3243"/>
      <c r="C15" s="3243"/>
      <c r="D15" s="3243"/>
      <c r="E15" s="3243"/>
      <c r="F15" s="3243"/>
      <c r="G15" s="3243"/>
      <c r="H15" s="3243"/>
      <c r="I15" s="3243"/>
      <c r="J15" s="3243"/>
      <c r="K15" s="3243"/>
      <c r="L15" s="3243"/>
      <c r="M15" s="3243"/>
      <c r="N15" s="3243"/>
    </row>
    <row r="16" spans="1:14">
      <c r="A16" s="3243"/>
      <c r="B16" s="3243"/>
      <c r="C16" s="3243"/>
      <c r="D16" s="3243"/>
      <c r="E16" s="3243"/>
      <c r="F16" s="3243"/>
      <c r="G16" s="3243"/>
      <c r="H16" s="3243"/>
      <c r="I16" s="3243"/>
      <c r="J16" s="3243"/>
      <c r="K16" s="3243"/>
      <c r="L16" s="3243"/>
      <c r="M16" s="3243"/>
      <c r="N16" s="3243"/>
    </row>
    <row r="17" spans="1:14">
      <c r="A17" s="3243"/>
      <c r="B17" s="3243"/>
      <c r="C17" s="3243"/>
      <c r="D17" s="3243"/>
      <c r="E17" s="3243"/>
      <c r="F17" s="3243"/>
      <c r="G17" s="3243"/>
      <c r="H17" s="3243"/>
      <c r="I17" s="3243"/>
      <c r="J17" s="3243"/>
      <c r="K17" s="3243"/>
      <c r="L17" s="3243"/>
      <c r="M17" s="3243"/>
      <c r="N17" s="3243"/>
    </row>
    <row r="18" spans="1:14">
      <c r="A18" s="3243"/>
      <c r="B18" s="3243"/>
      <c r="C18" s="3243"/>
      <c r="D18" s="3243"/>
      <c r="E18" s="3243"/>
      <c r="F18" s="3243"/>
      <c r="G18" s="3243"/>
      <c r="H18" s="3243"/>
      <c r="I18" s="3243"/>
      <c r="J18" s="3243"/>
      <c r="K18" s="3243"/>
      <c r="L18" s="3243"/>
      <c r="M18" s="3243"/>
      <c r="N18" s="3243"/>
    </row>
    <row r="19" spans="1:14">
      <c r="A19" s="3243"/>
      <c r="B19" s="3243"/>
      <c r="C19" s="3243"/>
      <c r="D19" s="3243"/>
      <c r="E19" s="3243"/>
      <c r="F19" s="3243"/>
      <c r="G19" s="3243"/>
      <c r="H19" s="3243"/>
      <c r="I19" s="3243"/>
      <c r="J19" s="3243"/>
      <c r="K19" s="3243"/>
      <c r="L19" s="3243"/>
      <c r="M19" s="3243"/>
      <c r="N19" s="3243"/>
    </row>
    <row r="20" spans="1:14">
      <c r="A20" s="3243"/>
      <c r="B20" s="3243"/>
      <c r="C20" s="3243"/>
      <c r="D20" s="3243"/>
      <c r="E20" s="3243"/>
      <c r="F20" s="3243"/>
      <c r="G20" s="3243"/>
      <c r="H20" s="3243"/>
      <c r="I20" s="3243"/>
      <c r="J20" s="3243"/>
      <c r="K20" s="3243"/>
      <c r="L20" s="3243"/>
      <c r="M20" s="3243"/>
      <c r="N20" s="3243"/>
    </row>
    <row r="21" spans="1:14">
      <c r="A21" s="3243"/>
      <c r="B21" s="3243"/>
      <c r="C21" s="3243"/>
      <c r="D21" s="3243"/>
      <c r="E21" s="3243"/>
      <c r="F21" s="3243"/>
      <c r="G21" s="3243"/>
      <c r="H21" s="3243"/>
      <c r="I21" s="3243"/>
      <c r="J21" s="3243"/>
      <c r="K21" s="3243"/>
      <c r="L21" s="3243"/>
      <c r="M21" s="3243"/>
      <c r="N21" s="3243"/>
    </row>
    <row r="22" spans="1:14">
      <c r="A22" s="3243"/>
      <c r="B22" s="3243"/>
      <c r="C22" s="3243"/>
      <c r="D22" s="3243"/>
      <c r="E22" s="3243"/>
      <c r="F22" s="3243"/>
      <c r="G22" s="3243"/>
      <c r="H22" s="3243"/>
      <c r="I22" s="3243"/>
      <c r="J22" s="3243"/>
      <c r="K22" s="3243"/>
      <c r="L22" s="3243"/>
      <c r="M22" s="3243"/>
      <c r="N22" s="3243"/>
    </row>
    <row r="23" spans="1:14">
      <c r="A23" s="3243"/>
      <c r="B23" s="3243"/>
      <c r="C23" s="3243"/>
      <c r="D23" s="3243"/>
      <c r="E23" s="3243"/>
      <c r="F23" s="3243"/>
      <c r="G23" s="3243"/>
      <c r="H23" s="3243"/>
      <c r="I23" s="3243"/>
      <c r="J23" s="3243"/>
      <c r="K23" s="3243"/>
      <c r="L23" s="3243"/>
      <c r="M23" s="3243"/>
      <c r="N23" s="3243"/>
    </row>
    <row r="24" spans="1:14">
      <c r="A24" s="3243"/>
      <c r="B24" s="3243"/>
      <c r="C24" s="3243"/>
      <c r="D24" s="3243"/>
      <c r="E24" s="3243"/>
      <c r="F24" s="3243"/>
      <c r="G24" s="3243"/>
      <c r="H24" s="3243"/>
      <c r="I24" s="3243"/>
      <c r="J24" s="3243"/>
      <c r="K24" s="3243"/>
      <c r="L24" s="3243"/>
      <c r="M24" s="3243"/>
      <c r="N24" s="3243"/>
    </row>
    <row r="25" spans="1:14">
      <c r="A25" s="3243"/>
      <c r="B25" s="3243"/>
      <c r="C25" s="3243"/>
      <c r="D25" s="3243"/>
      <c r="E25" s="3243"/>
      <c r="F25" s="3243"/>
      <c r="G25" s="3243"/>
      <c r="H25" s="3243"/>
      <c r="I25" s="3243"/>
      <c r="J25" s="3243"/>
      <c r="K25" s="3243"/>
      <c r="L25" s="3243"/>
      <c r="M25" s="3243"/>
      <c r="N25" s="3243"/>
    </row>
    <row r="26" spans="1:14">
      <c r="A26" s="3243"/>
      <c r="B26" s="3243"/>
      <c r="C26" s="3243"/>
      <c r="D26" s="3243"/>
      <c r="E26" s="3243"/>
      <c r="F26" s="3243"/>
      <c r="G26" s="3243"/>
      <c r="H26" s="3243"/>
      <c r="I26" s="3243"/>
      <c r="J26" s="3243"/>
      <c r="K26" s="3243"/>
      <c r="L26" s="3243"/>
      <c r="M26" s="3243"/>
      <c r="N26" s="3243"/>
    </row>
    <row r="27" spans="1:14">
      <c r="A27" s="3243"/>
      <c r="B27" s="3243"/>
      <c r="C27" s="3243"/>
      <c r="D27" s="3243"/>
      <c r="E27" s="3243"/>
      <c r="F27" s="3243"/>
      <c r="G27" s="3243"/>
      <c r="H27" s="3243"/>
      <c r="I27" s="3243"/>
      <c r="J27" s="3243"/>
      <c r="K27" s="3243"/>
      <c r="L27" s="3243"/>
      <c r="M27" s="3243"/>
      <c r="N27" s="3243"/>
    </row>
    <row r="28" spans="1:14">
      <c r="A28" s="3243"/>
      <c r="B28" s="3243"/>
      <c r="C28" s="3243"/>
      <c r="D28" s="3243"/>
      <c r="E28" s="3243"/>
      <c r="F28" s="3243"/>
      <c r="G28" s="3243"/>
      <c r="H28" s="3243"/>
      <c r="I28" s="3243"/>
      <c r="J28" s="3243"/>
      <c r="K28" s="3243"/>
      <c r="L28" s="3243"/>
      <c r="M28" s="3243"/>
      <c r="N28" s="3243"/>
    </row>
    <row r="29" spans="1:14">
      <c r="A29" s="3243"/>
      <c r="B29" s="3243"/>
      <c r="C29" s="3243"/>
      <c r="D29" s="3243"/>
      <c r="E29" s="3243"/>
      <c r="F29" s="3243"/>
      <c r="G29" s="3243"/>
      <c r="H29" s="3243"/>
      <c r="I29" s="3243"/>
      <c r="J29" s="3243"/>
      <c r="K29" s="3243"/>
      <c r="L29" s="3243"/>
      <c r="M29" s="3243"/>
      <c r="N29" s="3243"/>
    </row>
  </sheetData>
  <sheetProtection password="CEE9" sheet="1" objects="1" scenarios="1" formatCells="0" formatColumns="0" formatRows="0"/>
  <phoneticPr fontId="228" type="noConversion"/>
  <dataValidations count="1">
    <dataValidation type="list" allowBlank="1" showInputMessage="1" showErrorMessage="1" sqref="A7:A14" xr:uid="{00000000-0002-0000-1C00-000000000000}">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
    <tabColor rgb="FF92D050"/>
    <pageSetUpPr fitToPage="1"/>
  </sheetPr>
  <dimension ref="A1:Y94"/>
  <sheetViews>
    <sheetView view="pageBreakPreview" zoomScale="60" zoomScaleNormal="60" workbookViewId="0">
      <selection activeCell="A7" sqref="A7"/>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620</v>
      </c>
      <c r="B1" s="730"/>
      <c r="C1" s="763"/>
      <c r="D1" s="1933"/>
      <c r="E1" s="2242" t="s">
        <v>2354</v>
      </c>
      <c r="F1" s="2243">
        <f ca="1">J54</f>
        <v>-2</v>
      </c>
      <c r="G1" s="764">
        <f>MATCH(C1,'数据-取费表'!A6:A16,0)+5</f>
        <v>8</v>
      </c>
      <c r="H1" s="1302"/>
      <c r="I1" s="1934"/>
      <c r="J1" s="1934"/>
      <c r="K1" s="1935"/>
      <c r="L1" s="1934"/>
      <c r="M1" s="1934"/>
      <c r="N1" s="1936"/>
      <c r="O1" s="1936"/>
      <c r="P1" s="1936"/>
      <c r="Q1" s="1936"/>
      <c r="R1" s="1936"/>
      <c r="S1" s="1936"/>
      <c r="T1" s="1936"/>
      <c r="U1" s="1936"/>
      <c r="V1" s="1936"/>
      <c r="W1" s="1936"/>
      <c r="X1" s="1936"/>
      <c r="Y1" s="1936"/>
    </row>
    <row r="2" spans="1:25" ht="18" customHeight="1">
      <c r="A2" s="1572" t="s">
        <v>621</v>
      </c>
      <c r="B2" s="765">
        <f ca="1">IF(ISERROR(C45+J31),0,C45+J31)</f>
        <v>0</v>
      </c>
      <c r="C2" s="1303"/>
      <c r="D2" s="1938"/>
      <c r="E2" s="1939"/>
      <c r="F2" s="1939"/>
      <c r="G2" s="1524"/>
      <c r="H2" s="1315"/>
      <c r="I2" s="1940"/>
      <c r="J2" s="1940"/>
      <c r="K2" s="1941"/>
      <c r="L2" s="1940"/>
      <c r="M2" s="1940"/>
    </row>
    <row r="3" spans="1:25" ht="18" customHeight="1">
      <c r="A3" s="1573" t="s">
        <v>1672</v>
      </c>
      <c r="B3" s="1339">
        <f ca="1">ROUND(B2*10000/'数据-汇总表'!E3,0)</f>
        <v>0</v>
      </c>
      <c r="C3" s="1303"/>
      <c r="D3" s="1938"/>
      <c r="E3" s="1939"/>
      <c r="F3" s="1939"/>
      <c r="G3" s="1524"/>
      <c r="H3" s="766" t="s">
        <v>687</v>
      </c>
      <c r="I3" s="1940"/>
      <c r="J3" s="1940"/>
      <c r="K3" s="1941"/>
      <c r="L3" s="1940"/>
      <c r="M3" s="1940"/>
    </row>
    <row r="4" spans="1:25" ht="18" customHeight="1">
      <c r="A4" s="1574" t="s">
        <v>688</v>
      </c>
      <c r="B4" s="1304">
        <f ca="1">ROUND(B2*10000/'数据-汇总表'!D3,0)</f>
        <v>0</v>
      </c>
      <c r="C4" s="422"/>
      <c r="D4" s="1938"/>
      <c r="E4" s="1939"/>
      <c r="F4" s="1939"/>
      <c r="G4" s="1524"/>
      <c r="H4" s="766"/>
      <c r="I4" s="1940"/>
      <c r="J4" s="1940"/>
      <c r="K4" s="1941"/>
      <c r="L4" s="1940"/>
      <c r="M4" s="1940"/>
    </row>
    <row r="5" spans="1:25" ht="18" customHeight="1" thickBot="1">
      <c r="A5" s="1575"/>
      <c r="B5" s="424">
        <f ca="1">ROUND(B2/('数据-汇总表'!D3/666.67),0)</f>
        <v>0</v>
      </c>
      <c r="C5" s="425" t="s">
        <v>689</v>
      </c>
      <c r="D5" s="1938"/>
      <c r="E5" s="1939"/>
      <c r="F5" s="1939"/>
      <c r="G5" s="1524"/>
      <c r="H5" s="766"/>
      <c r="I5" s="1940"/>
      <c r="J5" s="1940"/>
      <c r="K5" s="1941"/>
      <c r="L5" s="1940"/>
      <c r="M5" s="1940"/>
    </row>
    <row r="6" spans="1:25" ht="18" customHeight="1">
      <c r="A6" s="1743" t="s">
        <v>690</v>
      </c>
      <c r="B6" s="1735" t="s">
        <v>691</v>
      </c>
      <c r="C6" s="1735" t="s">
        <v>624</v>
      </c>
      <c r="D6" s="1735" t="s">
        <v>625</v>
      </c>
      <c r="E6" s="769" t="s">
        <v>626</v>
      </c>
      <c r="F6" s="770"/>
      <c r="G6" s="1526"/>
      <c r="H6" s="1743" t="s">
        <v>622</v>
      </c>
      <c r="I6" s="1735" t="s">
        <v>623</v>
      </c>
      <c r="J6" s="1735" t="s">
        <v>624</v>
      </c>
      <c r="K6" s="1735" t="s">
        <v>625</v>
      </c>
      <c r="L6" s="769" t="s">
        <v>626</v>
      </c>
      <c r="M6" s="770"/>
    </row>
    <row r="7" spans="1:25" ht="18" customHeight="1">
      <c r="A7" s="771">
        <v>1</v>
      </c>
      <c r="B7" s="772" t="s">
        <v>2434</v>
      </c>
      <c r="C7" s="53">
        <f ca="1">C8+C12+C14</f>
        <v>0</v>
      </c>
      <c r="D7" s="2349" t="s">
        <v>2437</v>
      </c>
      <c r="E7" s="2343"/>
      <c r="F7" s="2344"/>
      <c r="G7" s="1526"/>
      <c r="H7" s="771">
        <v>1</v>
      </c>
      <c r="I7" s="772" t="s">
        <v>2434</v>
      </c>
      <c r="J7" s="53">
        <f ca="1">J8+J12+J14</f>
        <v>0</v>
      </c>
      <c r="K7" s="2349" t="s">
        <v>2437</v>
      </c>
      <c r="L7" s="2343"/>
      <c r="M7" s="2344"/>
    </row>
    <row r="8" spans="1:25" ht="18" customHeight="1">
      <c r="A8" s="1745" t="s">
        <v>1810</v>
      </c>
      <c r="B8" s="3649" t="s">
        <v>2439</v>
      </c>
      <c r="C8" s="1740">
        <f ca="1">ROUND(F8*F10*F9*(1-F11)/10000,0)</f>
        <v>0</v>
      </c>
      <c r="D8" s="1737" t="s">
        <v>2510</v>
      </c>
      <c r="E8" s="61" t="s">
        <v>629</v>
      </c>
      <c r="F8" s="775">
        <f ca="1">INDIRECT("'数据-取费表'!u"&amp;$G$1)</f>
        <v>0</v>
      </c>
      <c r="G8" s="1526"/>
      <c r="H8" s="2357" t="s">
        <v>1810</v>
      </c>
      <c r="I8" s="3649" t="s">
        <v>2439</v>
      </c>
      <c r="J8" s="773">
        <f ca="1">ROUND(M8*M10*M9*(1-M11)/10000,0)</f>
        <v>0</v>
      </c>
      <c r="K8" s="339" t="s">
        <v>2510</v>
      </c>
      <c r="L8" s="774" t="s">
        <v>1724</v>
      </c>
      <c r="M8" s="775">
        <f ca="1">INDIRECT("'数据-取费表'!z"&amp;$G$1)</f>
        <v>0</v>
      </c>
    </row>
    <row r="9" spans="1:25" ht="18" customHeight="1">
      <c r="A9" s="2353"/>
      <c r="B9" s="3650"/>
      <c r="C9" s="1741"/>
      <c r="D9" s="1738"/>
      <c r="E9" s="61" t="s">
        <v>630</v>
      </c>
      <c r="F9" s="775">
        <f ca="1">IF(INDIRECT("'数据-取费表'!ah"&amp;$G$1)="",INDIRECT("'数据-取费表'!k"&amp;$G$1),INDIRECT("'数据-取费表'!ah"&amp;$G$1))</f>
        <v>0</v>
      </c>
      <c r="G9" s="1526"/>
      <c r="H9" s="2342"/>
      <c r="I9" s="3650"/>
      <c r="J9" s="778"/>
      <c r="K9" s="779"/>
      <c r="L9" s="774" t="s">
        <v>1725</v>
      </c>
      <c r="M9" s="775">
        <f ca="1">F9</f>
        <v>0</v>
      </c>
    </row>
    <row r="10" spans="1:25" ht="18" customHeight="1">
      <c r="A10" s="2346"/>
      <c r="B10" s="3651"/>
      <c r="C10" s="1741"/>
      <c r="D10" s="1738"/>
      <c r="E10" s="61" t="s">
        <v>631</v>
      </c>
      <c r="F10" s="775">
        <f ca="1">INDIRECT("'数据-取费表'!ai"&amp;$G$1)</f>
        <v>0</v>
      </c>
      <c r="G10" s="1526"/>
      <c r="H10" s="2342"/>
      <c r="I10" s="3651"/>
      <c r="J10" s="778"/>
      <c r="K10" s="779"/>
      <c r="L10" s="774" t="s">
        <v>1726</v>
      </c>
      <c r="M10" s="775">
        <f ca="1">INDIRECT("'数据-取费表'!ai"&amp;$G$1)</f>
        <v>0</v>
      </c>
    </row>
    <row r="11" spans="1:25" ht="18" customHeight="1">
      <c r="A11" s="776"/>
      <c r="B11" s="3652"/>
      <c r="C11" s="1741"/>
      <c r="D11" s="1738"/>
      <c r="E11" s="61" t="s">
        <v>632</v>
      </c>
      <c r="F11" s="784">
        <f ca="1">INDIRECT("'数据-取费表'!w"&amp;$G$1)</f>
        <v>0</v>
      </c>
      <c r="G11" s="1526"/>
      <c r="H11" s="2358"/>
      <c r="I11" s="3651"/>
      <c r="J11" s="778"/>
      <c r="K11" s="779"/>
      <c r="L11" s="785" t="s">
        <v>1727</v>
      </c>
      <c r="M11" s="786">
        <f ca="1">INDIRECT("'数据-取费表'!ab"&amp;$G$1)</f>
        <v>0</v>
      </c>
    </row>
    <row r="12" spans="1:25" ht="18" customHeight="1">
      <c r="A12" s="1745" t="s">
        <v>1811</v>
      </c>
      <c r="B12" s="2347" t="s">
        <v>2435</v>
      </c>
      <c r="C12" s="789">
        <f ca="1">ROUND(IF(F12="押一",C8/12*F13,IF(F12="押二",C8/12*2*F13,IF(F12="押三",C8/12*3*F13,C13*F13))),0)</f>
        <v>0</v>
      </c>
      <c r="D12" s="2354" t="s">
        <v>2928</v>
      </c>
      <c r="E12" s="2351" t="s">
        <v>2440</v>
      </c>
      <c r="F12" s="2465"/>
      <c r="G12" s="1526"/>
      <c r="H12" s="2414" t="s">
        <v>1811</v>
      </c>
      <c r="I12" s="2419" t="s">
        <v>2435</v>
      </c>
      <c r="J12" s="773">
        <f ca="1">ROUND(IF(M12="押一",J8/12*M13,IF(M12="押二",J8/12*2*M13,IF(M12="押三",J8/12*3*M13,J13*M13))),0)</f>
        <v>0</v>
      </c>
      <c r="K12" s="2354" t="s">
        <v>2928</v>
      </c>
      <c r="L12" s="2351" t="s">
        <v>2440</v>
      </c>
      <c r="M12" s="2465"/>
    </row>
    <row r="13" spans="1:25" ht="18" customHeight="1">
      <c r="A13" s="780"/>
      <c r="B13" s="2348" t="s">
        <v>2549</v>
      </c>
      <c r="C13" s="2352"/>
      <c r="D13" s="779"/>
      <c r="E13" s="2351" t="s">
        <v>2433</v>
      </c>
      <c r="F13" s="786">
        <f ca="1">'数据-取费表'!B39</f>
        <v>1.4999999999999999E-2</v>
      </c>
      <c r="G13" s="1526"/>
      <c r="H13" s="2415"/>
      <c r="I13" s="2348" t="s">
        <v>2549</v>
      </c>
      <c r="J13" s="2352"/>
      <c r="K13" s="2416"/>
      <c r="L13" s="2351" t="s">
        <v>2433</v>
      </c>
      <c r="M13" s="2345">
        <f ca="1">'数据-取费表'!B39</f>
        <v>1.4999999999999999E-2</v>
      </c>
    </row>
    <row r="14" spans="1:25" ht="18" customHeight="1" thickBot="1">
      <c r="A14" s="2390" t="s">
        <v>2443</v>
      </c>
      <c r="B14" s="2391" t="s">
        <v>2436</v>
      </c>
      <c r="C14" s="2392"/>
      <c r="D14" s="2393"/>
      <c r="E14" s="2394"/>
      <c r="F14" s="2395"/>
      <c r="G14" s="1526"/>
      <c r="H14" s="2404" t="s">
        <v>2443</v>
      </c>
      <c r="I14" s="2417" t="s">
        <v>2436</v>
      </c>
      <c r="J14" s="2418"/>
      <c r="K14" s="2393"/>
      <c r="L14" s="2394"/>
      <c r="M14" s="2407"/>
    </row>
    <row r="15" spans="1:25" ht="18" customHeight="1" thickTop="1">
      <c r="A15" s="1744" t="s">
        <v>1860</v>
      </c>
      <c r="B15" s="1742" t="s">
        <v>633</v>
      </c>
      <c r="C15" s="782">
        <f ca="1">ROUND(C31*F15,0)</f>
        <v>0</v>
      </c>
      <c r="D15" s="1749" t="s">
        <v>634</v>
      </c>
      <c r="E15" s="785" t="s">
        <v>635</v>
      </c>
      <c r="F15" s="790">
        <f ca="1">INDIRECT("'数据-取费表'!y"&amp;$G$1)</f>
        <v>0</v>
      </c>
      <c r="G15" s="1526"/>
      <c r="H15" s="1744" t="s">
        <v>1812</v>
      </c>
      <c r="I15" s="1742" t="s">
        <v>636</v>
      </c>
      <c r="J15" s="1734">
        <f ca="1">ROUND(J16*J17,0)</f>
        <v>0</v>
      </c>
      <c r="K15" s="1736" t="s">
        <v>634</v>
      </c>
      <c r="L15" s="791"/>
      <c r="M15" s="792"/>
    </row>
    <row r="16" spans="1:25" ht="18" customHeight="1">
      <c r="A16" s="793" t="s">
        <v>1861</v>
      </c>
      <c r="B16" s="774" t="s">
        <v>637</v>
      </c>
      <c r="C16" s="794">
        <f ca="1">INDIRECT("'数据-取费表'!m"&amp;$G$1)+INDIRECT("'数据-取费表'!t"&amp;$G$1)</f>
        <v>0</v>
      </c>
      <c r="D16" s="1893" t="s">
        <v>638</v>
      </c>
      <c r="E16" s="1894"/>
      <c r="F16" s="795"/>
      <c r="G16" s="1526"/>
      <c r="H16" s="793" t="s">
        <v>2053</v>
      </c>
      <c r="I16" s="2111" t="s">
        <v>2799</v>
      </c>
      <c r="J16" s="53">
        <f ca="1">C31</f>
        <v>0</v>
      </c>
      <c r="K16" s="26"/>
      <c r="L16" s="791"/>
      <c r="M16" s="792"/>
    </row>
    <row r="17" spans="1:25" s="1947" customFormat="1" ht="18" customHeight="1">
      <c r="A17" s="793" t="s">
        <v>1835</v>
      </c>
      <c r="B17" s="774" t="s">
        <v>639</v>
      </c>
      <c r="C17" s="53">
        <f ca="1">ROUND(C16*F17,0)</f>
        <v>0</v>
      </c>
      <c r="D17" s="796" t="s">
        <v>640</v>
      </c>
      <c r="E17" s="796" t="s">
        <v>641</v>
      </c>
      <c r="F17" s="797">
        <f>'数据-取费表'!B33</f>
        <v>0.03</v>
      </c>
      <c r="G17" s="1527"/>
      <c r="H17" s="793" t="s">
        <v>2054</v>
      </c>
      <c r="I17" s="774" t="s">
        <v>635</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1836</v>
      </c>
      <c r="B18" s="774" t="s">
        <v>642</v>
      </c>
      <c r="C18" s="53">
        <f ca="1">ROUND(INDIRECT("'数据-取费表'!m"&amp;$G$1)*F18,0)</f>
        <v>0</v>
      </c>
      <c r="D18" s="774" t="s">
        <v>640</v>
      </c>
      <c r="E18" s="774" t="s">
        <v>641</v>
      </c>
      <c r="F18" s="799">
        <f ca="1">IF(INDIRECT("'数据-取费表'!c"&amp;$G$1)="住宅",'数据-取费表'!B34,0)</f>
        <v>0</v>
      </c>
      <c r="G18" s="1526"/>
      <c r="H18" s="787" t="s">
        <v>1813</v>
      </c>
      <c r="I18" s="788" t="s">
        <v>643</v>
      </c>
      <c r="J18" s="789">
        <f ca="1">ROUND(J19+J24+J25+J26,0)</f>
        <v>0</v>
      </c>
      <c r="K18" s="26" t="s">
        <v>644</v>
      </c>
      <c r="L18" s="1896"/>
      <c r="M18" s="56"/>
    </row>
    <row r="19" spans="1:25" s="1947" customFormat="1" ht="18" customHeight="1">
      <c r="A19" s="793" t="s">
        <v>1837</v>
      </c>
      <c r="B19" s="774" t="s">
        <v>645</v>
      </c>
      <c r="C19" s="53">
        <f ca="1">ROUND(F19*(INDIRECT("'数据-取费表'!k"&amp;$G$1)+INDIRECT("'数据-取费表'!S"&amp;$G$1))/10000,0)</f>
        <v>0</v>
      </c>
      <c r="D19" s="774" t="s">
        <v>646</v>
      </c>
      <c r="E19" s="774" t="s">
        <v>647</v>
      </c>
      <c r="F19" s="56">
        <f>'数据-取费表'!B35</f>
        <v>300</v>
      </c>
      <c r="G19" s="1527"/>
      <c r="H19" s="793" t="s">
        <v>2053</v>
      </c>
      <c r="I19" s="774" t="s">
        <v>648</v>
      </c>
      <c r="J19" s="3018">
        <f ca="1">ROUND(IF(AND(项目基本情况!B11="自然人",项目基本情况!B10="北京市"),J8*M19/(1+'数据-取费表'!C42),J20+J21+J22),0)</f>
        <v>0</v>
      </c>
      <c r="K19" s="1893" t="s">
        <v>649</v>
      </c>
      <c r="L19" s="1891" t="s">
        <v>650</v>
      </c>
      <c r="M19" s="3017"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1838</v>
      </c>
      <c r="B20" s="774" t="s">
        <v>651</v>
      </c>
      <c r="C20" s="53">
        <f ca="1">ROUND(C16*F20,0)</f>
        <v>0</v>
      </c>
      <c r="D20" s="774" t="s">
        <v>640</v>
      </c>
      <c r="E20" s="774" t="s">
        <v>641</v>
      </c>
      <c r="F20" s="799">
        <f>'数据-取费表'!B36</f>
        <v>1.4999999999999999E-2</v>
      </c>
      <c r="G20" s="1527"/>
      <c r="H20" s="793" t="s">
        <v>1817</v>
      </c>
      <c r="I20" s="774" t="s">
        <v>652</v>
      </c>
      <c r="J20" s="53">
        <f ca="1">ROUND(J8*M20/(1+'数据-取费表'!C42),1)</f>
        <v>0</v>
      </c>
      <c r="K20" s="1891" t="s">
        <v>653</v>
      </c>
      <c r="L20" s="774" t="s">
        <v>641</v>
      </c>
      <c r="M20" s="799">
        <f>'数据-取费表'!B41</f>
        <v>5.5000000000000007E-2</v>
      </c>
      <c r="N20" s="1946"/>
      <c r="O20" s="1946"/>
      <c r="P20" s="1946"/>
      <c r="Q20" s="1946"/>
      <c r="R20" s="1946"/>
      <c r="S20" s="1946"/>
      <c r="T20" s="1946"/>
      <c r="U20" s="1946"/>
      <c r="V20" s="1946"/>
      <c r="W20" s="1946"/>
      <c r="X20" s="1946"/>
      <c r="Y20" s="1946"/>
    </row>
    <row r="21" spans="1:25" ht="18" customHeight="1">
      <c r="A21" s="793" t="s">
        <v>1862</v>
      </c>
      <c r="B21" s="774" t="s">
        <v>654</v>
      </c>
      <c r="C21" s="53">
        <f ca="1">SUM(C16:C20)</f>
        <v>0</v>
      </c>
      <c r="D21" s="259" t="s">
        <v>655</v>
      </c>
      <c r="E21" s="1896"/>
      <c r="F21" s="56"/>
      <c r="G21" s="1526"/>
      <c r="H21" s="1745" t="s">
        <v>1835</v>
      </c>
      <c r="I21" s="774" t="s">
        <v>656</v>
      </c>
      <c r="J21" s="53">
        <f ca="1">IF(K21="按租金收入计税",ROUND(J8*M21/(1+'数据-取费表'!C42),1),ROUND(C31*F35*0.7,1))</f>
        <v>0</v>
      </c>
      <c r="K21" s="800" t="s">
        <v>657</v>
      </c>
      <c r="L21" s="774" t="s">
        <v>641</v>
      </c>
      <c r="M21" s="799">
        <f>IF(K21="按租金收入计税",'数据-取费表'!B51,'数据-取费表'!B50)</f>
        <v>1.2E-2</v>
      </c>
    </row>
    <row r="22" spans="1:25" s="1947" customFormat="1" ht="18" customHeight="1">
      <c r="A22" s="793" t="s">
        <v>1863</v>
      </c>
      <c r="B22" s="774" t="s">
        <v>658</v>
      </c>
      <c r="C22" s="53">
        <f ca="1">ROUND(C21*F22,0)</f>
        <v>0</v>
      </c>
      <c r="D22" s="801" t="s">
        <v>659</v>
      </c>
      <c r="E22" s="774" t="s">
        <v>641</v>
      </c>
      <c r="F22" s="799">
        <f>'数据-取费表'!B37</f>
        <v>0.01</v>
      </c>
      <c r="G22" s="1527"/>
      <c r="H22" s="1747" t="s">
        <v>1836</v>
      </c>
      <c r="I22" s="1737" t="s">
        <v>660</v>
      </c>
      <c r="J22" s="54">
        <f ca="1">ROUND(M22*M23/10000,0)</f>
        <v>0</v>
      </c>
      <c r="K22" s="803" t="s">
        <v>661</v>
      </c>
      <c r="L22" s="774" t="s">
        <v>662</v>
      </c>
      <c r="M22" s="632">
        <f>'数据-取费表'!B52</f>
        <v>1.5</v>
      </c>
      <c r="N22" s="1946"/>
      <c r="O22" s="1946"/>
      <c r="P22" s="1946"/>
      <c r="Q22" s="1946"/>
      <c r="R22" s="1946"/>
      <c r="S22" s="1946"/>
      <c r="T22" s="1946"/>
      <c r="U22" s="1946"/>
      <c r="V22" s="1946"/>
      <c r="W22" s="1946"/>
      <c r="X22" s="1946"/>
      <c r="Y22" s="1946"/>
    </row>
    <row r="23" spans="1:25" s="1947" customFormat="1" ht="18" customHeight="1">
      <c r="A23" s="793" t="s">
        <v>1864</v>
      </c>
      <c r="B23" s="774" t="s">
        <v>663</v>
      </c>
      <c r="C23" s="53" t="s">
        <v>1</v>
      </c>
      <c r="D23" s="801" t="s">
        <v>664</v>
      </c>
      <c r="E23" s="774" t="s">
        <v>665</v>
      </c>
      <c r="F23" s="799">
        <f>'数据-取费表'!B38</f>
        <v>0.02</v>
      </c>
      <c r="G23" s="1527"/>
      <c r="H23" s="1748"/>
      <c r="I23" s="1739"/>
      <c r="J23" s="69"/>
      <c r="K23" s="805"/>
      <c r="L23" s="774" t="s">
        <v>666</v>
      </c>
      <c r="M23" s="775">
        <f ca="1">INDIRECT("'数据-取费表'!r"&amp;$G$1)</f>
        <v>0</v>
      </c>
      <c r="N23" s="1946"/>
      <c r="O23" s="1946"/>
      <c r="P23" s="1946"/>
      <c r="Q23" s="1946"/>
      <c r="R23" s="1946"/>
      <c r="S23" s="1946"/>
      <c r="T23" s="1946"/>
      <c r="U23" s="1946"/>
      <c r="V23" s="1946"/>
      <c r="W23" s="1946"/>
      <c r="X23" s="1946"/>
      <c r="Y23" s="1946"/>
    </row>
    <row r="24" spans="1:25" ht="18" customHeight="1">
      <c r="A24" s="793" t="s">
        <v>1865</v>
      </c>
      <c r="B24" s="774" t="s">
        <v>667</v>
      </c>
      <c r="C24" s="53"/>
      <c r="D24" s="2424" t="str">
        <f>IF(F25&lt;=1,"单利计息。","复利计息。")&amp;"建造成本、管理费用、销售费用产生的利息。"</f>
        <v>复利计息。建造成本、管理费用、销售费用产生的利息。</v>
      </c>
      <c r="E24" s="1896"/>
      <c r="F24" s="56"/>
      <c r="G24" s="1526"/>
      <c r="H24" s="1746" t="s">
        <v>2054</v>
      </c>
      <c r="I24" s="774" t="s">
        <v>668</v>
      </c>
      <c r="J24" s="53">
        <f ca="1">ROUND(J16*M24,0)</f>
        <v>0</v>
      </c>
      <c r="K24" s="1891" t="s">
        <v>669</v>
      </c>
      <c r="L24" s="774" t="s">
        <v>641</v>
      </c>
      <c r="M24" s="806">
        <f ca="1">INDIRECT("'数据-取费表'!Ak"&amp;$G$1)</f>
        <v>0</v>
      </c>
    </row>
    <row r="25" spans="1:25" s="1947" customFormat="1" ht="18" customHeight="1">
      <c r="A25" s="793" t="s">
        <v>1861</v>
      </c>
      <c r="B25" s="774" t="s">
        <v>2416</v>
      </c>
      <c r="C25" s="53">
        <f ca="1">ROUND(IF('数据-取费表'!B22&lt;=1,(C21+C22)*F26*F25/2,(C21+C22)*(POWER((1+F26),F25/2)-1)),0)</f>
        <v>0</v>
      </c>
      <c r="D25" s="2423" t="str">
        <f>IF(F25&lt;=1,"(建造成本+管理费用)×利率×(建设周期÷2)","(建造成本+管理费用)×((1+利率)^(建设周期÷2)-1)")</f>
        <v>(建造成本+管理费用)×((1+利率)^(建设周期÷2)-1)</v>
      </c>
      <c r="E25" s="774" t="s">
        <v>670</v>
      </c>
      <c r="F25" s="632">
        <f>'数据-取费表'!B20</f>
        <v>2</v>
      </c>
      <c r="G25" s="1527"/>
      <c r="H25" s="793" t="s">
        <v>1864</v>
      </c>
      <c r="I25" s="774" t="s">
        <v>671</v>
      </c>
      <c r="J25" s="53">
        <f ca="1">ROUND(J15*M25,0)</f>
        <v>0</v>
      </c>
      <c r="K25" s="1891" t="s">
        <v>672</v>
      </c>
      <c r="L25" s="774" t="s">
        <v>641</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1835</v>
      </c>
      <c r="B26" s="774" t="s">
        <v>673</v>
      </c>
      <c r="C26" s="53">
        <f ca="1">ROUND(IF('数据-取费表'!B22&lt;=1,F23*F26*F25/2,F23*(POWER((1+F26),F25/2)-1)),4)</f>
        <v>1E-3</v>
      </c>
      <c r="D26" s="2423" t="str">
        <f>IF(F25&lt;=1,"销售费用×利率×(建设周期÷2)","销售费用×((1+利率)^(建设周期÷2)-1)")</f>
        <v>销售费用×((1+利率)^(建设周期÷2)-1)</v>
      </c>
      <c r="E26" s="774" t="s">
        <v>674</v>
      </c>
      <c r="F26" s="808">
        <f ca="1">'数据-取费表'!B40</f>
        <v>4.7500000000000001E-2</v>
      </c>
      <c r="G26" s="1527"/>
      <c r="H26" s="793" t="s">
        <v>1865</v>
      </c>
      <c r="I26" s="774" t="s">
        <v>658</v>
      </c>
      <c r="J26" s="53">
        <f ca="1">ROUND(J7*M26,0)</f>
        <v>0</v>
      </c>
      <c r="K26" s="1891" t="s">
        <v>675</v>
      </c>
      <c r="L26" s="774" t="s">
        <v>641</v>
      </c>
      <c r="M26" s="784">
        <f ca="1">INDIRECT("'数据-取费表'!Am"&amp;$G$1)</f>
        <v>0</v>
      </c>
      <c r="N26" s="1946"/>
      <c r="O26" s="1946"/>
      <c r="P26" s="1946"/>
      <c r="Q26" s="1946"/>
      <c r="R26" s="1946"/>
      <c r="S26" s="1946"/>
      <c r="T26" s="1946"/>
      <c r="U26" s="1946"/>
      <c r="V26" s="1946"/>
      <c r="W26" s="1946"/>
      <c r="X26" s="1946"/>
      <c r="Y26" s="1946"/>
    </row>
    <row r="27" spans="1:25" ht="18" customHeight="1">
      <c r="A27" s="793" t="s">
        <v>1867</v>
      </c>
      <c r="B27" s="774" t="s">
        <v>676</v>
      </c>
      <c r="C27" s="53"/>
      <c r="D27" s="259" t="s">
        <v>677</v>
      </c>
      <c r="E27" s="1896"/>
      <c r="F27" s="56"/>
      <c r="G27" s="1526"/>
      <c r="H27" s="787" t="s">
        <v>1814</v>
      </c>
      <c r="I27" s="2723" t="s">
        <v>2796</v>
      </c>
      <c r="J27" s="789">
        <f ca="1">J7-J18</f>
        <v>0</v>
      </c>
      <c r="K27" s="1893" t="s">
        <v>692</v>
      </c>
      <c r="L27" s="1895"/>
      <c r="M27" s="809"/>
    </row>
    <row r="28" spans="1:25" ht="18" customHeight="1">
      <c r="A28" s="793" t="s">
        <v>1861</v>
      </c>
      <c r="B28" s="774" t="s">
        <v>2417</v>
      </c>
      <c r="C28" s="53">
        <f ca="1">ROUND((C21+C22)*F28,0)</f>
        <v>0</v>
      </c>
      <c r="D28" s="801" t="s">
        <v>693</v>
      </c>
      <c r="E28" s="785" t="s">
        <v>694</v>
      </c>
      <c r="F28" s="784">
        <f ca="1">INDIRECT("'数据-取费表'!q"&amp;$G$1)</f>
        <v>0</v>
      </c>
      <c r="G28" s="1526"/>
      <c r="H28" s="771" t="s">
        <v>1823</v>
      </c>
      <c r="I28" s="772" t="s">
        <v>695</v>
      </c>
      <c r="J28" s="773">
        <f ca="1">IF(J7&lt;&gt;0,ROUND(J27*(1-((1+M30)/(1+M28))^M29)/(M28-M30),0),0)</f>
        <v>0</v>
      </c>
      <c r="K28" s="803" t="s">
        <v>696</v>
      </c>
      <c r="L28" s="774" t="s">
        <v>697</v>
      </c>
      <c r="M28" s="784">
        <f ca="1">INDIRECT("'数据-取费表'!I"&amp;$G$1)</f>
        <v>0</v>
      </c>
    </row>
    <row r="29" spans="1:25" ht="18" customHeight="1">
      <c r="A29" s="793" t="s">
        <v>1835</v>
      </c>
      <c r="B29" s="774" t="s">
        <v>678</v>
      </c>
      <c r="C29" s="53">
        <f ca="1">ROUND(F23*F28,4)</f>
        <v>0</v>
      </c>
      <c r="D29" s="801" t="s">
        <v>698</v>
      </c>
      <c r="E29" s="796"/>
      <c r="F29" s="797"/>
      <c r="G29" s="1526"/>
      <c r="H29" s="776"/>
      <c r="I29" s="777"/>
      <c r="J29" s="778"/>
      <c r="K29" s="810" t="s">
        <v>699</v>
      </c>
      <c r="L29" s="774" t="s">
        <v>700</v>
      </c>
      <c r="M29" s="811">
        <f ca="1">INDIRECT("'数据-取费表'!ag"&amp;$G$1)</f>
        <v>0</v>
      </c>
    </row>
    <row r="30" spans="1:25" s="1947" customFormat="1" ht="18" customHeight="1">
      <c r="A30" s="793" t="s">
        <v>1868</v>
      </c>
      <c r="B30" s="774" t="s">
        <v>679</v>
      </c>
      <c r="C30" s="53">
        <f>ROUND(F30/(1+'数据-取费表'!C42),4)</f>
        <v>5.2400000000000002E-2</v>
      </c>
      <c r="D30" s="801" t="s">
        <v>701</v>
      </c>
      <c r="E30" s="774" t="s">
        <v>641</v>
      </c>
      <c r="F30" s="799">
        <f>'数据-取费表'!B41</f>
        <v>5.5000000000000007E-2</v>
      </c>
      <c r="G30" s="1527"/>
      <c r="H30" s="780"/>
      <c r="I30" s="781"/>
      <c r="J30" s="782"/>
      <c r="K30" s="805"/>
      <c r="L30" s="774" t="s">
        <v>702</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1869</v>
      </c>
      <c r="B31" s="2394" t="s">
        <v>2797</v>
      </c>
      <c r="C31" s="2397">
        <f ca="1">ROUND((C21+C22+C25+C28)/(1-F23-C26-C29-C30),0)</f>
        <v>0</v>
      </c>
      <c r="D31" s="2398"/>
      <c r="E31" s="2399"/>
      <c r="F31" s="2400"/>
      <c r="G31" s="1527"/>
      <c r="H31" s="812" t="s">
        <v>1858</v>
      </c>
      <c r="I31" s="2724" t="s">
        <v>2798</v>
      </c>
      <c r="J31" s="814">
        <f ca="1">ROUND(J28/(1+F45)^F46,0)</f>
        <v>0</v>
      </c>
      <c r="K31" s="815" t="s">
        <v>680</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681</v>
      </c>
      <c r="C32" s="782">
        <f ca="1">ROUND(C33+C38+C39+C40,0)</f>
        <v>0</v>
      </c>
      <c r="D32" s="1736" t="s">
        <v>644</v>
      </c>
      <c r="E32" s="2340"/>
      <c r="F32" s="2344"/>
      <c r="G32" s="1945"/>
      <c r="H32" s="1948"/>
      <c r="I32" s="1949"/>
      <c r="J32" s="1950"/>
      <c r="K32" s="1951"/>
      <c r="L32" s="1952"/>
      <c r="M32" s="1953"/>
    </row>
    <row r="33" spans="1:18" ht="18" customHeight="1">
      <c r="A33" s="793" t="s">
        <v>1862</v>
      </c>
      <c r="B33" s="774" t="s">
        <v>648</v>
      </c>
      <c r="C33" s="3018">
        <f ca="1">ROUND(IF(AND(项目基本情况!B11="自然人",项目基本情况!B10="北京市"),C8*F33/(1+'数据-取费表'!C42),C34+C35+C36),0)</f>
        <v>0</v>
      </c>
      <c r="D33" s="1893" t="s">
        <v>649</v>
      </c>
      <c r="E33" s="1891" t="s">
        <v>682</v>
      </c>
      <c r="F33" s="3017" t="str">
        <f>IF(项目基本情况!B11="企业","——",IF('数据-取费表'!B10="住宅",IF(F8*F9*F10/12/(1+'数据-取费表'!F30)&gt;100000,4%,2.5%),IF(F8*F9*F10/12/(1+'数据-取费表'!F30)&gt;100000,12%,7%)))</f>
        <v>——</v>
      </c>
      <c r="G33" s="1945"/>
      <c r="H33" s="3254" t="s">
        <v>2984</v>
      </c>
      <c r="I33" s="1949"/>
      <c r="J33" s="1950"/>
      <c r="K33" s="1951"/>
      <c r="L33" s="1952"/>
      <c r="M33" s="1953"/>
    </row>
    <row r="34" spans="1:18" ht="18" customHeight="1">
      <c r="A34" s="793" t="s">
        <v>1861</v>
      </c>
      <c r="B34" s="774" t="s">
        <v>652</v>
      </c>
      <c r="C34" s="53">
        <f ca="1">ROUND(C8*F34/(1+'数据-取费表'!C42),1)</f>
        <v>0</v>
      </c>
      <c r="D34" s="1891" t="s">
        <v>653</v>
      </c>
      <c r="E34" s="774" t="s">
        <v>641</v>
      </c>
      <c r="F34" s="799">
        <f>'数据-取费表'!B41</f>
        <v>5.5000000000000007E-2</v>
      </c>
      <c r="G34" s="1945"/>
      <c r="H34" s="1954"/>
      <c r="I34" s="1955"/>
      <c r="J34" s="1956"/>
      <c r="K34" s="1957"/>
      <c r="L34" s="1958"/>
      <c r="M34" s="1959"/>
    </row>
    <row r="35" spans="1:18" ht="18" customHeight="1">
      <c r="A35" s="793" t="s">
        <v>1835</v>
      </c>
      <c r="B35" s="774" t="s">
        <v>656</v>
      </c>
      <c r="C35" s="53">
        <f ca="1">IF(D35="按租金收入计税",ROUND(C8*F35/(1+'数据-取费表'!C42),1),IF(D35="按房产原值计税",ROUND(C31*F35*0.7,1),INDIRECT("'数据-取费表'!Aj"&amp;$G$1)))</f>
        <v>0</v>
      </c>
      <c r="D35" s="800" t="s">
        <v>1668</v>
      </c>
      <c r="E35" s="774" t="s">
        <v>641</v>
      </c>
      <c r="F35" s="799">
        <f>IF(D35="按租金收入计税",'数据-取费表'!B51,'数据-取费表'!B50)</f>
        <v>1.2E-2</v>
      </c>
      <c r="G35" s="1945"/>
      <c r="H35" s="1960"/>
      <c r="I35" s="1960"/>
      <c r="J35" s="1960"/>
      <c r="K35" s="1961"/>
      <c r="L35" s="1960"/>
      <c r="M35" s="1960"/>
    </row>
    <row r="36" spans="1:18" ht="18" customHeight="1">
      <c r="A36" s="802" t="s">
        <v>1866</v>
      </c>
      <c r="B36" s="339" t="s">
        <v>660</v>
      </c>
      <c r="C36" s="54">
        <f ca="1">ROUND(F36*F37/10000,1)</f>
        <v>0</v>
      </c>
      <c r="D36" s="803" t="s">
        <v>661</v>
      </c>
      <c r="E36" s="774" t="s">
        <v>662</v>
      </c>
      <c r="F36" s="632">
        <f>'数据-取费表'!B52</f>
        <v>1.5</v>
      </c>
      <c r="G36" s="1945"/>
      <c r="H36" s="1948"/>
      <c r="I36" s="3648"/>
      <c r="J36" s="1962"/>
      <c r="K36" s="1963"/>
      <c r="L36" s="1962"/>
      <c r="M36" s="1962"/>
    </row>
    <row r="37" spans="1:18" ht="18" customHeight="1">
      <c r="A37" s="804"/>
      <c r="B37" s="783"/>
      <c r="C37" s="69"/>
      <c r="D37" s="805"/>
      <c r="E37" s="774" t="s">
        <v>666</v>
      </c>
      <c r="F37" s="775">
        <f ca="1">INDIRECT("'数据-取费表'!r"&amp;$G$1)</f>
        <v>0</v>
      </c>
      <c r="G37" s="1945"/>
      <c r="H37" s="1948"/>
      <c r="I37" s="3648"/>
      <c r="J37" s="1960"/>
      <c r="K37" s="1961"/>
      <c r="L37" s="1960"/>
      <c r="M37" s="1960"/>
    </row>
    <row r="38" spans="1:18" ht="18" customHeight="1">
      <c r="A38" s="793" t="s">
        <v>1863</v>
      </c>
      <c r="B38" s="774" t="s">
        <v>668</v>
      </c>
      <c r="C38" s="53">
        <f ca="1">ROUND(C31*F38,1)</f>
        <v>0</v>
      </c>
      <c r="D38" s="1891" t="s">
        <v>683</v>
      </c>
      <c r="E38" s="774" t="s">
        <v>641</v>
      </c>
      <c r="F38" s="806">
        <f ca="1">INDIRECT("'数据-取费表'!Ak"&amp;$G$1)</f>
        <v>0</v>
      </c>
      <c r="G38" s="1945"/>
      <c r="H38" s="1960"/>
      <c r="I38" s="3021"/>
      <c r="J38" s="1900"/>
      <c r="K38" s="1964"/>
      <c r="L38" s="1960"/>
      <c r="M38" s="1960"/>
    </row>
    <row r="39" spans="1:18" ht="18" customHeight="1">
      <c r="A39" s="793" t="s">
        <v>1864</v>
      </c>
      <c r="B39" s="774" t="s">
        <v>671</v>
      </c>
      <c r="C39" s="53">
        <f ca="1">ROUND(C15*F39,1)</f>
        <v>0</v>
      </c>
      <c r="D39" s="1891" t="s">
        <v>672</v>
      </c>
      <c r="E39" s="774" t="s">
        <v>641</v>
      </c>
      <c r="F39" s="807">
        <f ca="1">INDIRECT("'数据-取费表'!Al"&amp;$G$1)</f>
        <v>0</v>
      </c>
      <c r="G39" s="1945"/>
      <c r="H39" s="1960"/>
      <c r="I39" s="3021"/>
      <c r="J39" s="1900"/>
      <c r="K39" s="1964"/>
      <c r="L39" s="1960"/>
      <c r="M39" s="1960"/>
    </row>
    <row r="40" spans="1:18" ht="18" customHeight="1" thickBot="1">
      <c r="A40" s="2413" t="s">
        <v>1865</v>
      </c>
      <c r="B40" s="2399" t="s">
        <v>658</v>
      </c>
      <c r="C40" s="2397">
        <f ca="1">ROUND(C7*F40,1)</f>
        <v>0</v>
      </c>
      <c r="D40" s="2398" t="s">
        <v>675</v>
      </c>
      <c r="E40" s="2399" t="s">
        <v>641</v>
      </c>
      <c r="F40" s="2395">
        <f ca="1">INDIRECT("'数据-取费表'!Am"&amp;$G$1)</f>
        <v>0</v>
      </c>
      <c r="G40" s="1945"/>
      <c r="H40" s="1960"/>
      <c r="I40" s="3021"/>
      <c r="J40" s="1900"/>
      <c r="K40" s="1965"/>
      <c r="L40" s="1960"/>
      <c r="M40" s="1960"/>
    </row>
    <row r="41" spans="1:18" ht="18" customHeight="1" thickTop="1">
      <c r="A41" s="1744">
        <v>4</v>
      </c>
      <c r="B41" s="1742" t="s">
        <v>684</v>
      </c>
      <c r="C41" s="1305"/>
      <c r="D41" s="1306"/>
      <c r="E41" s="1306"/>
      <c r="F41" s="1307"/>
      <c r="G41" s="1945"/>
      <c r="H41" s="1945"/>
      <c r="I41" s="1945"/>
      <c r="J41" s="1945"/>
      <c r="K41" s="1965"/>
      <c r="L41" s="1945"/>
      <c r="M41" s="1945"/>
    </row>
    <row r="42" spans="1:18" ht="18" customHeight="1">
      <c r="A42" s="793" t="s">
        <v>1862</v>
      </c>
      <c r="B42" s="824" t="s">
        <v>685</v>
      </c>
      <c r="C42" s="818">
        <f ca="1">C7-C32</f>
        <v>0</v>
      </c>
      <c r="D42" s="1893" t="s">
        <v>686</v>
      </c>
      <c r="E42" s="1895"/>
      <c r="F42" s="809"/>
      <c r="G42" s="1945"/>
      <c r="H42" s="1945"/>
      <c r="I42" s="1945"/>
      <c r="J42" s="1945"/>
      <c r="K42" s="1965"/>
      <c r="L42" s="1945"/>
      <c r="M42" s="1945"/>
    </row>
    <row r="43" spans="1:18" ht="18" customHeight="1">
      <c r="A43" s="793" t="s">
        <v>1863</v>
      </c>
      <c r="B43" s="824" t="s">
        <v>703</v>
      </c>
      <c r="C43" s="825">
        <f ca="1">ROUND(C15*F43,0)</f>
        <v>0</v>
      </c>
      <c r="D43" s="1308" t="s">
        <v>704</v>
      </c>
      <c r="E43" s="2794" t="s">
        <v>2917</v>
      </c>
      <c r="F43" s="2795">
        <f ca="1">INDIRECT("'数据-取费表'!j"&amp;$G$1)</f>
        <v>0</v>
      </c>
      <c r="G43" s="1945"/>
      <c r="H43" s="1945"/>
      <c r="I43" s="1945"/>
      <c r="J43" s="1945"/>
      <c r="K43" s="1965"/>
      <c r="L43" s="1945"/>
      <c r="M43" s="1945"/>
    </row>
    <row r="44" spans="1:18" ht="18" customHeight="1">
      <c r="A44" s="793" t="s">
        <v>1864</v>
      </c>
      <c r="B44" s="824" t="s">
        <v>705</v>
      </c>
      <c r="C44" s="1309">
        <f ca="1">C42-C43</f>
        <v>0</v>
      </c>
      <c r="D44" s="457" t="s">
        <v>706</v>
      </c>
      <c r="E44" s="458"/>
      <c r="F44" s="459"/>
      <c r="G44" s="1945"/>
      <c r="H44" s="1945"/>
      <c r="I44" s="1945"/>
      <c r="J44" s="1945"/>
      <c r="K44" s="1965"/>
      <c r="L44" s="1945"/>
      <c r="M44" s="1945"/>
    </row>
    <row r="45" spans="1:18" ht="18" customHeight="1">
      <c r="A45" s="793" t="s">
        <v>1865</v>
      </c>
      <c r="B45" s="1308" t="s">
        <v>707</v>
      </c>
      <c r="C45" s="2750">
        <f ca="1">ROUND(-PV(F45,F46,C44,0),0)</f>
        <v>0</v>
      </c>
      <c r="D45" s="1310" t="s">
        <v>708</v>
      </c>
      <c r="E45" s="796" t="s">
        <v>709</v>
      </c>
      <c r="F45" s="819">
        <f ca="1">INDIRECT("'数据-取费表'!h"&amp;$G$1)</f>
        <v>0</v>
      </c>
      <c r="G45" s="1945"/>
      <c r="H45" s="1945"/>
      <c r="I45" s="1945"/>
      <c r="J45" s="1945"/>
      <c r="K45" s="1965"/>
      <c r="L45" s="1945"/>
      <c r="M45" s="1945"/>
    </row>
    <row r="46" spans="1:18" ht="18" customHeight="1" thickBot="1">
      <c r="A46" s="820"/>
      <c r="B46" s="1311"/>
      <c r="C46" s="1312"/>
      <c r="D46" s="1313"/>
      <c r="E46" s="2796" t="s">
        <v>2920</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2323</v>
      </c>
      <c r="J47" s="2234"/>
      <c r="K47" s="2235"/>
      <c r="L47" s="2810" t="str">
        <f ca="1">IF(M48="住宅",0,IF(L49&gt;J52,L61,J61))</f>
        <v>0</v>
      </c>
      <c r="O47" s="2249" t="s">
        <v>2390</v>
      </c>
      <c r="P47" s="1526"/>
      <c r="Q47" s="1534"/>
      <c r="R47" s="1526"/>
    </row>
    <row r="48" spans="1:18" s="1942" customFormat="1" ht="18" customHeight="1" thickBot="1">
      <c r="A48" s="1966"/>
      <c r="C48" s="1969"/>
      <c r="D48" s="1970"/>
      <c r="E48" s="1970"/>
      <c r="F48" s="1971"/>
      <c r="G48" s="1972"/>
      <c r="I48" s="2801" t="s">
        <v>2324</v>
      </c>
      <c r="J48" s="2236"/>
      <c r="K48" s="2807" t="s">
        <v>2329</v>
      </c>
      <c r="L48" s="2811">
        <f ca="1">INDIRECT("'数据-取费表'!d"&amp;$G$1)</f>
        <v>0</v>
      </c>
      <c r="M48" s="2793" t="str">
        <f>IF(ISNUMBER(FIND("住宅",C1)),"住宅","非住宅")</f>
        <v>非住宅</v>
      </c>
      <c r="O48" s="2250" t="s">
        <v>2355</v>
      </c>
      <c r="P48" s="2251" t="s">
        <v>2356</v>
      </c>
      <c r="Q48" s="2252" t="s">
        <v>2357</v>
      </c>
      <c r="R48" s="2251" t="s">
        <v>2358</v>
      </c>
    </row>
    <row r="49" spans="1:18" s="1942" customFormat="1" ht="18" customHeight="1" thickBot="1">
      <c r="A49" s="1966"/>
      <c r="D49" s="1973"/>
      <c r="E49" s="1974"/>
      <c r="F49" s="1971"/>
      <c r="G49" s="1972"/>
      <c r="H49" s="1975"/>
      <c r="I49" s="2798" t="s">
        <v>2325</v>
      </c>
      <c r="J49" s="2237"/>
      <c r="K49" s="2808" t="s">
        <v>2331</v>
      </c>
      <c r="L49" s="1822">
        <f ca="1">INDIRECT("'数据-取费表'!f"&amp;$G$1)</f>
        <v>0</v>
      </c>
      <c r="O49" s="2253" t="s">
        <v>2359</v>
      </c>
      <c r="P49" s="2254" t="s">
        <v>2385</v>
      </c>
      <c r="Q49" s="2255">
        <f ca="1">C41+J31</f>
        <v>0</v>
      </c>
      <c r="R49" s="2254" t="s">
        <v>2360</v>
      </c>
    </row>
    <row r="50" spans="1:18" s="1942" customFormat="1" ht="18" customHeight="1" thickBot="1">
      <c r="A50" s="1966"/>
      <c r="D50" s="1976"/>
      <c r="E50" s="1976"/>
      <c r="F50" s="1970"/>
      <c r="G50" s="1977"/>
      <c r="H50" s="1975"/>
      <c r="I50" s="2798" t="s">
        <v>2326</v>
      </c>
      <c r="J50" s="2238"/>
      <c r="K50" s="2809" t="s">
        <v>2332</v>
      </c>
      <c r="L50" s="2239"/>
      <c r="O50" s="2253" t="s">
        <v>2361</v>
      </c>
      <c r="P50" s="2254" t="s">
        <v>2386</v>
      </c>
      <c r="Q50" s="2255" t="str">
        <f ca="1">J61</f>
        <v>0</v>
      </c>
      <c r="R50" s="2254" t="s">
        <v>2362</v>
      </c>
    </row>
    <row r="51" spans="1:18" s="1942" customFormat="1" ht="18" customHeight="1" thickBot="1">
      <c r="A51" s="1978"/>
      <c r="D51" s="1976"/>
      <c r="E51" s="1976"/>
      <c r="F51" s="1967"/>
      <c r="H51" s="1975"/>
      <c r="I51" s="2798" t="s">
        <v>2327</v>
      </c>
      <c r="J51" s="2805">
        <f>SUMPRODUCT((I64:I66=J48)*(J63:L63=J49)*(J64:L66))</f>
        <v>0</v>
      </c>
      <c r="K51" s="2809" t="s">
        <v>2333</v>
      </c>
      <c r="L51" s="2239"/>
      <c r="O51" s="2256" t="s">
        <v>2363</v>
      </c>
      <c r="P51" s="2254" t="s">
        <v>2387</v>
      </c>
      <c r="Q51" s="2255">
        <f ca="1">C31</f>
        <v>0</v>
      </c>
      <c r="R51" s="2254" t="s">
        <v>2360</v>
      </c>
    </row>
    <row r="52" spans="1:18" s="1942" customFormat="1" ht="18" customHeight="1" thickBot="1">
      <c r="A52" s="1978"/>
      <c r="F52" s="1967"/>
      <c r="I52" s="2802" t="s">
        <v>2328</v>
      </c>
      <c r="J52" s="2806">
        <f>IF(J50="",J51,J50+J51-YEAR('数据-取费表'!B3))</f>
        <v>0</v>
      </c>
      <c r="K52" s="2798" t="s">
        <v>2334</v>
      </c>
      <c r="L52" s="2812">
        <f ca="1">C45</f>
        <v>0</v>
      </c>
      <c r="O52" s="2256" t="s">
        <v>2364</v>
      </c>
      <c r="P52" s="2254" t="s">
        <v>2365</v>
      </c>
      <c r="Q52" s="2257" t="e">
        <f ca="1">J59</f>
        <v>#VALUE!</v>
      </c>
      <c r="R52" s="2258"/>
    </row>
    <row r="53" spans="1:18" s="1942" customFormat="1" ht="18" customHeight="1" thickBot="1">
      <c r="A53" s="1978"/>
      <c r="F53" s="1967"/>
      <c r="I53" s="2803" t="s">
        <v>2401</v>
      </c>
      <c r="J53" s="2240"/>
      <c r="K53" s="2803" t="s">
        <v>2400</v>
      </c>
      <c r="L53" s="2240"/>
      <c r="O53" s="2256" t="s">
        <v>2366</v>
      </c>
      <c r="P53" s="2254" t="s">
        <v>2367</v>
      </c>
      <c r="Q53" s="2257">
        <f>J53</f>
        <v>0</v>
      </c>
      <c r="R53" s="2258"/>
    </row>
    <row r="54" spans="1:18" s="1942" customFormat="1" ht="29.25" thickBot="1">
      <c r="A54" s="1978"/>
      <c r="I54" s="2804" t="s">
        <v>2932</v>
      </c>
      <c r="J54" s="2857">
        <f ca="1">IF(M48="住宅",MAX(J52,L49-'数据-取费表'!B20),MIN(J52,L49-'数据-取费表'!B20))</f>
        <v>-2</v>
      </c>
      <c r="K54" s="3653"/>
      <c r="L54" s="3654"/>
      <c r="O54" s="2256" t="s">
        <v>2368</v>
      </c>
      <c r="P54" s="2254" t="s">
        <v>2369</v>
      </c>
      <c r="Q54" s="2255">
        <f ca="1">J54</f>
        <v>-2</v>
      </c>
      <c r="R54" s="2254" t="s">
        <v>2370</v>
      </c>
    </row>
    <row r="55" spans="1:18" s="1942" customFormat="1" ht="18" customHeight="1" thickBot="1">
      <c r="A55" s="1978"/>
      <c r="I55" s="28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3"/>
      <c r="K55" s="2814"/>
      <c r="O55" s="2253" t="s">
        <v>2371</v>
      </c>
      <c r="P55" s="2254" t="s">
        <v>2388</v>
      </c>
      <c r="Q55" s="2255">
        <f ca="1">Q49+Q50</f>
        <v>0</v>
      </c>
      <c r="R55" s="2258" t="s">
        <v>2372</v>
      </c>
    </row>
    <row r="56" spans="1:18" s="1942" customFormat="1" ht="16.5" thickBot="1">
      <c r="A56" s="1978"/>
      <c r="B56" s="1979"/>
      <c r="C56" s="1979"/>
      <c r="I56" s="2815" t="s">
        <v>2335</v>
      </c>
      <c r="J56" s="2787" t="e">
        <f ca="1">ROUND(IF(J48="钢混",J58/J51,1-(1-2%)*(J51-J58)/J51),3)</f>
        <v>#VALUE!</v>
      </c>
      <c r="K56" s="2816" t="s">
        <v>2336</v>
      </c>
      <c r="L56" s="2241"/>
      <c r="O56" s="2259" t="s">
        <v>2391</v>
      </c>
      <c r="P56" s="1526"/>
      <c r="Q56" s="1534"/>
      <c r="R56" s="1526"/>
    </row>
    <row r="57" spans="1:18" s="1942" customFormat="1" ht="43.5" thickBot="1">
      <c r="A57" s="1978"/>
      <c r="B57" s="1979"/>
      <c r="C57" s="1979"/>
      <c r="I57" s="2817" t="s">
        <v>2337</v>
      </c>
      <c r="J57" s="2827" t="s">
        <v>1666</v>
      </c>
      <c r="K57" s="2798" t="s">
        <v>2342</v>
      </c>
      <c r="L57" s="1822">
        <f ca="1">IF(L49&lt;J52,"——",L49-J52)</f>
        <v>0</v>
      </c>
      <c r="O57" s="2250" t="s">
        <v>2355</v>
      </c>
      <c r="P57" s="2251" t="s">
        <v>2356</v>
      </c>
      <c r="Q57" s="2252" t="s">
        <v>2357</v>
      </c>
      <c r="R57" s="2251" t="s">
        <v>2358</v>
      </c>
    </row>
    <row r="58" spans="1:18" s="1942" customFormat="1" ht="29.25" thickBot="1">
      <c r="A58" s="1978"/>
      <c r="B58" s="1979"/>
      <c r="C58" s="1979"/>
      <c r="I58" s="2818" t="s">
        <v>2338</v>
      </c>
      <c r="J58" s="2819" t="str">
        <f ca="1">IF(OR(M48="住宅",J52&lt;L49,J57="是"),"——",J52-L49)</f>
        <v>——</v>
      </c>
      <c r="K58" s="2798" t="s">
        <v>2343</v>
      </c>
      <c r="L58" s="1822">
        <f ca="1">IF(L49&lt;J52,"——",IF(L56="比较法",L50,IF(L56="基准地价",L51,L52)))</f>
        <v>0</v>
      </c>
      <c r="O58" s="2253" t="s">
        <v>2359</v>
      </c>
      <c r="P58" s="2254" t="s">
        <v>2385</v>
      </c>
      <c r="Q58" s="2255">
        <f ca="1">C41+J31</f>
        <v>0</v>
      </c>
      <c r="R58" s="2254" t="s">
        <v>2360</v>
      </c>
    </row>
    <row r="59" spans="1:18" s="1942" customFormat="1" ht="29.25" thickBot="1">
      <c r="A59" s="1978"/>
      <c r="B59" s="1979"/>
      <c r="C59" s="1979"/>
      <c r="I59" s="2818" t="s">
        <v>2339</v>
      </c>
      <c r="J59" s="2788" t="e">
        <f ca="1">IF(J56&lt;0.4,0.4,J56)</f>
        <v>#VALUE!</v>
      </c>
      <c r="K59" s="2798" t="s">
        <v>2344</v>
      </c>
      <c r="L59" s="1822">
        <f ca="1">IF(ISERROR(POWER(1+L53,L48-L49)*(POWER(1+L53,L49)-1)/(POWER(1+L53,L48)-1)),0,POWER(1+L53,L48-L49)*(POWER(1+L53,L49)-1)/(POWER(1+L53,L48)-1))</f>
        <v>0</v>
      </c>
      <c r="O59" s="2253" t="s">
        <v>2361</v>
      </c>
      <c r="P59" s="2254" t="s">
        <v>2392</v>
      </c>
      <c r="Q59" s="2255" t="e">
        <f ca="1">L61</f>
        <v>#DIV/0!</v>
      </c>
      <c r="R59" s="2258" t="s">
        <v>2394</v>
      </c>
    </row>
    <row r="60" spans="1:18" s="1942" customFormat="1" ht="29.25" thickBot="1">
      <c r="A60" s="1978"/>
      <c r="B60" s="1979"/>
      <c r="C60" s="1979"/>
      <c r="I60" s="2818" t="s">
        <v>2340</v>
      </c>
      <c r="J60" s="2819" t="str">
        <f ca="1">IF(OR(M48="住宅",J52&lt;L49,J57="是"),"——",ROUND(C30*J59,0))</f>
        <v>——</v>
      </c>
      <c r="K60" s="2798" t="s">
        <v>2345</v>
      </c>
      <c r="L60" s="1822">
        <f ca="1">IF(ISERROR(POWER(1+L53,L48-J52)*(POWER(1+L53,J52)-1)/(POWER(1+L53,L48)-1)),0,POWER(1+L53,L48-J52)*(POWER(1+L53,J52)-1)/(POWER(1+L53,L48)-1))</f>
        <v>0</v>
      </c>
      <c r="O60" s="2256" t="s">
        <v>2363</v>
      </c>
      <c r="P60" s="2254" t="s">
        <v>2393</v>
      </c>
      <c r="Q60" s="2255">
        <f>IF(L56="比较法",L50,IF(L56="基准地价",L51,0))</f>
        <v>0</v>
      </c>
      <c r="R60" s="2254" t="s">
        <v>2360</v>
      </c>
    </row>
    <row r="61" spans="1:18" s="1942" customFormat="1" ht="15.75" thickBot="1">
      <c r="A61" s="1978"/>
      <c r="B61" s="1979"/>
      <c r="C61" s="1979"/>
      <c r="I61" s="2820" t="s">
        <v>2341</v>
      </c>
      <c r="J61" s="2821" t="str">
        <f ca="1">IF(OR(M48="住宅",J52&lt;L49,J57="是"),"0",ROUND(J60/(1+J53)^J54,0))</f>
        <v>0</v>
      </c>
      <c r="K61" s="2822" t="s">
        <v>2346</v>
      </c>
      <c r="L61" s="2821" t="e">
        <f ca="1">IF(OR(M48="住宅",L49&lt;J52),0,ROUND(L58*(L59/L60-1),0))</f>
        <v>#DIV/0!</v>
      </c>
      <c r="O61" s="2256" t="s">
        <v>2364</v>
      </c>
      <c r="P61" s="2254" t="s">
        <v>2373</v>
      </c>
      <c r="Q61" s="2257">
        <f>L53</f>
        <v>0</v>
      </c>
      <c r="R61" s="2258"/>
    </row>
    <row r="62" spans="1:18" s="1942" customFormat="1" ht="20.25" thickBot="1">
      <c r="A62" s="1978"/>
      <c r="B62" s="1979"/>
      <c r="C62" s="1979"/>
      <c r="K62" s="1968"/>
      <c r="O62" s="2256" t="s">
        <v>2366</v>
      </c>
      <c r="P62" s="2254" t="s">
        <v>2374</v>
      </c>
      <c r="Q62" s="2255">
        <f ca="1">L59</f>
        <v>0</v>
      </c>
      <c r="R62" s="2258" t="s">
        <v>2375</v>
      </c>
    </row>
    <row r="63" spans="1:18" s="1942" customFormat="1" ht="20.25" thickBot="1">
      <c r="A63" s="1978"/>
      <c r="B63" s="1979"/>
      <c r="C63" s="1979"/>
      <c r="I63" s="2823" t="s">
        <v>2347</v>
      </c>
      <c r="J63" s="2824" t="s">
        <v>2348</v>
      </c>
      <c r="K63" s="2824" t="s">
        <v>2349</v>
      </c>
      <c r="L63" s="2824" t="s">
        <v>2330</v>
      </c>
      <c r="M63" s="2825" t="s">
        <v>2900</v>
      </c>
      <c r="O63" s="2256" t="s">
        <v>2368</v>
      </c>
      <c r="P63" s="2254" t="s">
        <v>2376</v>
      </c>
      <c r="Q63" s="2255">
        <f ca="1">L60</f>
        <v>0</v>
      </c>
      <c r="R63" s="2258" t="s">
        <v>2377</v>
      </c>
    </row>
    <row r="64" spans="1:18" s="1942" customFormat="1" ht="15.75" thickBot="1">
      <c r="A64" s="1978"/>
      <c r="B64" s="1979"/>
      <c r="C64" s="1979"/>
      <c r="I64" s="2823" t="s">
        <v>2350</v>
      </c>
      <c r="J64" s="2824">
        <v>70</v>
      </c>
      <c r="K64" s="2824">
        <v>50</v>
      </c>
      <c r="L64" s="2824">
        <v>80</v>
      </c>
      <c r="M64" s="2826">
        <v>0.02</v>
      </c>
      <c r="O64" s="2253" t="s">
        <v>2371</v>
      </c>
      <c r="P64" s="2254" t="s">
        <v>2388</v>
      </c>
      <c r="Q64" s="2255" t="e">
        <f ca="1">Q58+Q59</f>
        <v>#DIV/0!</v>
      </c>
      <c r="R64" s="2258" t="s">
        <v>2372</v>
      </c>
    </row>
    <row r="65" spans="1:18" s="1942" customFormat="1" ht="16.5" thickBot="1">
      <c r="A65" s="1978"/>
      <c r="B65" s="1979"/>
      <c r="C65" s="1979"/>
      <c r="I65" s="2823" t="s">
        <v>2351</v>
      </c>
      <c r="J65" s="2824">
        <v>50</v>
      </c>
      <c r="K65" s="2824">
        <v>35</v>
      </c>
      <c r="L65" s="2824">
        <v>60</v>
      </c>
      <c r="M65" s="835">
        <v>0</v>
      </c>
      <c r="O65" s="2259" t="s">
        <v>2395</v>
      </c>
      <c r="P65" s="1526"/>
      <c r="Q65" s="1534"/>
      <c r="R65" s="1526"/>
    </row>
    <row r="66" spans="1:18" s="1942" customFormat="1" ht="15.75" thickBot="1">
      <c r="A66" s="1978"/>
      <c r="B66" s="1979"/>
      <c r="C66" s="1979"/>
      <c r="I66" s="2823" t="s">
        <v>2352</v>
      </c>
      <c r="J66" s="2824">
        <v>40</v>
      </c>
      <c r="K66" s="2824">
        <v>30</v>
      </c>
      <c r="L66" s="2824">
        <v>50</v>
      </c>
      <c r="M66" s="2826">
        <v>0.02</v>
      </c>
      <c r="O66" s="2250" t="s">
        <v>2355</v>
      </c>
      <c r="P66" s="2251" t="s">
        <v>2356</v>
      </c>
      <c r="Q66" s="2252" t="s">
        <v>2357</v>
      </c>
      <c r="R66" s="2251" t="s">
        <v>2358</v>
      </c>
    </row>
    <row r="67" spans="1:18" s="1942" customFormat="1" ht="15.75" thickBot="1">
      <c r="A67" s="1978"/>
      <c r="B67" s="1979"/>
      <c r="C67" s="1979"/>
      <c r="K67" s="1968"/>
      <c r="O67" s="2253" t="s">
        <v>2359</v>
      </c>
      <c r="P67" s="2254" t="s">
        <v>2385</v>
      </c>
      <c r="Q67" s="2255">
        <f ca="1">C41+J31</f>
        <v>0</v>
      </c>
      <c r="R67" s="2254" t="s">
        <v>2360</v>
      </c>
    </row>
    <row r="68" spans="1:18" s="1942" customFormat="1" ht="20.25" thickBot="1">
      <c r="A68" s="1978"/>
      <c r="B68" s="1979"/>
      <c r="C68" s="1979"/>
      <c r="K68" s="1968"/>
      <c r="O68" s="2253" t="s">
        <v>2361</v>
      </c>
      <c r="P68" s="2254" t="s">
        <v>2392</v>
      </c>
      <c r="Q68" s="2255" t="e">
        <f ca="1">L61</f>
        <v>#DIV/0!</v>
      </c>
      <c r="R68" s="2258" t="s">
        <v>2394</v>
      </c>
    </row>
    <row r="69" spans="1:18" s="1942" customFormat="1" ht="21.75" thickBot="1">
      <c r="A69" s="1978"/>
      <c r="B69" s="1979"/>
      <c r="C69" s="1979"/>
      <c r="K69" s="1968"/>
      <c r="O69" s="2256" t="s">
        <v>2363</v>
      </c>
      <c r="P69" s="2254" t="s">
        <v>2393</v>
      </c>
      <c r="Q69" s="2260">
        <f ca="1">L52</f>
        <v>0</v>
      </c>
      <c r="R69" s="2261" t="s">
        <v>2396</v>
      </c>
    </row>
    <row r="70" spans="1:18" s="1942" customFormat="1" ht="20.25" thickBot="1">
      <c r="A70" s="1978"/>
      <c r="B70" s="1979"/>
      <c r="C70" s="1979"/>
      <c r="K70" s="1968"/>
      <c r="O70" s="2256" t="s">
        <v>2364</v>
      </c>
      <c r="P70" s="2262" t="s">
        <v>2378</v>
      </c>
      <c r="Q70" s="2255">
        <f ca="1">ROUND(Q71-Q72*Q73,0)</f>
        <v>0</v>
      </c>
      <c r="R70" s="2258"/>
    </row>
    <row r="71" spans="1:18" s="1942" customFormat="1" ht="15.75" thickBot="1">
      <c r="A71" s="1978"/>
      <c r="B71" s="1979"/>
      <c r="C71" s="1979"/>
      <c r="K71" s="1968"/>
      <c r="O71" s="2256" t="s">
        <v>2379</v>
      </c>
      <c r="P71" s="2262" t="s">
        <v>2380</v>
      </c>
      <c r="Q71" s="2255">
        <f ca="1">C42</f>
        <v>0</v>
      </c>
      <c r="R71" s="2254" t="s">
        <v>2360</v>
      </c>
    </row>
    <row r="72" spans="1:18" s="1942" customFormat="1" ht="15.75" thickBot="1">
      <c r="A72" s="1978"/>
      <c r="B72" s="1979"/>
      <c r="C72" s="1979"/>
      <c r="K72" s="1968"/>
      <c r="O72" s="2256" t="s">
        <v>2381</v>
      </c>
      <c r="P72" s="2262" t="s">
        <v>2382</v>
      </c>
      <c r="Q72" s="2255">
        <f ca="1">C15</f>
        <v>0</v>
      </c>
      <c r="R72" s="2254" t="s">
        <v>2360</v>
      </c>
    </row>
    <row r="73" spans="1:18" s="1942" customFormat="1" ht="15.75" thickBot="1">
      <c r="A73" s="1978"/>
      <c r="B73" s="1979"/>
      <c r="C73" s="1979"/>
      <c r="K73" s="1968"/>
      <c r="O73" s="2256" t="s">
        <v>2383</v>
      </c>
      <c r="P73" s="2262" t="s">
        <v>2384</v>
      </c>
      <c r="Q73" s="2257">
        <f ca="1">F43</f>
        <v>0</v>
      </c>
      <c r="R73" s="2258"/>
    </row>
    <row r="74" spans="1:18" s="1942" customFormat="1" ht="15.75" thickBot="1">
      <c r="A74" s="1978"/>
      <c r="B74" s="1979"/>
      <c r="C74" s="1979"/>
      <c r="K74" s="1968"/>
      <c r="O74" s="2256" t="s">
        <v>2366</v>
      </c>
      <c r="P74" s="2254" t="s">
        <v>2373</v>
      </c>
      <c r="Q74" s="2257">
        <f>L53</f>
        <v>0</v>
      </c>
      <c r="R74" s="2258"/>
    </row>
    <row r="75" spans="1:18" s="1942" customFormat="1" ht="20.25" thickBot="1">
      <c r="A75" s="1978"/>
      <c r="B75" s="1979"/>
      <c r="C75" s="1979"/>
      <c r="K75" s="1968"/>
      <c r="O75" s="2256" t="s">
        <v>2368</v>
      </c>
      <c r="P75" s="2254" t="s">
        <v>2374</v>
      </c>
      <c r="Q75" s="2255">
        <f ca="1">L59</f>
        <v>0</v>
      </c>
      <c r="R75" s="2258" t="s">
        <v>2375</v>
      </c>
    </row>
    <row r="76" spans="1:18" s="1942" customFormat="1" ht="20.25" thickBot="1">
      <c r="A76" s="1978"/>
      <c r="B76" s="1979"/>
      <c r="C76" s="1979"/>
      <c r="K76" s="1968"/>
      <c r="O76" s="2256" t="s">
        <v>2397</v>
      </c>
      <c r="P76" s="2254" t="s">
        <v>2376</v>
      </c>
      <c r="Q76" s="2255">
        <f ca="1">L60</f>
        <v>0</v>
      </c>
      <c r="R76" s="2258" t="s">
        <v>2377</v>
      </c>
    </row>
    <row r="77" spans="1:18" s="1942" customFormat="1" ht="15.75" thickBot="1">
      <c r="A77" s="1978"/>
      <c r="B77" s="1979"/>
      <c r="C77" s="1979"/>
      <c r="K77" s="1968"/>
      <c r="O77" s="2253" t="s">
        <v>2371</v>
      </c>
      <c r="P77" s="2254" t="s">
        <v>2388</v>
      </c>
      <c r="Q77" s="2255" t="e">
        <f ca="1">Q67+Q68</f>
        <v>#DIV/0!</v>
      </c>
      <c r="R77" s="2258" t="s">
        <v>2372</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xr:uid="{00000000-0002-0000-1D00-000000000000}">
      <formula1>项目类型</formula1>
    </dataValidation>
    <dataValidation type="list" allowBlank="1" showInputMessage="1" showErrorMessage="1" sqref="D35" xr:uid="{00000000-0002-0000-1D00-000001000000}">
      <formula1>"按租金收入计税,按房产原值计税,按票据"</formula1>
    </dataValidation>
    <dataValidation type="list" allowBlank="1" showInputMessage="1" showErrorMessage="1" sqref="K21" xr:uid="{00000000-0002-0000-1D00-000002000000}">
      <formula1>"按租金收入计税,按房产原值计税"</formula1>
    </dataValidation>
    <dataValidation type="list" allowBlank="1" showInputMessage="1" showErrorMessage="1" sqref="F12 M12" xr:uid="{00000000-0002-0000-1D00-000003000000}">
      <formula1>"押一,押二,押三,自定义"</formula1>
    </dataValidation>
    <dataValidation type="list" allowBlank="1" showInputMessage="1" showErrorMessage="1" sqref="J57" xr:uid="{00000000-0002-0000-1D00-000004000000}">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
    <tabColor rgb="FF92D050"/>
    <pageSetUpPr fitToPage="1"/>
  </sheetPr>
  <dimension ref="A1:AE490"/>
  <sheetViews>
    <sheetView view="pageBreakPreview" zoomScale="80" zoomScaleNormal="80" zoomScaleSheetLayoutView="80" workbookViewId="0">
      <selection activeCell="F19" sqref="F19"/>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458</v>
      </c>
      <c r="B1" s="2526" t="s">
        <v>2996</v>
      </c>
      <c r="C1" s="1986"/>
      <c r="D1" s="1986"/>
      <c r="E1" s="1986"/>
      <c r="F1" s="1986"/>
      <c r="G1" s="1986"/>
      <c r="H1" s="1986"/>
      <c r="I1" s="1986"/>
      <c r="J1" s="1986"/>
      <c r="K1" s="416">
        <f>MATCH(B1,'数据-取费表'!A6:A16,0)+5</f>
        <v>6</v>
      </c>
      <c r="L1" s="290"/>
      <c r="M1" s="290"/>
      <c r="N1" s="290"/>
      <c r="O1" s="290"/>
      <c r="P1" s="290"/>
      <c r="Q1" s="290"/>
      <c r="R1" s="290"/>
      <c r="S1" s="290"/>
      <c r="T1" s="290"/>
      <c r="U1" s="290"/>
      <c r="V1" s="290"/>
      <c r="W1" s="290"/>
      <c r="X1" s="290"/>
      <c r="Y1" s="290"/>
      <c r="Z1" s="290"/>
    </row>
    <row r="2" spans="1:31" s="1924" customFormat="1" ht="18" customHeight="1">
      <c r="A2" s="1983" t="s">
        <v>459</v>
      </c>
      <c r="B2" s="1987">
        <f ca="1">C36</f>
        <v>79574</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1670</v>
      </c>
      <c r="B3" s="1989">
        <f ca="1">ROUND(B2*10000/IF(B1="",'数据-汇总表'!E3,INDIRECT("'数据-取费表'!K"&amp;$K$1)),0)</f>
        <v>11178</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460</v>
      </c>
      <c r="B4" s="421">
        <f ca="1">ROUND(B2*10000/IF(B1="",'数据-汇总表'!D3,INDIRECT("'数据-取费表'!R"&amp;$K$1)),0)</f>
        <v>49182</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3279</v>
      </c>
      <c r="C5" s="425" t="s">
        <v>461</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1828</v>
      </c>
      <c r="B6" s="2546"/>
      <c r="C6" s="2547">
        <f ca="1">SUM(C10:K10)</f>
        <v>178311</v>
      </c>
      <c r="D6" s="2546"/>
      <c r="E6" s="2546"/>
      <c r="F6" s="2546"/>
      <c r="G6" s="2546"/>
      <c r="H6" s="2546"/>
      <c r="I6" s="2546"/>
      <c r="J6" s="2546"/>
      <c r="K6" s="2548"/>
      <c r="L6" s="3193"/>
      <c r="M6" s="3193"/>
      <c r="N6" s="3193"/>
      <c r="O6" s="3193"/>
      <c r="P6" s="3193"/>
      <c r="Q6" s="3193"/>
      <c r="R6" s="3193"/>
      <c r="S6" s="3193"/>
      <c r="T6" s="3193"/>
      <c r="U6" s="3193"/>
      <c r="V6" s="3193"/>
      <c r="W6" s="3193"/>
      <c r="X6" s="3193"/>
      <c r="Y6" s="3193"/>
      <c r="Z6" s="3193"/>
    </row>
    <row r="7" spans="1:31" s="1995" customFormat="1" ht="15">
      <c r="A7" s="2549" t="s">
        <v>462</v>
      </c>
      <c r="B7" s="2550" t="s">
        <v>463</v>
      </c>
      <c r="C7" s="430" t="s">
        <v>2996</v>
      </c>
      <c r="D7" s="430"/>
      <c r="E7" s="430"/>
      <c r="F7" s="430"/>
      <c r="G7" s="430"/>
      <c r="H7" s="430"/>
      <c r="I7" s="430"/>
      <c r="J7" s="430"/>
      <c r="K7" s="431"/>
      <c r="AA7" s="1994"/>
      <c r="AB7" s="1994"/>
      <c r="AC7" s="1994"/>
      <c r="AD7" s="1994"/>
      <c r="AE7" s="1994"/>
    </row>
    <row r="8" spans="1:31" s="1997" customFormat="1" ht="13.5" customHeight="1">
      <c r="A8" s="793" t="s">
        <v>1831</v>
      </c>
      <c r="B8" s="259" t="s">
        <v>464</v>
      </c>
      <c r="C8" s="2551"/>
      <c r="D8" s="2551"/>
      <c r="E8" s="2551"/>
      <c r="F8" s="2551"/>
      <c r="G8" s="2551"/>
      <c r="H8" s="2551"/>
      <c r="I8" s="2551"/>
      <c r="J8" s="2551"/>
      <c r="K8" s="2552"/>
      <c r="AA8" s="1996"/>
      <c r="AB8" s="1996"/>
      <c r="AC8" s="1996"/>
      <c r="AD8" s="1996"/>
      <c r="AE8" s="1996"/>
    </row>
    <row r="9" spans="1:31" s="1997" customFormat="1" ht="13.5" customHeight="1">
      <c r="A9" s="793" t="s">
        <v>1832</v>
      </c>
      <c r="B9" s="259" t="s">
        <v>465</v>
      </c>
      <c r="C9" s="435">
        <f>SUMIF('数据-汇总表'!$C19:$C33,'剩余法-商'!C7,'数据-汇总表'!$E19:$E33)</f>
        <v>71189.150999999998</v>
      </c>
      <c r="D9" s="435">
        <f>SUMIF('数据-汇总表'!$C19:$C33,'剩余法-商'!D7,'数据-汇总表'!$E19:$E33)</f>
        <v>0</v>
      </c>
      <c r="E9" s="435">
        <f>SUMIF('数据-汇总表'!$C19:$C33,'剩余法-商'!E7,'数据-汇总表'!$E19:$E33)</f>
        <v>0</v>
      </c>
      <c r="F9" s="435">
        <f>SUMIF('数据-汇总表'!$C19:$C33,'剩余法-商'!F7,'数据-汇总表'!$E19:$E33)</f>
        <v>0</v>
      </c>
      <c r="G9" s="435">
        <f>SUMIF('数据-汇总表'!$C19:$C33,'剩余法-商'!G7,'数据-汇总表'!$E19:$E33)</f>
        <v>0</v>
      </c>
      <c r="H9" s="435">
        <f>SUMIF('数据-汇总表'!$C19:$C33,'剩余法-商'!H7,'数据-汇总表'!$E19:$E33)</f>
        <v>0</v>
      </c>
      <c r="I9" s="435">
        <f>SUMIF('数据-汇总表'!$C19:$C33,'剩余法-商'!I7,'数据-汇总表'!$E19:$E33)</f>
        <v>0</v>
      </c>
      <c r="J9" s="435">
        <f>SUMIF('数据-汇总表'!$C19:$C33,'剩余法-商'!J7,'数据-汇总表'!$E19:$E33)</f>
        <v>0</v>
      </c>
      <c r="K9" s="436">
        <f>SUMIF('数据-汇总表'!$C19:$C33,'剩余法-商'!K7,'数据-汇总表'!$E19:$E33)</f>
        <v>0</v>
      </c>
      <c r="AA9" s="1996"/>
      <c r="AB9" s="1996"/>
      <c r="AC9" s="1996"/>
      <c r="AD9" s="1996"/>
      <c r="AE9" s="1996"/>
    </row>
    <row r="10" spans="1:31" s="1997" customFormat="1" ht="13.5" customHeight="1" thickBot="1">
      <c r="A10" s="2553" t="s">
        <v>1833</v>
      </c>
      <c r="B10" s="2539" t="s">
        <v>466</v>
      </c>
      <c r="C10" s="2741">
        <f ca="1">'不动产收益法-商'!B2</f>
        <v>178311</v>
      </c>
      <c r="D10" s="2741"/>
      <c r="E10" s="2741"/>
      <c r="F10" s="2554"/>
      <c r="G10" s="2554"/>
      <c r="H10" s="2554"/>
      <c r="I10" s="2554"/>
      <c r="J10" s="2554"/>
      <c r="K10" s="2555"/>
      <c r="AA10" s="1996"/>
      <c r="AB10" s="1996"/>
      <c r="AC10" s="1996"/>
      <c r="AD10" s="1996"/>
      <c r="AE10" s="1996"/>
    </row>
    <row r="11" spans="1:31" s="1993" customFormat="1" ht="16.5" customHeight="1">
      <c r="A11" s="2556" t="s">
        <v>1829</v>
      </c>
      <c r="B11" s="2546"/>
      <c r="C11" s="2546"/>
      <c r="D11" s="2546"/>
      <c r="E11" s="2546"/>
      <c r="F11" s="2546"/>
      <c r="G11" s="2546"/>
      <c r="H11" s="2546"/>
      <c r="I11" s="2546"/>
      <c r="J11" s="2546"/>
      <c r="K11" s="2548"/>
      <c r="L11" s="3193"/>
      <c r="M11" s="3193"/>
      <c r="N11" s="3193"/>
      <c r="O11" s="3193"/>
      <c r="P11" s="3193"/>
      <c r="Q11" s="3193"/>
      <c r="R11" s="3193"/>
      <c r="S11" s="3193"/>
      <c r="T11" s="3193"/>
      <c r="U11" s="3193"/>
      <c r="V11" s="3193"/>
      <c r="W11" s="3193"/>
      <c r="X11" s="3193"/>
      <c r="Y11" s="3193"/>
      <c r="Z11" s="3193"/>
    </row>
    <row r="12" spans="1:31" s="1967" customFormat="1" ht="13.5" customHeight="1">
      <c r="A12" s="2557" t="s">
        <v>462</v>
      </c>
      <c r="B12" s="2529" t="s">
        <v>463</v>
      </c>
      <c r="C12" s="2558" t="s">
        <v>467</v>
      </c>
      <c r="D12" s="2525" t="s">
        <v>468</v>
      </c>
      <c r="E12" s="2525" t="s">
        <v>469</v>
      </c>
      <c r="F12" s="2525" t="s">
        <v>470</v>
      </c>
      <c r="G12" s="2529"/>
      <c r="H12" s="2530"/>
      <c r="I12" s="2530"/>
      <c r="J12" s="2530"/>
      <c r="K12" s="2531"/>
      <c r="L12" s="3194"/>
      <c r="M12" s="3194"/>
      <c r="N12" s="3194"/>
      <c r="O12" s="3194"/>
      <c r="P12" s="3194"/>
      <c r="Q12" s="3194"/>
      <c r="R12" s="3194"/>
      <c r="S12" s="3194"/>
      <c r="T12" s="3194"/>
      <c r="U12" s="3194"/>
      <c r="V12" s="3194"/>
      <c r="W12" s="3194"/>
      <c r="X12" s="3194"/>
      <c r="Y12" s="3194"/>
      <c r="Z12" s="3194"/>
    </row>
    <row r="13" spans="1:31" s="1998" customFormat="1" ht="13.5" customHeight="1">
      <c r="A13" s="2559" t="s">
        <v>1834</v>
      </c>
      <c r="B13" s="2560" t="s">
        <v>471</v>
      </c>
      <c r="C13" s="444">
        <f ca="1">IF(B1="",'数据-取费表'!P16,INDIRECT("'数据-取费表'!p"&amp;$K$1)+INDIRECT("'数据-取费表'!t"&amp;$K$1))</f>
        <v>31323</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1835</v>
      </c>
      <c r="B14" s="2560" t="s">
        <v>472</v>
      </c>
      <c r="C14" s="53">
        <f ca="1">ROUND(C13*F14,0)</f>
        <v>940</v>
      </c>
      <c r="D14" s="2561"/>
      <c r="E14" s="2562"/>
      <c r="F14" s="2564">
        <f>'数据-取费表'!B33</f>
        <v>0.03</v>
      </c>
      <c r="G14" s="2529" t="s">
        <v>473</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1836</v>
      </c>
      <c r="B15" s="2560" t="s">
        <v>474</v>
      </c>
      <c r="C15" s="53">
        <f ca="1">ROUND(IF(B1="",SUMIF('数据-取费表'!C:C,"住宅",'数据-取费表'!P:P)*F15,IF(INDIRECT("'数据-取费表'!c"&amp;$K$1)="住宅",INDIRECT("'数据-取费表'!P"&amp;$K$1)*F15,0)),0)</f>
        <v>0</v>
      </c>
      <c r="D15" s="2561"/>
      <c r="E15" s="2562"/>
      <c r="F15" s="2564">
        <f>'数据-取费表'!B34</f>
        <v>0</v>
      </c>
      <c r="G15" s="2529" t="s">
        <v>475</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1837</v>
      </c>
      <c r="B16" s="2560" t="s">
        <v>476</v>
      </c>
      <c r="C16" s="53">
        <f ca="1">ROUND(D16*E16/10000,0)</f>
        <v>2136</v>
      </c>
      <c r="D16" s="2561">
        <f ca="1">IF(B1="",'数据-汇总表'!E3,INDIRECT("'数据-取费表'!K"&amp;$K$1)+INDIRECT("'数据-取费表'!S"&amp;$K$1))</f>
        <v>71189.150999999998</v>
      </c>
      <c r="E16" s="53">
        <f>'数据-取费表'!B35</f>
        <v>300</v>
      </c>
      <c r="F16" s="2564"/>
      <c r="G16" s="2529"/>
      <c r="H16" s="2530"/>
      <c r="I16" s="2530"/>
      <c r="J16" s="2530"/>
      <c r="K16" s="2531"/>
      <c r="AA16" s="1998"/>
      <c r="AB16" s="1998"/>
      <c r="AC16" s="1998"/>
      <c r="AD16" s="1998"/>
      <c r="AE16" s="1998"/>
    </row>
    <row r="17" spans="1:26" s="1998" customFormat="1" ht="13.5" customHeight="1">
      <c r="A17" s="2559" t="s">
        <v>1838</v>
      </c>
      <c r="B17" s="2560" t="s">
        <v>477</v>
      </c>
      <c r="C17" s="2565">
        <f ca="1">ROUND(C13*F17,0)</f>
        <v>470</v>
      </c>
      <c r="D17" s="469"/>
      <c r="E17" s="2565"/>
      <c r="F17" s="2566">
        <f>'数据-取费表'!B36</f>
        <v>1.4999999999999999E-2</v>
      </c>
      <c r="G17" s="259" t="s">
        <v>478</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1839</v>
      </c>
      <c r="B18" s="2568" t="s">
        <v>479</v>
      </c>
      <c r="C18" s="2569">
        <f ca="1">SUM(C13:C17)</f>
        <v>34869</v>
      </c>
      <c r="D18" s="2570"/>
      <c r="E18" s="462"/>
      <c r="F18" s="462"/>
      <c r="G18" s="2533" t="s">
        <v>2409</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1840</v>
      </c>
      <c r="B19" s="2568" t="s">
        <v>480</v>
      </c>
      <c r="C19" s="2525">
        <f ca="1">ROUND(D19*E19/10000,0)</f>
        <v>142</v>
      </c>
      <c r="D19" s="2571">
        <f ca="1">D16</f>
        <v>71189.150999999998</v>
      </c>
      <c r="E19" s="2525">
        <f>'数据-取费表'!B32</f>
        <v>20</v>
      </c>
      <c r="F19" s="462"/>
      <c r="G19" s="2529" t="s">
        <v>481</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1841</v>
      </c>
      <c r="B20" s="2568" t="s">
        <v>482</v>
      </c>
      <c r="C20" s="2525">
        <f ca="1">C21+C22-IF(B1="",'数据-取费表'!B29,IF(G20="已全部缴纳",C21+C22,H20))</f>
        <v>1424</v>
      </c>
      <c r="D20" s="2571"/>
      <c r="E20" s="2525"/>
      <c r="F20" s="2572"/>
      <c r="G20" s="2775" t="s">
        <v>3090</v>
      </c>
      <c r="H20" s="2527"/>
      <c r="I20" s="2528" t="s">
        <v>2626</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1842</v>
      </c>
      <c r="B21" s="2560" t="s">
        <v>483</v>
      </c>
      <c r="C21" s="53">
        <f ca="1">ROUND(D21*E21/10000,0)</f>
        <v>0</v>
      </c>
      <c r="D21" s="2561">
        <f ca="1">IF(B1="",'数据-汇总表'!E5,IF(INDIRECT("'数据-取费表'!c"&amp;$K$1)="住宅",INDIRECT("'数据-取费表'!k"&amp;$K$1),0))</f>
        <v>0</v>
      </c>
      <c r="E21" s="53">
        <f>'数据-取费表'!B27</f>
        <v>170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1843</v>
      </c>
      <c r="B22" s="2560" t="s">
        <v>484</v>
      </c>
      <c r="C22" s="53">
        <f ca="1">ROUND(D22*E22/10000,0)</f>
        <v>1424</v>
      </c>
      <c r="D22" s="2561">
        <f ca="1">IF(B1="",'数据-汇总表'!E6,IF(INDIRECT("'数据-取费表'!c"&amp;$K$1)="住宅",INDIRECT("'数据-取费表'!s"&amp;$K$1),INDIRECT("'数据-取费表'!k"&amp;$K$1)+INDIRECT("'数据-取费表'!s"&amp;$K$1)))</f>
        <v>71189.150999999998</v>
      </c>
      <c r="E22" s="53">
        <f>'数据-取费表'!B28</f>
        <v>200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1844</v>
      </c>
      <c r="B23" s="2747" t="s">
        <v>2808</v>
      </c>
      <c r="C23" s="2569">
        <f ca="1">ROUND((C18+C19+C20)*F23,0)</f>
        <v>364</v>
      </c>
      <c r="D23" s="462"/>
      <c r="E23" s="462"/>
      <c r="F23" s="2573">
        <f>'数据-取费表'!B37</f>
        <v>0.01</v>
      </c>
      <c r="G23" s="2529" t="s">
        <v>2410</v>
      </c>
      <c r="H23" s="2530"/>
      <c r="I23" s="2530"/>
      <c r="J23" s="2530"/>
      <c r="K23" s="2531"/>
      <c r="L23" s="3195"/>
      <c r="M23" s="3195"/>
      <c r="N23" s="3195"/>
      <c r="O23" s="1999"/>
      <c r="P23" s="1999"/>
      <c r="Q23" s="1999"/>
      <c r="R23" s="1999"/>
      <c r="S23" s="1999"/>
      <c r="T23" s="1999"/>
      <c r="U23" s="1999"/>
      <c r="V23" s="1999"/>
      <c r="W23" s="1999"/>
      <c r="X23" s="1999"/>
      <c r="Y23" s="1999"/>
      <c r="Z23" s="1999"/>
    </row>
    <row r="24" spans="1:26" s="1998" customFormat="1" ht="13.5" customHeight="1">
      <c r="A24" s="2567" t="s">
        <v>1845</v>
      </c>
      <c r="B24" s="2747" t="s">
        <v>2811</v>
      </c>
      <c r="C24" s="2569">
        <f ca="1">ROUND(C6*F24,0)</f>
        <v>3566</v>
      </c>
      <c r="D24" s="469"/>
      <c r="E24" s="467"/>
      <c r="F24" s="2573">
        <f>'数据-取费表'!B38</f>
        <v>0.02</v>
      </c>
      <c r="G24" s="2538" t="s">
        <v>491</v>
      </c>
      <c r="H24" s="2532"/>
      <c r="I24" s="2532"/>
      <c r="J24" s="2532"/>
      <c r="K24" s="277"/>
      <c r="L24" s="3195"/>
      <c r="M24" s="3195"/>
      <c r="N24" s="3195"/>
      <c r="O24" s="1999"/>
      <c r="P24" s="1999"/>
      <c r="Q24" s="1999"/>
      <c r="R24" s="1999"/>
      <c r="S24" s="1999"/>
      <c r="T24" s="1999"/>
      <c r="U24" s="1999"/>
      <c r="V24" s="1999"/>
      <c r="W24" s="1999"/>
      <c r="X24" s="1999"/>
      <c r="Y24" s="1999"/>
      <c r="Z24" s="1999"/>
    </row>
    <row r="25" spans="1:26" s="2001" customFormat="1" ht="13.5" customHeight="1">
      <c r="A25" s="2567" t="s">
        <v>1846</v>
      </c>
      <c r="B25" s="2747" t="s">
        <v>2809</v>
      </c>
      <c r="C25" s="3374">
        <f>F25</f>
        <v>3.0499999999999999E-2</v>
      </c>
      <c r="D25" s="456" t="s">
        <v>2803</v>
      </c>
      <c r="E25" s="463"/>
      <c r="F25" s="2573">
        <f>IF(项目基本情况!B8="出让",0,'数据-取费表'!B48+'数据-取费表'!B49)</f>
        <v>3.0499999999999999E-2</v>
      </c>
      <c r="G25" s="2537" t="s">
        <v>2272</v>
      </c>
      <c r="H25" s="2530"/>
      <c r="I25" s="2530"/>
      <c r="J25" s="2530"/>
      <c r="K25" s="2531"/>
      <c r="L25" s="3196"/>
      <c r="M25" s="3196"/>
      <c r="N25" s="3196"/>
      <c r="O25" s="3196"/>
      <c r="P25" s="3196"/>
      <c r="Q25" s="3196"/>
      <c r="R25" s="3196"/>
      <c r="S25" s="3196"/>
      <c r="T25" s="3196"/>
      <c r="U25" s="3196"/>
      <c r="V25" s="3196"/>
      <c r="W25" s="3196"/>
      <c r="X25" s="3196"/>
      <c r="Y25" s="3196"/>
      <c r="Z25" s="3196"/>
    </row>
    <row r="26" spans="1:26" s="2000" customFormat="1" ht="13.5" customHeight="1">
      <c r="A26" s="2567" t="s">
        <v>1847</v>
      </c>
      <c r="B26" s="2748" t="s">
        <v>2810</v>
      </c>
      <c r="C26" s="2574">
        <f ca="1">C28</f>
        <v>1917</v>
      </c>
      <c r="D26" s="461">
        <f ca="1">C27</f>
        <v>0.1002</v>
      </c>
      <c r="E26" s="463" t="s">
        <v>487</v>
      </c>
      <c r="F26" s="465">
        <f ca="1">'数据-取费表'!B40</f>
        <v>4.7500000000000001E-2</v>
      </c>
      <c r="G26" s="2424" t="str">
        <f>IF('数据-取费表'!B22&lt;=1,"单利计息。","复利计息。")&amp;"后续开发成本、管理费用及销售费用产生的利息。"</f>
        <v>复利计息。后续开发成本、管理费用及销售费用产生的利息。</v>
      </c>
      <c r="H26" s="2534"/>
      <c r="I26" s="2534"/>
      <c r="J26" s="2534"/>
      <c r="K26" s="2535"/>
      <c r="L26" s="3195"/>
      <c r="M26" s="3195"/>
      <c r="N26" s="3195"/>
      <c r="O26" s="3195"/>
      <c r="P26" s="3195"/>
      <c r="Q26" s="3195"/>
      <c r="R26" s="3195"/>
      <c r="S26" s="3195"/>
      <c r="T26" s="3195"/>
      <c r="U26" s="3195"/>
      <c r="V26" s="3195"/>
      <c r="W26" s="3195"/>
      <c r="X26" s="3195"/>
      <c r="Y26" s="3195"/>
      <c r="Z26" s="3195"/>
    </row>
    <row r="27" spans="1:26" s="2002" customFormat="1" ht="13.5" customHeight="1">
      <c r="A27" s="793" t="s">
        <v>1842</v>
      </c>
      <c r="B27" s="2575" t="s">
        <v>488</v>
      </c>
      <c r="C27" s="2576">
        <f ca="1">ROUND(IF('数据-取费表'!B22&lt;=1,(1+C25)*F26*'数据-取费表'!B24,(1+C25)*(POWER((1+F26),'数据-取费表'!B24)-1)),4)</f>
        <v>0.1002</v>
      </c>
      <c r="D27" s="466"/>
      <c r="E27" s="467"/>
      <c r="F27" s="468"/>
      <c r="G27" s="2424" t="str">
        <f>IF('数据-取费表'!B22&lt;=1,"（1+取得税费率/(1+5%)）×年利率×建设期","（1+取得税费率）/(1+5%)×((1+年利率)^建设期-1)")</f>
        <v>（1+取得税费率）/(1+5%)×((1+年利率)^建设期-1)</v>
      </c>
      <c r="H27" s="2532"/>
      <c r="I27" s="2532"/>
      <c r="J27" s="2532"/>
      <c r="K27" s="277"/>
      <c r="L27" s="3197"/>
      <c r="M27" s="3197"/>
      <c r="N27" s="3197"/>
      <c r="O27" s="3197"/>
      <c r="P27" s="3197"/>
      <c r="Q27" s="3197"/>
      <c r="R27" s="3197"/>
      <c r="S27" s="3197"/>
      <c r="T27" s="3197"/>
      <c r="U27" s="3197"/>
      <c r="V27" s="3197"/>
      <c r="W27" s="3197"/>
      <c r="X27" s="3197"/>
      <c r="Y27" s="3197"/>
      <c r="Z27" s="3197"/>
    </row>
    <row r="28" spans="1:26" s="2002" customFormat="1" ht="13.5" customHeight="1">
      <c r="A28" s="793" t="s">
        <v>1843</v>
      </c>
      <c r="B28" s="2575" t="s">
        <v>2812</v>
      </c>
      <c r="C28" s="2577">
        <f ca="1">ROUND(IF('数据-取费表'!B22&lt;=1,(C18+C19+C20+C23+C24)*F26*'数据-取费表'!B24/2,(C18+C19+C20+C23+C24)*(POWER((1+F26),'数据-取费表'!B24/2)-1)),0)</f>
        <v>1917</v>
      </c>
      <c r="D28" s="466"/>
      <c r="E28" s="467"/>
      <c r="F28" s="468"/>
      <c r="G28" s="2424" t="str">
        <f>IF('数据-取费表'!B22&lt;=1,"（1）-（4）项×年利率×建设期÷2","（1）-（4）项×((1+年利率)^(建设期÷2)-1)")</f>
        <v>（1）-（4）项×((1+年利率)^(建设期÷2)-1)</v>
      </c>
      <c r="H28" s="2532"/>
      <c r="I28" s="2532"/>
      <c r="J28" s="2532"/>
      <c r="K28" s="277"/>
      <c r="L28" s="3197"/>
      <c r="M28" s="3197"/>
      <c r="N28" s="3197"/>
      <c r="O28" s="3197"/>
      <c r="P28" s="3197"/>
      <c r="Q28" s="3197"/>
      <c r="R28" s="3197"/>
      <c r="S28" s="3197"/>
      <c r="T28" s="3197"/>
      <c r="U28" s="3197"/>
      <c r="V28" s="3197"/>
      <c r="W28" s="3197"/>
      <c r="X28" s="3197"/>
      <c r="Y28" s="3197"/>
      <c r="Z28" s="3197"/>
    </row>
    <row r="29" spans="1:26" s="2002" customFormat="1" ht="13.5" customHeight="1">
      <c r="A29" s="2578" t="s">
        <v>1848</v>
      </c>
      <c r="B29" s="2568" t="s">
        <v>489</v>
      </c>
      <c r="C29" s="2569">
        <f ca="1">ROUND(C6*F29/(1+'数据-取费表'!C42),0)</f>
        <v>9340</v>
      </c>
      <c r="D29" s="462"/>
      <c r="E29" s="462"/>
      <c r="F29" s="2749">
        <f>'数据-取费表'!B41</f>
        <v>5.5000000000000007E-2</v>
      </c>
      <c r="G29" s="2538" t="s">
        <v>490</v>
      </c>
      <c r="H29" s="2530"/>
      <c r="I29" s="2530"/>
      <c r="J29" s="2530"/>
      <c r="K29" s="2531"/>
      <c r="L29" s="3197"/>
      <c r="M29" s="3197"/>
      <c r="N29" s="3197"/>
      <c r="O29" s="3197"/>
      <c r="P29" s="3197"/>
      <c r="Q29" s="3197"/>
      <c r="R29" s="3197"/>
      <c r="S29" s="3197"/>
      <c r="T29" s="3197"/>
      <c r="U29" s="3197"/>
      <c r="V29" s="3197"/>
      <c r="W29" s="3197"/>
      <c r="X29" s="3197"/>
      <c r="Y29" s="3197"/>
      <c r="Z29" s="3197"/>
    </row>
    <row r="30" spans="1:26" s="2003" customFormat="1" ht="13.5" customHeight="1">
      <c r="A30" s="1563" t="s">
        <v>1849</v>
      </c>
      <c r="B30" s="2579" t="s">
        <v>492</v>
      </c>
      <c r="C30" s="2574">
        <f ca="1">C31</f>
        <v>51622</v>
      </c>
      <c r="D30" s="471">
        <f ca="1">C32</f>
        <v>0.13070000000000001</v>
      </c>
      <c r="E30" s="463" t="s">
        <v>487</v>
      </c>
      <c r="F30" s="465"/>
      <c r="G30" s="2537" t="s">
        <v>2926</v>
      </c>
      <c r="H30" s="2530"/>
      <c r="I30" s="2530"/>
      <c r="J30" s="2530"/>
      <c r="K30" s="2531"/>
      <c r="L30" s="3198"/>
      <c r="M30" s="3198"/>
      <c r="N30" s="3198"/>
      <c r="O30" s="3198"/>
      <c r="P30" s="3198"/>
      <c r="Q30" s="3198"/>
      <c r="R30" s="3198"/>
      <c r="S30" s="3198"/>
      <c r="T30" s="3198"/>
      <c r="U30" s="3198"/>
      <c r="V30" s="3198"/>
      <c r="W30" s="3198"/>
      <c r="X30" s="3198"/>
      <c r="Y30" s="3198"/>
      <c r="Z30" s="3198"/>
    </row>
    <row r="31" spans="1:26" s="2002" customFormat="1" ht="13.5" customHeight="1">
      <c r="A31" s="793" t="s">
        <v>1842</v>
      </c>
      <c r="B31" s="2575"/>
      <c r="C31" s="444">
        <f ca="1">C18+C19+C20+C23+C24+C26+C29</f>
        <v>51622</v>
      </c>
      <c r="D31" s="466"/>
      <c r="E31" s="467"/>
      <c r="F31" s="468"/>
      <c r="G31" s="259"/>
      <c r="H31" s="2532"/>
      <c r="I31" s="2532"/>
      <c r="J31" s="2532"/>
      <c r="K31" s="277"/>
      <c r="L31" s="3197"/>
      <c r="M31" s="3197"/>
      <c r="N31" s="3197"/>
      <c r="O31" s="3197"/>
      <c r="P31" s="3197"/>
      <c r="Q31" s="3197"/>
      <c r="R31" s="3197"/>
      <c r="S31" s="3197"/>
      <c r="T31" s="3197"/>
      <c r="U31" s="3197"/>
      <c r="V31" s="3197"/>
      <c r="W31" s="3197"/>
      <c r="X31" s="3197"/>
      <c r="Y31" s="3197"/>
      <c r="Z31" s="3197"/>
    </row>
    <row r="32" spans="1:26" s="2002" customFormat="1" ht="13.5" customHeight="1">
      <c r="A32" s="793" t="s">
        <v>1843</v>
      </c>
      <c r="B32" s="2575"/>
      <c r="C32" s="53">
        <f ca="1">ROUND(C25+D26,4)</f>
        <v>0.13070000000000001</v>
      </c>
      <c r="D32" s="466"/>
      <c r="E32" s="467"/>
      <c r="F32" s="468"/>
      <c r="G32" s="259"/>
      <c r="H32" s="2532"/>
      <c r="I32" s="2532"/>
      <c r="J32" s="2532"/>
      <c r="K32" s="277"/>
      <c r="L32" s="3197"/>
      <c r="M32" s="3197"/>
      <c r="N32" s="3197"/>
      <c r="O32" s="3197"/>
      <c r="P32" s="3197"/>
      <c r="Q32" s="3197"/>
      <c r="R32" s="3197"/>
      <c r="S32" s="3197"/>
      <c r="T32" s="3197"/>
      <c r="U32" s="3197"/>
      <c r="V32" s="3197"/>
      <c r="W32" s="3197"/>
      <c r="X32" s="3197"/>
      <c r="Y32" s="3197"/>
      <c r="Z32" s="3197"/>
    </row>
    <row r="33" spans="1:26" s="2004" customFormat="1" ht="13.5" customHeight="1">
      <c r="A33" s="2746" t="s">
        <v>2807</v>
      </c>
      <c r="B33" s="2744" t="s">
        <v>2805</v>
      </c>
      <c r="C33" s="472">
        <f ca="1">C35</f>
        <v>12110</v>
      </c>
      <c r="D33" s="461">
        <f ca="1">C34</f>
        <v>0.30919999999999997</v>
      </c>
      <c r="E33" s="463" t="s">
        <v>487</v>
      </c>
      <c r="F33" s="473">
        <f ca="1">IF(B1="",'数据-取费表'!Q16,INDIRECT("'数据-取费表'!q"&amp;$K$1))</f>
        <v>0.3</v>
      </c>
      <c r="G33" s="2533"/>
      <c r="H33" s="2534"/>
      <c r="I33" s="2534"/>
      <c r="J33" s="2534"/>
      <c r="K33" s="2535"/>
      <c r="L33" s="3199"/>
      <c r="M33" s="3199"/>
      <c r="N33" s="3199"/>
      <c r="O33" s="3199"/>
      <c r="P33" s="3199"/>
      <c r="Q33" s="3199"/>
      <c r="R33" s="3199"/>
      <c r="S33" s="3199"/>
      <c r="T33" s="3199"/>
      <c r="U33" s="3199"/>
      <c r="V33" s="3199"/>
      <c r="W33" s="3199"/>
      <c r="X33" s="3199"/>
      <c r="Y33" s="3199"/>
      <c r="Z33" s="3199"/>
    </row>
    <row r="34" spans="1:26" s="2005" customFormat="1" ht="13.5" customHeight="1">
      <c r="A34" s="369" t="s">
        <v>1842</v>
      </c>
      <c r="B34" s="2580" t="s">
        <v>493</v>
      </c>
      <c r="C34" s="466">
        <f ca="1">ROUND((1+C25)*F33,4)</f>
        <v>0.30919999999999997</v>
      </c>
      <c r="D34" s="466"/>
      <c r="E34" s="467"/>
      <c r="F34" s="474"/>
      <c r="G34" s="259" t="s">
        <v>2273</v>
      </c>
      <c r="H34" s="2532"/>
      <c r="I34" s="2532"/>
      <c r="J34" s="2532"/>
      <c r="K34" s="277"/>
      <c r="L34" s="3200"/>
      <c r="M34" s="3200"/>
      <c r="N34" s="3200"/>
      <c r="O34" s="3200"/>
      <c r="P34" s="3200"/>
      <c r="Q34" s="3200"/>
      <c r="R34" s="3200"/>
      <c r="S34" s="3200"/>
      <c r="T34" s="3200"/>
      <c r="U34" s="3200"/>
      <c r="V34" s="3200"/>
      <c r="W34" s="3200"/>
      <c r="X34" s="3200"/>
      <c r="Y34" s="3200"/>
      <c r="Z34" s="3200"/>
    </row>
    <row r="35" spans="1:26" s="2005" customFormat="1" ht="13.5" customHeight="1" thickBot="1">
      <c r="A35" s="1564" t="s">
        <v>1843</v>
      </c>
      <c r="B35" s="2745" t="s">
        <v>2813</v>
      </c>
      <c r="C35" s="1556">
        <f ca="1">ROUND((C18+C19+C20+C23+C24)*F33,0)</f>
        <v>12110</v>
      </c>
      <c r="D35" s="1557"/>
      <c r="E35" s="2581"/>
      <c r="F35" s="1558"/>
      <c r="G35" s="2539"/>
      <c r="H35" s="2540"/>
      <c r="I35" s="2540"/>
      <c r="J35" s="2540"/>
      <c r="K35" s="2541"/>
      <c r="L35" s="3200"/>
      <c r="M35" s="3200"/>
      <c r="N35" s="3200"/>
      <c r="O35" s="3200"/>
      <c r="P35" s="3200"/>
      <c r="Q35" s="3200"/>
      <c r="R35" s="3200"/>
      <c r="S35" s="3200"/>
      <c r="T35" s="3200"/>
      <c r="U35" s="3200"/>
      <c r="V35" s="3200"/>
      <c r="W35" s="3200"/>
      <c r="X35" s="3200"/>
      <c r="Y35" s="3200"/>
      <c r="Z35" s="3200"/>
    </row>
    <row r="36" spans="1:26" s="1967" customFormat="1" ht="13.5" customHeight="1" thickBot="1">
      <c r="A36" s="282" t="s">
        <v>1830</v>
      </c>
      <c r="B36" s="2543"/>
      <c r="C36" s="2582">
        <f ca="1">ROUND((C6-C30-C33)/(1+D30+D33),0)</f>
        <v>79574</v>
      </c>
      <c r="D36" s="2543"/>
      <c r="E36" s="2543"/>
      <c r="F36" s="2543"/>
      <c r="G36" s="2542" t="s">
        <v>2814</v>
      </c>
      <c r="H36" s="2543"/>
      <c r="I36" s="2543"/>
      <c r="J36" s="2543"/>
      <c r="K36" s="2544"/>
      <c r="L36" s="3194"/>
      <c r="M36" s="3194"/>
      <c r="N36" s="3194"/>
      <c r="O36" s="3194"/>
      <c r="P36" s="3194"/>
      <c r="Q36" s="3194"/>
      <c r="R36" s="3194"/>
      <c r="S36" s="3194"/>
      <c r="T36" s="3194"/>
      <c r="U36" s="3194"/>
      <c r="V36" s="3194"/>
      <c r="W36" s="3194"/>
      <c r="X36" s="3194"/>
      <c r="Y36" s="3194"/>
      <c r="Z36" s="3194"/>
    </row>
    <row r="37" spans="1:26" s="1997" customFormat="1">
      <c r="A37" s="3201"/>
      <c r="C37" s="3202"/>
      <c r="E37" s="3201"/>
    </row>
    <row r="38" spans="1:26" s="1997" customFormat="1" ht="12.75" customHeight="1">
      <c r="A38" s="3201"/>
      <c r="C38" s="3202"/>
      <c r="E38" s="3201"/>
    </row>
    <row r="39" spans="1:26" s="1997" customFormat="1">
      <c r="A39" s="3201"/>
      <c r="C39" s="3202"/>
      <c r="E39" s="3201"/>
    </row>
    <row r="40" spans="1:26" s="1997" customFormat="1">
      <c r="A40" s="3201"/>
      <c r="C40" s="3202"/>
      <c r="E40" s="3201"/>
    </row>
    <row r="41" spans="1:26" s="1997" customFormat="1">
      <c r="A41" s="3201"/>
      <c r="C41" s="3202"/>
      <c r="E41" s="3201"/>
    </row>
    <row r="42" spans="1:26" s="1997" customFormat="1">
      <c r="A42" s="3201"/>
      <c r="C42" s="3202"/>
      <c r="E42" s="3201"/>
    </row>
    <row r="43" spans="1:26" s="1997" customFormat="1">
      <c r="A43" s="3201"/>
      <c r="C43" s="3202"/>
      <c r="E43" s="3201"/>
    </row>
    <row r="44" spans="1:26" s="1997" customFormat="1">
      <c r="A44" s="3201"/>
      <c r="C44" s="3202"/>
      <c r="E44" s="3201"/>
    </row>
    <row r="45" spans="1:26" s="1997" customFormat="1">
      <c r="A45" s="3201"/>
      <c r="C45" s="3202"/>
      <c r="E45" s="3201"/>
    </row>
    <row r="46" spans="1:26" s="1997" customFormat="1">
      <c r="A46" s="3201"/>
      <c r="C46" s="3202"/>
      <c r="E46" s="3201"/>
    </row>
    <row r="47" spans="1:26" s="1997" customFormat="1">
      <c r="A47" s="3201"/>
      <c r="C47" s="3202"/>
      <c r="E47" s="3201"/>
    </row>
    <row r="48" spans="1:26" s="1997" customFormat="1">
      <c r="A48" s="3201"/>
      <c r="C48" s="3202"/>
      <c r="E48" s="3201"/>
    </row>
    <row r="49" spans="1:5" s="1997" customFormat="1">
      <c r="A49" s="3201"/>
      <c r="C49" s="3202"/>
      <c r="E49" s="3201"/>
    </row>
    <row r="50" spans="1:5" s="1997" customFormat="1">
      <c r="A50" s="3201"/>
      <c r="C50" s="3202"/>
      <c r="E50" s="3201"/>
    </row>
    <row r="51" spans="1:5" s="1997" customFormat="1">
      <c r="A51" s="3201"/>
      <c r="C51" s="3202"/>
      <c r="E51" s="3201"/>
    </row>
    <row r="52" spans="1:5" s="1997" customFormat="1">
      <c r="A52" s="3201"/>
      <c r="C52" s="3202"/>
      <c r="E52" s="3201"/>
    </row>
    <row r="53" spans="1:5" s="1997" customFormat="1">
      <c r="A53" s="3201"/>
      <c r="C53" s="3202"/>
      <c r="E53" s="3201"/>
    </row>
    <row r="54" spans="1:5" s="1997" customFormat="1">
      <c r="A54" s="3201"/>
      <c r="C54" s="3202"/>
      <c r="E54" s="3201"/>
    </row>
    <row r="55" spans="1:5" s="1997" customFormat="1">
      <c r="A55" s="3201"/>
      <c r="C55" s="3202"/>
      <c r="E55" s="3201"/>
    </row>
    <row r="56" spans="1:5" s="1997" customFormat="1">
      <c r="A56" s="3201"/>
      <c r="C56" s="3202"/>
      <c r="E56" s="3201"/>
    </row>
    <row r="57" spans="1:5" s="1997" customFormat="1">
      <c r="A57" s="3201"/>
      <c r="C57" s="3202"/>
      <c r="E57" s="3201"/>
    </row>
    <row r="58" spans="1:5" s="1997" customFormat="1">
      <c r="A58" s="3201"/>
      <c r="C58" s="3202"/>
      <c r="E58" s="3201"/>
    </row>
    <row r="59" spans="1:5" s="1997" customFormat="1">
      <c r="A59" s="3201"/>
      <c r="C59" s="3202"/>
      <c r="E59" s="3201"/>
    </row>
    <row r="60" spans="1:5" s="1997" customFormat="1">
      <c r="A60" s="3201"/>
      <c r="C60" s="3202"/>
      <c r="E60" s="3201"/>
    </row>
    <row r="61" spans="1:5" s="1997" customFormat="1">
      <c r="A61" s="3201"/>
      <c r="C61" s="3202"/>
      <c r="E61" s="3201"/>
    </row>
    <row r="62" spans="1:5" s="1997" customFormat="1">
      <c r="A62" s="3201"/>
      <c r="C62" s="3202"/>
      <c r="E62" s="3201"/>
    </row>
    <row r="63" spans="1:5" s="1997" customFormat="1">
      <c r="A63" s="3201"/>
      <c r="C63" s="3202"/>
      <c r="E63" s="3201"/>
    </row>
    <row r="64" spans="1:5" s="1997" customFormat="1">
      <c r="A64" s="3201"/>
      <c r="C64" s="3202"/>
      <c r="E64" s="3201"/>
    </row>
    <row r="65" spans="1:5" s="1997" customFormat="1">
      <c r="A65" s="3201"/>
      <c r="C65" s="3202"/>
      <c r="E65" s="3201"/>
    </row>
    <row r="66" spans="1:5" s="1997" customFormat="1">
      <c r="A66" s="3201"/>
      <c r="C66" s="3202"/>
      <c r="E66" s="3201"/>
    </row>
    <row r="67" spans="1:5" s="1997" customFormat="1">
      <c r="A67" s="3201"/>
      <c r="C67" s="3202"/>
      <c r="E67" s="3201"/>
    </row>
    <row r="68" spans="1:5" s="1997" customFormat="1">
      <c r="A68" s="3201"/>
      <c r="C68" s="3202"/>
      <c r="E68" s="3201"/>
    </row>
    <row r="69" spans="1:5" s="1997" customFormat="1">
      <c r="A69" s="3201"/>
      <c r="C69" s="3202"/>
      <c r="E69" s="3201"/>
    </row>
    <row r="70" spans="1:5" s="1997" customFormat="1">
      <c r="A70" s="3201"/>
      <c r="C70" s="3202"/>
      <c r="E70" s="3201"/>
    </row>
    <row r="71" spans="1:5" s="1997" customFormat="1">
      <c r="A71" s="3201"/>
      <c r="C71" s="3202"/>
      <c r="E71" s="3201"/>
    </row>
    <row r="72" spans="1:5" s="1997" customFormat="1">
      <c r="A72" s="3201"/>
      <c r="C72" s="3202"/>
      <c r="E72" s="3201"/>
    </row>
    <row r="73" spans="1:5" s="1997" customFormat="1">
      <c r="A73" s="3201"/>
      <c r="C73" s="3202"/>
      <c r="E73" s="3201"/>
    </row>
    <row r="74" spans="1:5" s="1997" customFormat="1">
      <c r="A74" s="3201"/>
      <c r="C74" s="3202"/>
      <c r="E74" s="3201"/>
    </row>
    <row r="75" spans="1:5" s="1997" customFormat="1">
      <c r="A75" s="3201"/>
      <c r="C75" s="3202"/>
      <c r="E75" s="3201"/>
    </row>
    <row r="76" spans="1:5" s="1997" customFormat="1">
      <c r="A76" s="3201"/>
      <c r="C76" s="3202"/>
      <c r="E76" s="3201"/>
    </row>
    <row r="77" spans="1:5" s="1997" customFormat="1">
      <c r="A77" s="3201"/>
      <c r="C77" s="3202"/>
      <c r="E77" s="3201"/>
    </row>
    <row r="78" spans="1:5" s="1997" customFormat="1">
      <c r="A78" s="3201"/>
      <c r="C78" s="3202"/>
      <c r="E78" s="3201"/>
    </row>
    <row r="79" spans="1:5" s="1997" customFormat="1">
      <c r="A79" s="3201"/>
      <c r="C79" s="3202"/>
      <c r="E79" s="3201"/>
    </row>
    <row r="80" spans="1:5" s="1997" customFormat="1">
      <c r="A80" s="3201"/>
      <c r="C80" s="3202"/>
      <c r="E80" s="3201"/>
    </row>
    <row r="81" spans="1:5" s="1997" customFormat="1">
      <c r="A81" s="3201"/>
      <c r="C81" s="3202"/>
      <c r="E81" s="3201"/>
    </row>
    <row r="82" spans="1:5" s="1997" customFormat="1">
      <c r="A82" s="3201"/>
      <c r="C82" s="3202"/>
      <c r="E82" s="3201"/>
    </row>
    <row r="83" spans="1:5" s="1997" customFormat="1">
      <c r="A83" s="3201"/>
      <c r="C83" s="3202"/>
      <c r="E83" s="3201"/>
    </row>
    <row r="84" spans="1:5" s="1997" customFormat="1">
      <c r="A84" s="3201"/>
      <c r="C84" s="3202"/>
      <c r="E84" s="3201"/>
    </row>
    <row r="85" spans="1:5" s="1997" customFormat="1">
      <c r="A85" s="3201"/>
      <c r="C85" s="3202"/>
      <c r="E85" s="3201"/>
    </row>
    <row r="86" spans="1:5" s="1997" customFormat="1">
      <c r="A86" s="3201"/>
      <c r="C86" s="3202"/>
      <c r="E86" s="3201"/>
    </row>
    <row r="87" spans="1:5" s="1997" customFormat="1">
      <c r="A87" s="3201"/>
      <c r="C87" s="3202"/>
      <c r="E87" s="3201"/>
    </row>
    <row r="88" spans="1:5" s="1997" customFormat="1">
      <c r="A88" s="3201"/>
      <c r="C88" s="3202"/>
      <c r="E88" s="3201"/>
    </row>
    <row r="89" spans="1:5" s="1997" customFormat="1">
      <c r="A89" s="3201"/>
      <c r="C89" s="3202"/>
      <c r="E89" s="3201"/>
    </row>
    <row r="90" spans="1:5" s="1997" customFormat="1">
      <c r="A90" s="3201"/>
      <c r="C90" s="3202"/>
      <c r="E90" s="3201"/>
    </row>
    <row r="91" spans="1:5" s="1997" customFormat="1">
      <c r="A91" s="3201"/>
      <c r="C91" s="3202"/>
      <c r="E91" s="3201"/>
    </row>
    <row r="92" spans="1:5" s="1997" customFormat="1">
      <c r="A92" s="3201"/>
      <c r="C92" s="3202"/>
      <c r="E92" s="3201"/>
    </row>
    <row r="93" spans="1:5" s="1997" customFormat="1">
      <c r="A93" s="3201"/>
      <c r="C93" s="3202"/>
      <c r="E93" s="3201"/>
    </row>
    <row r="94" spans="1:5" s="1997" customFormat="1">
      <c r="A94" s="3201"/>
      <c r="C94" s="3202"/>
      <c r="E94" s="3201"/>
    </row>
    <row r="95" spans="1:5" s="1997" customFormat="1">
      <c r="A95" s="3201"/>
      <c r="C95" s="3202"/>
      <c r="E95" s="3201"/>
    </row>
    <row r="96" spans="1:5" s="1997" customFormat="1">
      <c r="A96" s="3201"/>
      <c r="C96" s="3202"/>
      <c r="E96" s="3201"/>
    </row>
    <row r="97" spans="1:5" s="1997" customFormat="1">
      <c r="A97" s="3201"/>
      <c r="C97" s="3202"/>
      <c r="E97" s="3201"/>
    </row>
    <row r="98" spans="1:5" s="1997" customFormat="1">
      <c r="A98" s="3201"/>
      <c r="C98" s="3202"/>
      <c r="E98" s="3201"/>
    </row>
    <row r="99" spans="1:5" s="1997" customFormat="1">
      <c r="A99" s="3201"/>
      <c r="C99" s="3202"/>
      <c r="E99" s="3201"/>
    </row>
    <row r="100" spans="1:5" s="1997" customFormat="1">
      <c r="A100" s="3201"/>
      <c r="C100" s="3202"/>
      <c r="E100" s="3201"/>
    </row>
    <row r="101" spans="1:5" s="1997" customFormat="1">
      <c r="A101" s="3201"/>
      <c r="C101" s="3202"/>
      <c r="E101" s="3201"/>
    </row>
    <row r="102" spans="1:5" s="1997" customFormat="1">
      <c r="A102" s="3201"/>
      <c r="C102" s="3202"/>
      <c r="E102" s="3201"/>
    </row>
    <row r="103" spans="1:5" s="1997" customFormat="1">
      <c r="A103" s="3201"/>
      <c r="C103" s="3202"/>
      <c r="E103" s="3201"/>
    </row>
    <row r="104" spans="1:5" s="1997" customFormat="1">
      <c r="A104" s="3201"/>
      <c r="C104" s="3202"/>
      <c r="E104" s="3201"/>
    </row>
    <row r="105" spans="1:5" s="1997" customFormat="1">
      <c r="A105" s="3201"/>
      <c r="C105" s="3202"/>
      <c r="E105" s="3201"/>
    </row>
    <row r="106" spans="1:5" s="1997" customFormat="1">
      <c r="A106" s="3201"/>
      <c r="C106" s="3202"/>
      <c r="E106" s="3201"/>
    </row>
    <row r="107" spans="1:5" s="1997" customFormat="1">
      <c r="A107" s="3201"/>
      <c r="C107" s="3202"/>
      <c r="E107" s="3201"/>
    </row>
    <row r="108" spans="1:5" s="1997" customFormat="1">
      <c r="A108" s="3201"/>
      <c r="C108" s="3202"/>
      <c r="E108" s="3201"/>
    </row>
    <row r="109" spans="1:5" s="1997" customFormat="1">
      <c r="A109" s="3201"/>
      <c r="C109" s="3202"/>
      <c r="E109" s="3201"/>
    </row>
    <row r="110" spans="1:5" s="1997" customFormat="1">
      <c r="A110" s="3201"/>
      <c r="C110" s="3202"/>
      <c r="E110" s="3201"/>
    </row>
    <row r="111" spans="1:5" s="1997" customFormat="1">
      <c r="A111" s="3201"/>
      <c r="C111" s="3202"/>
      <c r="E111" s="3201"/>
    </row>
    <row r="112" spans="1:5" s="1997" customFormat="1">
      <c r="A112" s="3201"/>
      <c r="C112" s="3202"/>
      <c r="E112" s="3201"/>
    </row>
    <row r="113" spans="1:5" s="1997" customFormat="1">
      <c r="A113" s="3201"/>
      <c r="C113" s="3202"/>
      <c r="E113" s="3201"/>
    </row>
    <row r="114" spans="1:5" s="1997" customFormat="1">
      <c r="A114" s="3201"/>
      <c r="C114" s="3202"/>
      <c r="E114" s="3201"/>
    </row>
    <row r="115" spans="1:5" s="1997" customFormat="1">
      <c r="A115" s="3201"/>
      <c r="C115" s="3202"/>
      <c r="E115" s="3201"/>
    </row>
    <row r="116" spans="1:5" s="1997" customFormat="1">
      <c r="A116" s="3201"/>
      <c r="C116" s="3202"/>
      <c r="E116" s="3201"/>
    </row>
    <row r="117" spans="1:5" s="1997" customFormat="1">
      <c r="A117" s="3201"/>
      <c r="C117" s="3202"/>
      <c r="E117" s="3201"/>
    </row>
    <row r="118" spans="1:5" s="1997" customFormat="1">
      <c r="A118" s="3201"/>
      <c r="C118" s="3202"/>
      <c r="E118" s="3201"/>
    </row>
    <row r="119" spans="1:5" s="1997" customFormat="1">
      <c r="A119" s="3201"/>
      <c r="C119" s="3202"/>
      <c r="E119" s="3201"/>
    </row>
    <row r="120" spans="1:5" s="1997" customFormat="1">
      <c r="A120" s="3201"/>
      <c r="C120" s="3202"/>
      <c r="E120" s="3201"/>
    </row>
    <row r="121" spans="1:5" s="1997" customFormat="1">
      <c r="A121" s="3201"/>
      <c r="C121" s="3202"/>
      <c r="E121" s="3201"/>
    </row>
    <row r="122" spans="1:5" s="1997" customFormat="1">
      <c r="A122" s="3201"/>
      <c r="C122" s="3202"/>
      <c r="E122" s="3201"/>
    </row>
    <row r="123" spans="1:5" s="1997" customFormat="1">
      <c r="A123" s="3201"/>
      <c r="C123" s="3202"/>
      <c r="E123" s="3201"/>
    </row>
    <row r="124" spans="1:5" s="1997" customFormat="1">
      <c r="A124" s="3201"/>
      <c r="C124" s="3202"/>
      <c r="E124" s="3201"/>
    </row>
    <row r="125" spans="1:5" s="1997" customFormat="1">
      <c r="A125" s="3201"/>
      <c r="C125" s="3202"/>
      <c r="E125" s="3201"/>
    </row>
    <row r="126" spans="1:5" s="1997" customFormat="1">
      <c r="A126" s="3201"/>
      <c r="C126" s="3202"/>
      <c r="E126" s="3201"/>
    </row>
    <row r="127" spans="1:5" s="1997" customFormat="1">
      <c r="A127" s="3201"/>
      <c r="C127" s="3202"/>
      <c r="E127" s="3201"/>
    </row>
    <row r="128" spans="1:5" s="1997" customFormat="1">
      <c r="A128" s="3201"/>
      <c r="C128" s="3202"/>
      <c r="E128" s="3201"/>
    </row>
    <row r="129" spans="1:5" s="1997" customFormat="1">
      <c r="A129" s="3201"/>
      <c r="C129" s="3202"/>
      <c r="E129" s="3201"/>
    </row>
    <row r="130" spans="1:5" s="1997" customFormat="1">
      <c r="A130" s="3201"/>
      <c r="C130" s="3202"/>
      <c r="E130" s="3201"/>
    </row>
    <row r="131" spans="1:5" s="1997" customFormat="1">
      <c r="A131" s="3201"/>
      <c r="C131" s="3202"/>
      <c r="E131" s="3201"/>
    </row>
    <row r="132" spans="1:5" s="1997" customFormat="1">
      <c r="A132" s="3201"/>
      <c r="C132" s="3202"/>
      <c r="E132" s="3201"/>
    </row>
    <row r="133" spans="1:5" s="1997" customFormat="1">
      <c r="A133" s="3201"/>
      <c r="C133" s="3202"/>
      <c r="E133" s="3201"/>
    </row>
    <row r="134" spans="1:5" s="1997" customFormat="1">
      <c r="A134" s="3201"/>
      <c r="C134" s="3202"/>
      <c r="E134" s="3201"/>
    </row>
    <row r="135" spans="1:5" s="1997" customFormat="1">
      <c r="A135" s="3201"/>
      <c r="C135" s="3202"/>
      <c r="E135" s="3201"/>
    </row>
    <row r="136" spans="1:5" s="1997" customFormat="1">
      <c r="A136" s="3201"/>
      <c r="C136" s="3202"/>
      <c r="E136" s="3201"/>
    </row>
    <row r="137" spans="1:5" s="1997" customFormat="1">
      <c r="A137" s="3201"/>
      <c r="C137" s="3202"/>
      <c r="E137" s="3201"/>
    </row>
    <row r="138" spans="1:5" s="1997" customFormat="1">
      <c r="A138" s="3201"/>
      <c r="C138" s="3202"/>
      <c r="E138" s="3201"/>
    </row>
    <row r="139" spans="1:5" s="1997" customFormat="1">
      <c r="A139" s="3201"/>
      <c r="C139" s="3202"/>
      <c r="E139" s="3201"/>
    </row>
    <row r="140" spans="1:5" s="1997" customFormat="1">
      <c r="A140" s="3201"/>
      <c r="C140" s="3202"/>
      <c r="E140" s="3201"/>
    </row>
    <row r="141" spans="1:5" s="1997" customFormat="1">
      <c r="A141" s="3201"/>
      <c r="C141" s="3202"/>
      <c r="E141" s="3201"/>
    </row>
    <row r="142" spans="1:5" s="1997" customFormat="1">
      <c r="A142" s="3201"/>
      <c r="C142" s="3202"/>
      <c r="E142" s="3201"/>
    </row>
    <row r="143" spans="1:5" s="1997" customFormat="1">
      <c r="A143" s="3201"/>
      <c r="C143" s="3202"/>
      <c r="E143" s="3201"/>
    </row>
    <row r="144" spans="1:5" s="1997" customFormat="1">
      <c r="A144" s="3201"/>
      <c r="C144" s="3202"/>
      <c r="E144" s="3201"/>
    </row>
    <row r="145" spans="1:5" s="1997" customFormat="1">
      <c r="A145" s="3201"/>
      <c r="C145" s="3202"/>
      <c r="E145" s="3201"/>
    </row>
    <row r="146" spans="1:5" s="1997" customFormat="1">
      <c r="A146" s="3201"/>
      <c r="C146" s="3202"/>
      <c r="E146" s="3201"/>
    </row>
    <row r="147" spans="1:5" s="1997" customFormat="1">
      <c r="A147" s="3201"/>
      <c r="C147" s="3202"/>
      <c r="E147" s="3201"/>
    </row>
    <row r="148" spans="1:5" s="1997" customFormat="1">
      <c r="A148" s="3201"/>
      <c r="C148" s="3202"/>
      <c r="E148" s="3201"/>
    </row>
    <row r="149" spans="1:5" s="1997" customFormat="1">
      <c r="A149" s="3201"/>
      <c r="C149" s="3202"/>
      <c r="E149" s="3201"/>
    </row>
    <row r="150" spans="1:5" s="1997" customFormat="1">
      <c r="A150" s="3201"/>
      <c r="C150" s="3202"/>
      <c r="E150" s="3201"/>
    </row>
    <row r="151" spans="1:5" s="1997" customFormat="1">
      <c r="A151" s="3201"/>
      <c r="C151" s="3202"/>
      <c r="E151" s="3201"/>
    </row>
    <row r="152" spans="1:5" s="1997" customFormat="1">
      <c r="A152" s="3201"/>
      <c r="C152" s="3202"/>
      <c r="E152" s="3201"/>
    </row>
    <row r="153" spans="1:5" s="1997" customFormat="1">
      <c r="A153" s="3201"/>
      <c r="C153" s="3202"/>
      <c r="E153" s="3201"/>
    </row>
    <row r="154" spans="1:5" s="1997" customFormat="1">
      <c r="A154" s="3201"/>
      <c r="C154" s="3202"/>
      <c r="E154" s="3201"/>
    </row>
    <row r="155" spans="1:5" s="1997" customFormat="1">
      <c r="A155" s="3201"/>
      <c r="C155" s="3202"/>
      <c r="E155" s="3201"/>
    </row>
    <row r="156" spans="1:5" s="1997" customFormat="1">
      <c r="A156" s="3201"/>
      <c r="C156" s="3202"/>
      <c r="E156" s="3201"/>
    </row>
    <row r="157" spans="1:5" s="1997" customFormat="1">
      <c r="A157" s="3201"/>
      <c r="C157" s="3202"/>
      <c r="E157" s="3201"/>
    </row>
    <row r="158" spans="1:5" s="1997" customFormat="1">
      <c r="A158" s="3201"/>
      <c r="C158" s="3202"/>
      <c r="E158" s="3201"/>
    </row>
    <row r="159" spans="1:5" s="1997" customFormat="1">
      <c r="A159" s="3201"/>
      <c r="C159" s="3202"/>
      <c r="E159" s="3201"/>
    </row>
    <row r="160" spans="1:5" s="1997" customFormat="1">
      <c r="A160" s="3201"/>
      <c r="C160" s="3202"/>
      <c r="E160" s="3201"/>
    </row>
    <row r="161" spans="1:5" s="1997" customFormat="1">
      <c r="A161" s="3201"/>
      <c r="C161" s="3202"/>
      <c r="E161" s="3201"/>
    </row>
    <row r="162" spans="1:5" s="1997" customFormat="1">
      <c r="A162" s="3201"/>
      <c r="C162" s="3202"/>
      <c r="E162" s="3201"/>
    </row>
    <row r="163" spans="1:5" s="1997" customFormat="1">
      <c r="A163" s="3201"/>
      <c r="C163" s="3202"/>
      <c r="E163" s="3201"/>
    </row>
    <row r="164" spans="1:5" s="1997" customFormat="1">
      <c r="A164" s="3201"/>
      <c r="C164" s="3202"/>
      <c r="E164" s="3201"/>
    </row>
    <row r="165" spans="1:5" s="1997" customFormat="1">
      <c r="A165" s="3201"/>
      <c r="C165" s="3202"/>
      <c r="E165" s="3201"/>
    </row>
    <row r="166" spans="1:5" s="1997" customFormat="1">
      <c r="A166" s="3201"/>
      <c r="C166" s="3202"/>
      <c r="E166" s="3201"/>
    </row>
    <row r="167" spans="1:5" s="1997" customFormat="1">
      <c r="A167" s="3201"/>
      <c r="C167" s="3202"/>
      <c r="E167" s="3201"/>
    </row>
    <row r="168" spans="1:5" s="1997" customFormat="1">
      <c r="A168" s="3201"/>
      <c r="C168" s="3202"/>
      <c r="E168" s="3201"/>
    </row>
    <row r="169" spans="1:5" s="1997" customFormat="1">
      <c r="A169" s="3201"/>
      <c r="C169" s="3202"/>
      <c r="E169" s="3201"/>
    </row>
    <row r="170" spans="1:5" s="1997" customFormat="1">
      <c r="A170" s="3201"/>
      <c r="C170" s="3202"/>
      <c r="E170" s="3201"/>
    </row>
    <row r="171" spans="1:5" s="1997" customFormat="1">
      <c r="A171" s="3201"/>
      <c r="C171" s="3202"/>
      <c r="E171" s="3201"/>
    </row>
    <row r="172" spans="1:5" s="1997" customFormat="1">
      <c r="A172" s="3201"/>
      <c r="C172" s="3202"/>
      <c r="E172" s="3201"/>
    </row>
    <row r="173" spans="1:5" s="1997" customFormat="1">
      <c r="A173" s="3201"/>
      <c r="C173" s="3202"/>
      <c r="E173" s="3201"/>
    </row>
    <row r="174" spans="1:5" s="1997" customFormat="1">
      <c r="A174" s="3201"/>
      <c r="C174" s="3202"/>
      <c r="E174" s="3201"/>
    </row>
    <row r="175" spans="1:5" s="1997" customFormat="1">
      <c r="A175" s="3201"/>
      <c r="C175" s="3202"/>
      <c r="E175" s="3201"/>
    </row>
    <row r="176" spans="1:5" s="1997" customFormat="1">
      <c r="A176" s="3201"/>
      <c r="C176" s="3202"/>
      <c r="E176" s="3201"/>
    </row>
    <row r="177" spans="1:5" s="1997" customFormat="1">
      <c r="A177" s="3201"/>
      <c r="C177" s="3202"/>
      <c r="E177" s="3201"/>
    </row>
    <row r="178" spans="1:5" s="1997" customFormat="1">
      <c r="A178" s="3201"/>
      <c r="C178" s="3202"/>
      <c r="E178" s="3201"/>
    </row>
    <row r="179" spans="1:5" s="1997" customFormat="1">
      <c r="A179" s="3201"/>
      <c r="C179" s="3202"/>
      <c r="E179" s="3201"/>
    </row>
    <row r="180" spans="1:5" s="1997" customFormat="1">
      <c r="A180" s="3201"/>
      <c r="C180" s="3202"/>
      <c r="E180" s="3201"/>
    </row>
    <row r="181" spans="1:5" s="1997" customFormat="1">
      <c r="A181" s="3201"/>
      <c r="C181" s="3202"/>
      <c r="E181" s="3201"/>
    </row>
    <row r="182" spans="1:5" s="1997" customFormat="1">
      <c r="A182" s="3201"/>
      <c r="C182" s="3202"/>
      <c r="E182" s="3201"/>
    </row>
    <row r="183" spans="1:5" s="1997" customFormat="1">
      <c r="A183" s="3201"/>
      <c r="C183" s="3202"/>
      <c r="E183" s="3201"/>
    </row>
    <row r="184" spans="1:5" s="1997" customFormat="1">
      <c r="A184" s="3201"/>
      <c r="C184" s="3202"/>
      <c r="E184" s="3201"/>
    </row>
    <row r="185" spans="1:5" s="1997" customFormat="1">
      <c r="A185" s="3201"/>
      <c r="C185" s="3202"/>
      <c r="E185" s="3201"/>
    </row>
    <row r="186" spans="1:5" s="1997" customFormat="1">
      <c r="A186" s="3201"/>
      <c r="C186" s="3202"/>
      <c r="E186" s="3201"/>
    </row>
    <row r="187" spans="1:5" s="1997" customFormat="1">
      <c r="A187" s="3201"/>
      <c r="C187" s="3202"/>
      <c r="E187" s="3201"/>
    </row>
    <row r="188" spans="1:5" s="1997" customFormat="1">
      <c r="A188" s="3201"/>
      <c r="C188" s="3202"/>
      <c r="E188" s="3201"/>
    </row>
    <row r="189" spans="1:5" s="1997" customFormat="1">
      <c r="A189" s="3201"/>
      <c r="C189" s="3202"/>
      <c r="E189" s="3201"/>
    </row>
    <row r="190" spans="1:5" s="1997" customFormat="1">
      <c r="A190" s="3201"/>
      <c r="C190" s="3202"/>
      <c r="E190" s="3201"/>
    </row>
    <row r="191" spans="1:5" s="1997" customFormat="1">
      <c r="A191" s="3201"/>
      <c r="C191" s="3202"/>
      <c r="E191" s="3201"/>
    </row>
    <row r="192" spans="1:5" s="1997" customFormat="1">
      <c r="A192" s="3201"/>
      <c r="C192" s="3202"/>
      <c r="E192" s="3201"/>
    </row>
    <row r="193" spans="1:5" s="1997" customFormat="1">
      <c r="A193" s="3201"/>
      <c r="C193" s="3202"/>
      <c r="E193" s="3201"/>
    </row>
    <row r="194" spans="1:5" s="1997" customFormat="1">
      <c r="A194" s="3201"/>
      <c r="C194" s="3202"/>
      <c r="E194" s="3201"/>
    </row>
    <row r="195" spans="1:5" s="1997" customFormat="1">
      <c r="A195" s="3201"/>
      <c r="C195" s="3202"/>
      <c r="E195" s="3201"/>
    </row>
    <row r="196" spans="1:5" s="1997" customFormat="1">
      <c r="A196" s="3201"/>
      <c r="C196" s="3202"/>
      <c r="E196" s="3201"/>
    </row>
    <row r="197" spans="1:5" s="1997" customFormat="1">
      <c r="A197" s="3201"/>
      <c r="C197" s="3202"/>
      <c r="E197" s="3201"/>
    </row>
    <row r="198" spans="1:5" s="1997" customFormat="1">
      <c r="A198" s="3201"/>
      <c r="C198" s="3202"/>
      <c r="E198" s="3201"/>
    </row>
    <row r="199" spans="1:5" s="1997" customFormat="1">
      <c r="A199" s="3201"/>
      <c r="C199" s="3202"/>
      <c r="E199" s="3201"/>
    </row>
    <row r="200" spans="1:5" s="1997" customFormat="1">
      <c r="A200" s="3201"/>
      <c r="C200" s="3202"/>
      <c r="E200" s="3201"/>
    </row>
    <row r="201" spans="1:5" s="1997" customFormat="1">
      <c r="A201" s="3201"/>
      <c r="C201" s="3202"/>
      <c r="E201" s="3201"/>
    </row>
    <row r="202" spans="1:5" s="1997" customFormat="1">
      <c r="A202" s="3201"/>
      <c r="C202" s="3202"/>
      <c r="E202" s="3201"/>
    </row>
    <row r="203" spans="1:5" s="1997" customFormat="1">
      <c r="A203" s="3201"/>
      <c r="C203" s="3202"/>
      <c r="E203" s="3201"/>
    </row>
    <row r="204" spans="1:5" s="1997" customFormat="1">
      <c r="A204" s="3201"/>
      <c r="C204" s="3202"/>
      <c r="E204" s="3201"/>
    </row>
    <row r="205" spans="1:5" s="1997" customFormat="1">
      <c r="A205" s="3201"/>
      <c r="C205" s="3202"/>
      <c r="E205" s="3201"/>
    </row>
    <row r="206" spans="1:5" s="1997" customFormat="1">
      <c r="A206" s="3201"/>
      <c r="C206" s="3202"/>
      <c r="E206" s="3201"/>
    </row>
    <row r="207" spans="1:5" s="1997" customFormat="1">
      <c r="A207" s="3201"/>
      <c r="C207" s="3202"/>
      <c r="E207" s="3201"/>
    </row>
    <row r="208" spans="1:5" s="1997" customFormat="1">
      <c r="A208" s="3201"/>
      <c r="C208" s="3202"/>
      <c r="E208" s="3201"/>
    </row>
    <row r="209" spans="1:5" s="1997" customFormat="1">
      <c r="A209" s="3201"/>
      <c r="C209" s="3202"/>
      <c r="E209" s="3201"/>
    </row>
    <row r="210" spans="1:5" s="1997" customFormat="1">
      <c r="A210" s="3201"/>
      <c r="C210" s="3202"/>
      <c r="E210" s="3201"/>
    </row>
    <row r="211" spans="1:5" s="1997" customFormat="1">
      <c r="A211" s="3201"/>
      <c r="C211" s="3202"/>
      <c r="E211" s="3201"/>
    </row>
    <row r="212" spans="1:5" s="1997" customFormat="1">
      <c r="A212" s="3201"/>
      <c r="C212" s="3202"/>
      <c r="E212" s="3201"/>
    </row>
    <row r="213" spans="1:5" s="1997" customFormat="1">
      <c r="A213" s="3201"/>
      <c r="C213" s="3202"/>
      <c r="E213" s="3201"/>
    </row>
    <row r="214" spans="1:5" s="1997" customFormat="1">
      <c r="A214" s="3201"/>
      <c r="C214" s="3202"/>
      <c r="E214" s="3201"/>
    </row>
    <row r="215" spans="1:5" s="1997" customFormat="1">
      <c r="A215" s="3201"/>
      <c r="C215" s="3202"/>
      <c r="E215" s="3201"/>
    </row>
    <row r="216" spans="1:5" s="1997" customFormat="1">
      <c r="A216" s="3201"/>
      <c r="C216" s="3202"/>
      <c r="E216" s="3201"/>
    </row>
    <row r="217" spans="1:5" s="1997" customFormat="1">
      <c r="A217" s="3201"/>
      <c r="C217" s="3202"/>
      <c r="E217" s="3201"/>
    </row>
    <row r="218" spans="1:5" s="1997" customFormat="1">
      <c r="A218" s="3201"/>
      <c r="C218" s="3202"/>
      <c r="E218" s="3201"/>
    </row>
    <row r="219" spans="1:5" s="1997" customFormat="1">
      <c r="A219" s="3201"/>
      <c r="C219" s="3202"/>
      <c r="E219" s="3201"/>
    </row>
    <row r="220" spans="1:5" s="1997" customFormat="1">
      <c r="A220" s="3201"/>
      <c r="C220" s="3202"/>
      <c r="E220" s="3201"/>
    </row>
    <row r="221" spans="1:5" s="1997" customFormat="1">
      <c r="A221" s="3201"/>
      <c r="C221" s="3202"/>
      <c r="E221" s="3201"/>
    </row>
    <row r="222" spans="1:5" s="1997" customFormat="1">
      <c r="A222" s="3201"/>
      <c r="C222" s="3202"/>
      <c r="E222" s="3201"/>
    </row>
    <row r="223" spans="1:5" s="1997" customFormat="1">
      <c r="A223" s="3201"/>
      <c r="C223" s="3202"/>
      <c r="E223" s="3201"/>
    </row>
    <row r="224" spans="1:5" s="1997" customFormat="1">
      <c r="A224" s="3201"/>
      <c r="C224" s="3202"/>
      <c r="E224" s="3201"/>
    </row>
    <row r="225" spans="1:5" s="1997" customFormat="1">
      <c r="A225" s="3201"/>
      <c r="C225" s="3202"/>
      <c r="E225" s="3201"/>
    </row>
    <row r="226" spans="1:5" s="1997" customFormat="1">
      <c r="A226" s="3201"/>
      <c r="C226" s="3202"/>
      <c r="E226" s="3201"/>
    </row>
    <row r="227" spans="1:5" s="1997" customFormat="1">
      <c r="A227" s="3201"/>
      <c r="C227" s="3202"/>
      <c r="E227" s="3201"/>
    </row>
    <row r="228" spans="1:5" s="1997" customFormat="1">
      <c r="A228" s="3201"/>
      <c r="C228" s="3202"/>
      <c r="E228" s="3201"/>
    </row>
    <row r="229" spans="1:5" s="1997" customFormat="1">
      <c r="A229" s="3201"/>
      <c r="C229" s="3202"/>
      <c r="E229" s="3201"/>
    </row>
    <row r="230" spans="1:5" s="1997" customFormat="1">
      <c r="A230" s="3201"/>
      <c r="C230" s="3202"/>
      <c r="E230" s="3201"/>
    </row>
    <row r="231" spans="1:5" s="1997" customFormat="1">
      <c r="A231" s="3201"/>
      <c r="C231" s="3202"/>
      <c r="E231" s="3201"/>
    </row>
    <row r="232" spans="1:5" s="1997" customFormat="1">
      <c r="A232" s="3201"/>
      <c r="C232" s="3202"/>
      <c r="E232" s="3201"/>
    </row>
    <row r="233" spans="1:5" s="1997" customFormat="1">
      <c r="A233" s="3201"/>
      <c r="C233" s="3202"/>
      <c r="E233" s="3201"/>
    </row>
    <row r="234" spans="1:5" s="1997" customFormat="1">
      <c r="A234" s="3201"/>
      <c r="C234" s="3202"/>
      <c r="E234" s="3201"/>
    </row>
    <row r="235" spans="1:5" s="1997" customFormat="1">
      <c r="A235" s="3201"/>
      <c r="C235" s="3202"/>
      <c r="E235" s="3201"/>
    </row>
    <row r="236" spans="1:5" s="1997" customFormat="1">
      <c r="A236" s="3201"/>
      <c r="C236" s="3202"/>
      <c r="E236" s="3201"/>
    </row>
    <row r="237" spans="1:5" s="1997" customFormat="1">
      <c r="A237" s="3201"/>
      <c r="C237" s="3202"/>
      <c r="E237" s="3201"/>
    </row>
    <row r="238" spans="1:5" s="1997" customFormat="1">
      <c r="A238" s="3201"/>
      <c r="C238" s="3202"/>
      <c r="E238" s="3201"/>
    </row>
    <row r="239" spans="1:5" s="1997" customFormat="1">
      <c r="A239" s="3201"/>
      <c r="C239" s="3202"/>
      <c r="E239" s="3201"/>
    </row>
    <row r="240" spans="1:5" s="1997" customFormat="1">
      <c r="A240" s="3201"/>
      <c r="C240" s="3202"/>
      <c r="E240" s="3201"/>
    </row>
    <row r="241" spans="1:5" s="1997" customFormat="1">
      <c r="A241" s="3201"/>
      <c r="C241" s="3202"/>
      <c r="E241" s="3201"/>
    </row>
    <row r="242" spans="1:5" s="1997" customFormat="1">
      <c r="A242" s="3201"/>
      <c r="C242" s="3202"/>
      <c r="E242" s="3201"/>
    </row>
    <row r="243" spans="1:5" s="1997" customFormat="1">
      <c r="A243" s="3201"/>
      <c r="C243" s="3202"/>
      <c r="E243" s="3201"/>
    </row>
    <row r="244" spans="1:5" s="1997" customFormat="1">
      <c r="A244" s="3201"/>
      <c r="C244" s="3202"/>
      <c r="E244" s="3201"/>
    </row>
    <row r="245" spans="1:5" s="1997" customFormat="1">
      <c r="A245" s="3201"/>
      <c r="C245" s="3202"/>
      <c r="E245" s="3201"/>
    </row>
    <row r="246" spans="1:5" s="1997" customFormat="1">
      <c r="A246" s="3201"/>
      <c r="C246" s="3202"/>
      <c r="E246" s="3201"/>
    </row>
    <row r="247" spans="1:5" s="1997" customFormat="1">
      <c r="A247" s="3201"/>
      <c r="C247" s="3202"/>
      <c r="E247" s="3201"/>
    </row>
    <row r="248" spans="1:5" s="1997" customFormat="1">
      <c r="A248" s="3201"/>
      <c r="C248" s="3202"/>
      <c r="E248" s="3201"/>
    </row>
    <row r="249" spans="1:5" s="1997" customFormat="1">
      <c r="A249" s="3201"/>
      <c r="C249" s="3202"/>
      <c r="E249" s="3201"/>
    </row>
    <row r="250" spans="1:5" s="1997" customFormat="1">
      <c r="A250" s="3201"/>
      <c r="C250" s="3202"/>
      <c r="E250" s="3201"/>
    </row>
    <row r="251" spans="1:5" s="1997" customFormat="1">
      <c r="A251" s="3201"/>
      <c r="C251" s="3202"/>
      <c r="E251" s="3201"/>
    </row>
    <row r="252" spans="1:5" s="1997" customFormat="1">
      <c r="A252" s="3201"/>
      <c r="C252" s="3202"/>
      <c r="E252" s="3201"/>
    </row>
    <row r="253" spans="1:5" s="1997" customFormat="1">
      <c r="A253" s="3201"/>
      <c r="C253" s="3202"/>
      <c r="E253" s="3201"/>
    </row>
    <row r="254" spans="1:5" s="1997" customFormat="1">
      <c r="A254" s="3201"/>
      <c r="C254" s="3202"/>
      <c r="E254" s="3201"/>
    </row>
    <row r="255" spans="1:5" s="1997" customFormat="1">
      <c r="A255" s="3201"/>
      <c r="C255" s="3202"/>
      <c r="E255" s="3201"/>
    </row>
    <row r="256" spans="1:5" s="1997" customFormat="1">
      <c r="A256" s="3201"/>
      <c r="C256" s="3202"/>
      <c r="E256" s="3201"/>
    </row>
    <row r="257" spans="1:5" s="1997" customFormat="1">
      <c r="A257" s="3201"/>
      <c r="C257" s="3202"/>
      <c r="E257" s="3201"/>
    </row>
    <row r="258" spans="1:5" s="1997" customFormat="1">
      <c r="A258" s="3201"/>
      <c r="C258" s="3202"/>
      <c r="E258" s="3201"/>
    </row>
    <row r="259" spans="1:5" s="1997" customFormat="1">
      <c r="A259" s="3201"/>
      <c r="C259" s="3202"/>
      <c r="E259" s="3201"/>
    </row>
    <row r="260" spans="1:5" s="1997" customFormat="1">
      <c r="A260" s="3201"/>
      <c r="C260" s="3202"/>
      <c r="E260" s="3201"/>
    </row>
    <row r="261" spans="1:5" s="1997" customFormat="1">
      <c r="A261" s="3201"/>
      <c r="C261" s="3202"/>
      <c r="E261" s="3201"/>
    </row>
    <row r="262" spans="1:5" s="1997" customFormat="1">
      <c r="A262" s="3201"/>
      <c r="C262" s="3202"/>
      <c r="E262" s="3201"/>
    </row>
    <row r="263" spans="1:5" s="1997" customFormat="1">
      <c r="A263" s="3201"/>
      <c r="C263" s="3202"/>
      <c r="E263" s="3201"/>
    </row>
    <row r="264" spans="1:5" s="1997" customFormat="1">
      <c r="A264" s="3201"/>
      <c r="C264" s="3202"/>
      <c r="E264" s="3201"/>
    </row>
    <row r="265" spans="1:5" s="1997" customFormat="1">
      <c r="A265" s="3201"/>
      <c r="C265" s="3202"/>
      <c r="E265" s="3201"/>
    </row>
    <row r="266" spans="1:5" s="1997" customFormat="1">
      <c r="A266" s="3201"/>
      <c r="C266" s="3202"/>
      <c r="E266" s="3201"/>
    </row>
    <row r="267" spans="1:5" s="1997" customFormat="1">
      <c r="A267" s="3201"/>
      <c r="C267" s="3202"/>
      <c r="E267" s="3201"/>
    </row>
    <row r="268" spans="1:5" s="1997" customFormat="1">
      <c r="A268" s="3201"/>
      <c r="C268" s="3202"/>
      <c r="E268" s="3201"/>
    </row>
    <row r="269" spans="1:5" s="1997" customFormat="1">
      <c r="A269" s="3201"/>
      <c r="C269" s="3202"/>
      <c r="E269" s="3201"/>
    </row>
    <row r="270" spans="1:5" s="1997" customFormat="1">
      <c r="A270" s="3201"/>
      <c r="C270" s="3202"/>
      <c r="E270" s="3201"/>
    </row>
    <row r="271" spans="1:5" s="1997" customFormat="1">
      <c r="A271" s="3201"/>
      <c r="C271" s="3202"/>
      <c r="E271" s="3201"/>
    </row>
    <row r="272" spans="1:5" s="1997" customFormat="1">
      <c r="A272" s="3201"/>
      <c r="C272" s="3202"/>
      <c r="E272" s="3201"/>
    </row>
    <row r="273" spans="1:5" s="1997" customFormat="1">
      <c r="A273" s="3201"/>
      <c r="C273" s="3202"/>
      <c r="E273" s="3201"/>
    </row>
    <row r="274" spans="1:5" s="1997" customFormat="1">
      <c r="A274" s="3201"/>
      <c r="C274" s="3202"/>
      <c r="E274" s="3201"/>
    </row>
    <row r="275" spans="1:5" s="1997" customFormat="1">
      <c r="A275" s="3201"/>
      <c r="C275" s="3202"/>
      <c r="E275" s="3201"/>
    </row>
    <row r="276" spans="1:5" s="1997" customFormat="1">
      <c r="A276" s="3201"/>
      <c r="C276" s="3202"/>
      <c r="E276" s="3201"/>
    </row>
    <row r="277" spans="1:5" s="1997" customFormat="1">
      <c r="A277" s="3201"/>
      <c r="C277" s="3202"/>
      <c r="E277" s="3201"/>
    </row>
    <row r="278" spans="1:5" s="1997" customFormat="1">
      <c r="A278" s="3201"/>
      <c r="C278" s="3202"/>
      <c r="E278" s="3201"/>
    </row>
    <row r="279" spans="1:5" s="1997" customFormat="1">
      <c r="A279" s="3201"/>
      <c r="C279" s="3202"/>
      <c r="E279" s="3201"/>
    </row>
    <row r="280" spans="1:5" s="1997" customFormat="1">
      <c r="A280" s="3201"/>
      <c r="C280" s="3202"/>
      <c r="E280" s="3201"/>
    </row>
    <row r="281" spans="1:5" s="1997" customFormat="1">
      <c r="A281" s="3201"/>
      <c r="C281" s="3202"/>
      <c r="E281" s="3201"/>
    </row>
    <row r="282" spans="1:5" s="1997" customFormat="1">
      <c r="A282" s="3201"/>
      <c r="C282" s="3202"/>
      <c r="E282" s="3201"/>
    </row>
    <row r="283" spans="1:5" s="1997" customFormat="1">
      <c r="A283" s="3201"/>
      <c r="C283" s="3202"/>
      <c r="E283" s="3201"/>
    </row>
    <row r="284" spans="1:5" s="1997" customFormat="1">
      <c r="A284" s="3201"/>
      <c r="C284" s="3202"/>
      <c r="E284" s="3201"/>
    </row>
    <row r="285" spans="1:5" s="1997" customFormat="1">
      <c r="A285" s="3201"/>
      <c r="C285" s="3202"/>
      <c r="E285" s="3201"/>
    </row>
    <row r="286" spans="1:5" s="1997" customFormat="1">
      <c r="A286" s="3201"/>
      <c r="C286" s="3202"/>
      <c r="E286" s="3201"/>
    </row>
    <row r="287" spans="1:5" s="1997" customFormat="1">
      <c r="A287" s="3201"/>
      <c r="C287" s="3202"/>
      <c r="E287" s="3201"/>
    </row>
    <row r="288" spans="1:5" s="1997" customFormat="1">
      <c r="A288" s="3201"/>
      <c r="C288" s="3202"/>
      <c r="E288" s="3201"/>
    </row>
    <row r="289" spans="1:5" s="1997" customFormat="1">
      <c r="A289" s="3201"/>
      <c r="C289" s="3202"/>
      <c r="E289" s="3201"/>
    </row>
    <row r="290" spans="1:5" s="1997" customFormat="1">
      <c r="A290" s="3201"/>
      <c r="C290" s="3202"/>
      <c r="E290" s="3201"/>
    </row>
    <row r="291" spans="1:5" s="1997" customFormat="1">
      <c r="A291" s="3201"/>
      <c r="C291" s="3202"/>
      <c r="E291" s="3201"/>
    </row>
    <row r="292" spans="1:5" s="1997" customFormat="1">
      <c r="A292" s="3201"/>
      <c r="C292" s="3202"/>
      <c r="E292" s="3201"/>
    </row>
    <row r="293" spans="1:5" s="1997" customFormat="1">
      <c r="A293" s="3201"/>
      <c r="C293" s="3202"/>
      <c r="E293" s="3201"/>
    </row>
    <row r="294" spans="1:5" s="1997" customFormat="1">
      <c r="A294" s="3201"/>
      <c r="C294" s="3202"/>
      <c r="E294" s="3201"/>
    </row>
    <row r="295" spans="1:5" s="1997" customFormat="1">
      <c r="A295" s="3201"/>
      <c r="C295" s="3202"/>
      <c r="E295" s="3201"/>
    </row>
    <row r="296" spans="1:5" s="1997" customFormat="1">
      <c r="A296" s="3201"/>
      <c r="C296" s="3202"/>
      <c r="E296" s="3201"/>
    </row>
    <row r="297" spans="1:5" s="1997" customFormat="1">
      <c r="A297" s="3201"/>
      <c r="C297" s="3202"/>
      <c r="E297" s="3201"/>
    </row>
    <row r="298" spans="1:5" s="1997" customFormat="1">
      <c r="A298" s="3201"/>
      <c r="C298" s="3202"/>
      <c r="E298" s="3201"/>
    </row>
    <row r="299" spans="1:5" s="1997" customFormat="1">
      <c r="A299" s="3201"/>
      <c r="C299" s="3202"/>
      <c r="E299" s="3201"/>
    </row>
    <row r="300" spans="1:5" s="1997" customFormat="1">
      <c r="A300" s="3201"/>
      <c r="C300" s="3202"/>
      <c r="E300" s="3201"/>
    </row>
    <row r="301" spans="1:5" s="1997" customFormat="1">
      <c r="A301" s="3201"/>
      <c r="C301" s="3202"/>
      <c r="E301" s="3201"/>
    </row>
    <row r="302" spans="1:5" s="1997" customFormat="1">
      <c r="A302" s="3201"/>
      <c r="C302" s="3202"/>
      <c r="E302" s="3201"/>
    </row>
    <row r="303" spans="1:5" s="1997" customFormat="1">
      <c r="A303" s="3201"/>
      <c r="C303" s="3202"/>
      <c r="E303" s="3201"/>
    </row>
    <row r="304" spans="1:5" s="1997" customFormat="1">
      <c r="A304" s="3201"/>
      <c r="C304" s="3202"/>
      <c r="E304" s="3201"/>
    </row>
    <row r="305" spans="1:5" s="1997" customFormat="1">
      <c r="A305" s="3201"/>
      <c r="C305" s="3202"/>
      <c r="E305" s="3201"/>
    </row>
    <row r="306" spans="1:5" s="1997" customFormat="1">
      <c r="A306" s="3201"/>
      <c r="C306" s="3202"/>
      <c r="E306" s="3201"/>
    </row>
    <row r="307" spans="1:5" s="1997" customFormat="1">
      <c r="A307" s="3201"/>
      <c r="C307" s="3202"/>
      <c r="E307" s="3201"/>
    </row>
    <row r="308" spans="1:5" s="1997" customFormat="1">
      <c r="A308" s="3201"/>
      <c r="C308" s="3202"/>
      <c r="E308" s="3201"/>
    </row>
    <row r="309" spans="1:5" s="1997" customFormat="1">
      <c r="A309" s="3201"/>
      <c r="C309" s="3202"/>
      <c r="E309" s="3201"/>
    </row>
    <row r="310" spans="1:5" s="1997" customFormat="1">
      <c r="A310" s="3201"/>
      <c r="C310" s="3202"/>
      <c r="E310" s="3201"/>
    </row>
    <row r="311" spans="1:5" s="1997" customFormat="1">
      <c r="A311" s="3201"/>
      <c r="C311" s="3202"/>
      <c r="E311" s="3201"/>
    </row>
    <row r="312" spans="1:5" s="1997" customFormat="1">
      <c r="A312" s="3201"/>
      <c r="C312" s="3202"/>
      <c r="E312" s="3201"/>
    </row>
    <row r="313" spans="1:5" s="1997" customFormat="1">
      <c r="A313" s="3201"/>
      <c r="C313" s="3202"/>
      <c r="E313" s="3201"/>
    </row>
    <row r="314" spans="1:5" s="1997" customFormat="1">
      <c r="A314" s="3201"/>
      <c r="C314" s="3202"/>
      <c r="E314" s="3201"/>
    </row>
    <row r="315" spans="1:5" s="1997" customFormat="1">
      <c r="A315" s="3201"/>
      <c r="C315" s="3202"/>
      <c r="E315" s="3201"/>
    </row>
    <row r="316" spans="1:5" s="1997" customFormat="1">
      <c r="A316" s="3201"/>
      <c r="C316" s="3202"/>
      <c r="E316" s="3201"/>
    </row>
    <row r="317" spans="1:5" s="1997" customFormat="1">
      <c r="A317" s="3201"/>
      <c r="C317" s="3202"/>
      <c r="E317" s="3201"/>
    </row>
    <row r="318" spans="1:5" s="1997" customFormat="1">
      <c r="A318" s="3201"/>
      <c r="C318" s="3202"/>
      <c r="E318" s="3201"/>
    </row>
    <row r="319" spans="1:5" s="1997" customFormat="1">
      <c r="A319" s="3201"/>
      <c r="C319" s="3202"/>
      <c r="E319" s="3201"/>
    </row>
    <row r="320" spans="1:5" s="1997" customFormat="1">
      <c r="A320" s="3201"/>
      <c r="C320" s="3202"/>
      <c r="E320" s="3201"/>
    </row>
    <row r="321" spans="1:5" s="1997" customFormat="1">
      <c r="A321" s="3201"/>
      <c r="C321" s="3202"/>
      <c r="E321" s="3201"/>
    </row>
    <row r="322" spans="1:5" s="1997" customFormat="1">
      <c r="A322" s="3201"/>
      <c r="C322" s="3202"/>
      <c r="E322" s="3201"/>
    </row>
    <row r="323" spans="1:5" s="1997" customFormat="1">
      <c r="A323" s="3201"/>
      <c r="C323" s="3202"/>
      <c r="E323" s="3201"/>
    </row>
    <row r="324" spans="1:5" s="1997" customFormat="1">
      <c r="A324" s="3201"/>
      <c r="C324" s="3202"/>
      <c r="E324" s="3201"/>
    </row>
    <row r="325" spans="1:5" s="1997" customFormat="1">
      <c r="A325" s="3201"/>
      <c r="C325" s="3202"/>
      <c r="E325" s="3201"/>
    </row>
    <row r="326" spans="1:5" s="1997" customFormat="1">
      <c r="A326" s="3201"/>
      <c r="C326" s="3202"/>
      <c r="E326" s="3201"/>
    </row>
    <row r="327" spans="1:5" s="1997" customFormat="1">
      <c r="A327" s="3201"/>
      <c r="C327" s="3202"/>
      <c r="E327" s="3201"/>
    </row>
    <row r="328" spans="1:5" s="1997" customFormat="1">
      <c r="A328" s="3201"/>
      <c r="C328" s="3202"/>
      <c r="E328" s="3201"/>
    </row>
    <row r="329" spans="1:5" s="1997" customFormat="1">
      <c r="A329" s="3201"/>
      <c r="C329" s="3202"/>
      <c r="E329" s="3201"/>
    </row>
    <row r="330" spans="1:5" s="1997" customFormat="1">
      <c r="A330" s="3201"/>
      <c r="C330" s="3202"/>
      <c r="E330" s="3201"/>
    </row>
    <row r="331" spans="1:5" s="1997" customFormat="1">
      <c r="A331" s="3201"/>
      <c r="C331" s="3202"/>
      <c r="E331" s="3201"/>
    </row>
    <row r="332" spans="1:5" s="1997" customFormat="1">
      <c r="A332" s="3201"/>
      <c r="C332" s="3202"/>
      <c r="E332" s="3201"/>
    </row>
    <row r="333" spans="1:5" s="1997" customFormat="1">
      <c r="A333" s="3201"/>
      <c r="C333" s="3202"/>
      <c r="E333" s="3201"/>
    </row>
    <row r="334" spans="1:5" s="1997" customFormat="1">
      <c r="A334" s="3201"/>
      <c r="C334" s="3202"/>
      <c r="E334" s="3201"/>
    </row>
    <row r="335" spans="1:5" s="1997" customFormat="1">
      <c r="A335" s="3201"/>
      <c r="C335" s="3202"/>
      <c r="E335" s="3201"/>
    </row>
    <row r="336" spans="1:5" s="1997" customFormat="1">
      <c r="A336" s="3201"/>
      <c r="C336" s="3202"/>
      <c r="E336" s="3201"/>
    </row>
    <row r="337" spans="1:5" s="1997" customFormat="1">
      <c r="A337" s="3201"/>
      <c r="C337" s="3202"/>
      <c r="E337" s="3201"/>
    </row>
    <row r="338" spans="1:5" s="1997" customFormat="1">
      <c r="A338" s="3201"/>
      <c r="C338" s="3202"/>
      <c r="E338" s="3201"/>
    </row>
    <row r="339" spans="1:5" s="1997" customFormat="1">
      <c r="A339" s="3201"/>
      <c r="C339" s="3202"/>
      <c r="E339" s="3201"/>
    </row>
    <row r="340" spans="1:5" s="1997" customFormat="1">
      <c r="A340" s="3201"/>
      <c r="C340" s="3202"/>
      <c r="E340" s="3201"/>
    </row>
    <row r="341" spans="1:5" s="1997" customFormat="1">
      <c r="A341" s="3201"/>
      <c r="C341" s="3202"/>
      <c r="E341" s="3201"/>
    </row>
    <row r="342" spans="1:5" s="1997" customFormat="1">
      <c r="A342" s="3201"/>
      <c r="C342" s="3202"/>
      <c r="E342" s="3201"/>
    </row>
    <row r="343" spans="1:5" s="1997" customFormat="1">
      <c r="A343" s="3201"/>
      <c r="C343" s="3202"/>
      <c r="E343" s="3201"/>
    </row>
    <row r="344" spans="1:5" s="1997" customFormat="1">
      <c r="A344" s="3201"/>
      <c r="C344" s="3202"/>
      <c r="E344" s="3201"/>
    </row>
    <row r="345" spans="1:5" s="1997" customFormat="1">
      <c r="A345" s="3201"/>
      <c r="C345" s="3202"/>
      <c r="E345" s="3201"/>
    </row>
    <row r="346" spans="1:5" s="1997" customFormat="1">
      <c r="A346" s="3201"/>
      <c r="C346" s="3202"/>
      <c r="E346" s="3201"/>
    </row>
    <row r="347" spans="1:5" s="1997" customFormat="1">
      <c r="A347" s="3201"/>
      <c r="C347" s="3202"/>
      <c r="E347" s="3201"/>
    </row>
    <row r="348" spans="1:5" s="1997" customFormat="1">
      <c r="A348" s="3201"/>
      <c r="C348" s="3202"/>
      <c r="E348" s="3201"/>
    </row>
    <row r="349" spans="1:5" s="1997" customFormat="1">
      <c r="A349" s="3201"/>
      <c r="C349" s="3202"/>
      <c r="E349" s="3201"/>
    </row>
    <row r="350" spans="1:5" s="1997" customFormat="1">
      <c r="A350" s="3201"/>
      <c r="C350" s="3202"/>
      <c r="E350" s="3201"/>
    </row>
    <row r="351" spans="1:5" s="1997" customFormat="1">
      <c r="A351" s="3201"/>
      <c r="C351" s="3202"/>
      <c r="E351" s="3201"/>
    </row>
    <row r="352" spans="1:5" s="1997" customFormat="1">
      <c r="A352" s="3201"/>
      <c r="C352" s="3202"/>
      <c r="E352" s="3201"/>
    </row>
    <row r="353" spans="1:5" s="1997" customFormat="1">
      <c r="A353" s="3201"/>
      <c r="C353" s="3202"/>
      <c r="E353" s="3201"/>
    </row>
    <row r="354" spans="1:5" s="1997" customFormat="1">
      <c r="A354" s="3201"/>
      <c r="C354" s="3202"/>
      <c r="E354" s="3201"/>
    </row>
    <row r="355" spans="1:5" s="1997" customFormat="1">
      <c r="A355" s="3201"/>
      <c r="C355" s="3202"/>
      <c r="E355" s="3201"/>
    </row>
    <row r="356" spans="1:5" s="1997" customFormat="1">
      <c r="A356" s="3201"/>
      <c r="C356" s="3202"/>
      <c r="E356" s="3201"/>
    </row>
    <row r="357" spans="1:5" s="1997" customFormat="1">
      <c r="A357" s="3201"/>
      <c r="C357" s="3202"/>
      <c r="E357" s="3201"/>
    </row>
    <row r="358" spans="1:5" s="1997" customFormat="1">
      <c r="A358" s="3201"/>
      <c r="C358" s="3202"/>
      <c r="E358" s="3201"/>
    </row>
    <row r="359" spans="1:5" s="1997" customFormat="1">
      <c r="A359" s="3201"/>
      <c r="C359" s="3202"/>
      <c r="E359" s="3201"/>
    </row>
    <row r="360" spans="1:5" s="1997" customFormat="1">
      <c r="A360" s="3201"/>
      <c r="C360" s="3202"/>
      <c r="E360" s="3201"/>
    </row>
    <row r="361" spans="1:5" s="1997" customFormat="1">
      <c r="A361" s="3201"/>
      <c r="C361" s="3202"/>
      <c r="E361" s="3201"/>
    </row>
    <row r="362" spans="1:5" s="1997" customFormat="1">
      <c r="A362" s="3201"/>
      <c r="C362" s="3202"/>
      <c r="E362" s="3201"/>
    </row>
    <row r="363" spans="1:5" s="1997" customFormat="1">
      <c r="A363" s="3201"/>
      <c r="C363" s="3202"/>
      <c r="E363" s="3201"/>
    </row>
    <row r="364" spans="1:5" s="1997" customFormat="1">
      <c r="A364" s="3201"/>
      <c r="C364" s="3202"/>
      <c r="E364" s="3201"/>
    </row>
    <row r="365" spans="1:5" s="1997" customFormat="1">
      <c r="A365" s="3201"/>
      <c r="C365" s="3202"/>
      <c r="E365" s="3201"/>
    </row>
    <row r="366" spans="1:5" s="1997" customFormat="1">
      <c r="A366" s="3201"/>
      <c r="C366" s="3202"/>
      <c r="E366" s="3201"/>
    </row>
    <row r="367" spans="1:5" s="1997" customFormat="1">
      <c r="A367" s="3201"/>
      <c r="C367" s="3202"/>
      <c r="E367" s="3201"/>
    </row>
    <row r="368" spans="1:5" s="1997" customFormat="1">
      <c r="A368" s="3201"/>
      <c r="C368" s="3202"/>
      <c r="E368" s="3201"/>
    </row>
    <row r="369" spans="1:5" s="1997" customFormat="1">
      <c r="A369" s="3201"/>
      <c r="C369" s="3202"/>
      <c r="E369" s="3201"/>
    </row>
    <row r="370" spans="1:5" s="1997" customFormat="1">
      <c r="A370" s="3201"/>
      <c r="C370" s="3202"/>
      <c r="E370" s="3201"/>
    </row>
    <row r="371" spans="1:5" s="1997" customFormat="1">
      <c r="A371" s="3201"/>
      <c r="C371" s="3202"/>
      <c r="E371" s="3201"/>
    </row>
    <row r="372" spans="1:5" s="1997" customFormat="1">
      <c r="A372" s="3201"/>
      <c r="C372" s="3202"/>
      <c r="E372" s="3201"/>
    </row>
    <row r="373" spans="1:5" s="1997" customFormat="1">
      <c r="A373" s="3201"/>
      <c r="C373" s="3202"/>
      <c r="E373" s="3201"/>
    </row>
    <row r="374" spans="1:5" s="1997" customFormat="1">
      <c r="A374" s="3201"/>
      <c r="C374" s="3202"/>
      <c r="E374" s="3201"/>
    </row>
    <row r="375" spans="1:5" s="1997" customFormat="1">
      <c r="A375" s="3201"/>
      <c r="C375" s="3202"/>
      <c r="E375" s="3201"/>
    </row>
    <row r="376" spans="1:5" s="1997" customFormat="1">
      <c r="A376" s="3201"/>
      <c r="C376" s="3202"/>
      <c r="E376" s="3201"/>
    </row>
    <row r="377" spans="1:5" s="1997" customFormat="1">
      <c r="A377" s="3201"/>
      <c r="C377" s="3202"/>
      <c r="E377" s="3201"/>
    </row>
    <row r="378" spans="1:5" s="1997" customFormat="1">
      <c r="A378" s="3201"/>
      <c r="C378" s="3202"/>
      <c r="E378" s="3201"/>
    </row>
    <row r="379" spans="1:5" s="1997" customFormat="1">
      <c r="A379" s="3201"/>
      <c r="C379" s="3202"/>
      <c r="E379" s="3201"/>
    </row>
    <row r="380" spans="1:5" s="1997" customFormat="1">
      <c r="A380" s="3201"/>
      <c r="C380" s="3202"/>
      <c r="E380" s="3201"/>
    </row>
    <row r="381" spans="1:5" s="1997" customFormat="1">
      <c r="A381" s="3201"/>
      <c r="C381" s="3202"/>
      <c r="E381" s="3201"/>
    </row>
    <row r="382" spans="1:5" s="1997" customFormat="1">
      <c r="A382" s="3201"/>
      <c r="C382" s="3202"/>
      <c r="E382" s="3201"/>
    </row>
    <row r="383" spans="1:5" s="1997" customFormat="1">
      <c r="A383" s="3201"/>
      <c r="C383" s="3202"/>
      <c r="E383" s="3201"/>
    </row>
    <row r="384" spans="1:5" s="1997" customFormat="1">
      <c r="A384" s="3201"/>
      <c r="C384" s="3202"/>
      <c r="E384" s="3201"/>
    </row>
    <row r="385" spans="1:5" s="1997" customFormat="1">
      <c r="A385" s="3201"/>
      <c r="C385" s="3202"/>
      <c r="E385" s="3201"/>
    </row>
    <row r="386" spans="1:5" s="1997" customFormat="1">
      <c r="A386" s="3201"/>
      <c r="C386" s="3202"/>
      <c r="E386" s="3201"/>
    </row>
    <row r="387" spans="1:5" s="1997" customFormat="1">
      <c r="A387" s="3201"/>
      <c r="C387" s="3202"/>
      <c r="E387" s="3201"/>
    </row>
    <row r="388" spans="1:5" s="1997" customFormat="1">
      <c r="A388" s="3201"/>
      <c r="C388" s="3202"/>
      <c r="E388" s="3201"/>
    </row>
    <row r="389" spans="1:5" s="1997" customFormat="1">
      <c r="A389" s="3201"/>
      <c r="C389" s="3202"/>
      <c r="E389" s="3201"/>
    </row>
    <row r="390" spans="1:5" s="1997" customFormat="1">
      <c r="A390" s="3201"/>
      <c r="C390" s="3202"/>
      <c r="E390" s="3201"/>
    </row>
    <row r="391" spans="1:5" s="1997" customFormat="1">
      <c r="A391" s="3201"/>
      <c r="C391" s="3202"/>
      <c r="E391" s="3201"/>
    </row>
    <row r="392" spans="1:5" s="1997" customFormat="1">
      <c r="A392" s="3201"/>
      <c r="C392" s="3202"/>
      <c r="E392" s="3201"/>
    </row>
    <row r="393" spans="1:5" s="1997" customFormat="1">
      <c r="A393" s="3201"/>
      <c r="C393" s="3202"/>
      <c r="E393" s="3201"/>
    </row>
    <row r="394" spans="1:5" s="1997" customFormat="1">
      <c r="A394" s="3201"/>
      <c r="C394" s="3202"/>
      <c r="E394" s="3201"/>
    </row>
    <row r="395" spans="1:5" s="1997" customFormat="1">
      <c r="A395" s="3201"/>
      <c r="C395" s="3202"/>
      <c r="E395" s="3201"/>
    </row>
    <row r="396" spans="1:5" s="1997" customFormat="1">
      <c r="A396" s="3201"/>
      <c r="C396" s="3202"/>
      <c r="E396" s="3201"/>
    </row>
    <row r="397" spans="1:5" s="1997" customFormat="1">
      <c r="A397" s="3201"/>
      <c r="C397" s="3202"/>
      <c r="E397" s="3201"/>
    </row>
    <row r="398" spans="1:5" s="1997" customFormat="1">
      <c r="A398" s="3201"/>
      <c r="C398" s="3202"/>
      <c r="E398" s="3201"/>
    </row>
    <row r="399" spans="1:5" s="1997" customFormat="1">
      <c r="A399" s="3201"/>
      <c r="C399" s="3202"/>
      <c r="E399" s="3201"/>
    </row>
    <row r="400" spans="1:5" s="1997" customFormat="1">
      <c r="A400" s="3201"/>
      <c r="C400" s="3202"/>
      <c r="E400" s="3201"/>
    </row>
    <row r="401" spans="1:5" s="1997" customFormat="1">
      <c r="A401" s="3201"/>
      <c r="C401" s="3202"/>
      <c r="E401" s="3201"/>
    </row>
    <row r="402" spans="1:5" s="1997" customFormat="1">
      <c r="A402" s="3201"/>
      <c r="C402" s="3202"/>
      <c r="E402" s="3201"/>
    </row>
    <row r="403" spans="1:5" s="1997" customFormat="1">
      <c r="A403" s="3201"/>
      <c r="C403" s="3202"/>
      <c r="E403" s="3201"/>
    </row>
    <row r="404" spans="1:5" s="1997" customFormat="1">
      <c r="A404" s="3201"/>
      <c r="C404" s="3202"/>
      <c r="E404" s="3201"/>
    </row>
    <row r="405" spans="1:5" s="1997" customFormat="1">
      <c r="A405" s="3201"/>
      <c r="C405" s="3202"/>
      <c r="E405" s="3201"/>
    </row>
    <row r="406" spans="1:5" s="1997" customFormat="1">
      <c r="A406" s="3201"/>
      <c r="C406" s="3202"/>
      <c r="E406" s="3201"/>
    </row>
    <row r="407" spans="1:5" s="1997" customFormat="1">
      <c r="A407" s="3201"/>
      <c r="C407" s="3202"/>
      <c r="E407" s="3201"/>
    </row>
    <row r="408" spans="1:5" s="1997" customFormat="1">
      <c r="A408" s="3201"/>
      <c r="C408" s="3202"/>
      <c r="E408" s="3201"/>
    </row>
    <row r="409" spans="1:5" s="1997" customFormat="1">
      <c r="A409" s="3201"/>
      <c r="C409" s="3202"/>
      <c r="E409" s="3201"/>
    </row>
    <row r="410" spans="1:5" s="1997" customFormat="1">
      <c r="A410" s="3201"/>
      <c r="C410" s="3202"/>
      <c r="E410" s="3201"/>
    </row>
    <row r="411" spans="1:5" s="1997" customFormat="1">
      <c r="A411" s="3201"/>
      <c r="C411" s="3202"/>
      <c r="E411" s="3201"/>
    </row>
    <row r="412" spans="1:5" s="1997" customFormat="1">
      <c r="A412" s="3201"/>
      <c r="C412" s="3202"/>
      <c r="E412" s="3201"/>
    </row>
    <row r="413" spans="1:5" s="1997" customFormat="1">
      <c r="A413" s="3201"/>
      <c r="C413" s="3202"/>
      <c r="E413" s="3201"/>
    </row>
    <row r="414" spans="1:5" s="1997" customFormat="1">
      <c r="A414" s="3201"/>
      <c r="C414" s="3202"/>
      <c r="E414" s="3201"/>
    </row>
    <row r="415" spans="1:5" s="1997" customFormat="1">
      <c r="A415" s="3201"/>
      <c r="C415" s="3202"/>
      <c r="E415" s="3201"/>
    </row>
    <row r="416" spans="1:5" s="1997" customFormat="1">
      <c r="A416" s="3201"/>
      <c r="C416" s="3202"/>
      <c r="E416" s="3201"/>
    </row>
    <row r="417" spans="1:5" s="1997" customFormat="1">
      <c r="A417" s="3201"/>
      <c r="C417" s="3202"/>
      <c r="E417" s="3201"/>
    </row>
    <row r="418" spans="1:5" s="1997" customFormat="1">
      <c r="A418" s="3201"/>
      <c r="C418" s="3202"/>
      <c r="E418" s="3201"/>
    </row>
    <row r="419" spans="1:5" s="1997" customFormat="1">
      <c r="A419" s="3201"/>
      <c r="C419" s="3202"/>
      <c r="E419" s="3201"/>
    </row>
    <row r="420" spans="1:5" s="1997" customFormat="1">
      <c r="A420" s="3201"/>
      <c r="C420" s="3202"/>
      <c r="E420" s="3201"/>
    </row>
    <row r="421" spans="1:5" s="1997" customFormat="1">
      <c r="A421" s="3201"/>
      <c r="C421" s="3202"/>
      <c r="E421" s="3201"/>
    </row>
    <row r="422" spans="1:5" s="1997" customFormat="1">
      <c r="A422" s="3201"/>
      <c r="C422" s="3202"/>
      <c r="E422" s="3201"/>
    </row>
    <row r="423" spans="1:5" s="1997" customFormat="1">
      <c r="A423" s="3201"/>
      <c r="C423" s="3202"/>
      <c r="E423" s="3201"/>
    </row>
    <row r="424" spans="1:5" s="1997" customFormat="1">
      <c r="A424" s="3201"/>
      <c r="C424" s="3202"/>
      <c r="E424" s="3201"/>
    </row>
    <row r="425" spans="1:5" s="1997" customFormat="1">
      <c r="A425" s="3201"/>
      <c r="C425" s="3202"/>
      <c r="E425" s="3201"/>
    </row>
    <row r="426" spans="1:5" s="1997" customFormat="1">
      <c r="A426" s="3201"/>
      <c r="C426" s="3202"/>
      <c r="E426" s="3201"/>
    </row>
    <row r="427" spans="1:5" s="1997" customFormat="1">
      <c r="A427" s="3201"/>
      <c r="C427" s="3202"/>
      <c r="E427" s="3201"/>
    </row>
    <row r="428" spans="1:5" s="1997" customFormat="1">
      <c r="A428" s="3201"/>
      <c r="C428" s="3202"/>
      <c r="E428" s="3201"/>
    </row>
    <row r="429" spans="1:5" s="1997" customFormat="1">
      <c r="A429" s="3201"/>
      <c r="C429" s="3202"/>
      <c r="E429" s="3201"/>
    </row>
    <row r="430" spans="1:5" s="1997" customFormat="1">
      <c r="A430" s="3201"/>
      <c r="C430" s="3202"/>
      <c r="E430" s="3201"/>
    </row>
    <row r="431" spans="1:5" s="1997" customFormat="1">
      <c r="A431" s="3201"/>
      <c r="C431" s="3202"/>
      <c r="E431" s="3201"/>
    </row>
    <row r="432" spans="1:5" s="1997" customFormat="1">
      <c r="A432" s="3201"/>
      <c r="C432" s="3202"/>
      <c r="E432" s="3201"/>
    </row>
    <row r="433" spans="1:5" s="1997" customFormat="1">
      <c r="A433" s="3201"/>
      <c r="C433" s="3202"/>
      <c r="E433" s="3201"/>
    </row>
    <row r="434" spans="1:5" s="1997" customFormat="1">
      <c r="A434" s="3201"/>
      <c r="C434" s="3202"/>
      <c r="E434" s="3201"/>
    </row>
    <row r="435" spans="1:5" s="1997" customFormat="1">
      <c r="A435" s="3201"/>
      <c r="C435" s="3202"/>
      <c r="E435" s="3201"/>
    </row>
    <row r="436" spans="1:5" s="1997" customFormat="1">
      <c r="A436" s="3201"/>
      <c r="C436" s="3202"/>
      <c r="E436" s="3201"/>
    </row>
    <row r="437" spans="1:5" s="1997" customFormat="1">
      <c r="A437" s="3201"/>
      <c r="C437" s="3202"/>
      <c r="E437" s="3201"/>
    </row>
    <row r="438" spans="1:5" s="1997" customFormat="1">
      <c r="A438" s="3201"/>
      <c r="C438" s="3202"/>
      <c r="E438" s="3201"/>
    </row>
    <row r="439" spans="1:5" s="1997" customFormat="1">
      <c r="A439" s="3201"/>
      <c r="C439" s="3202"/>
      <c r="E439" s="3201"/>
    </row>
    <row r="440" spans="1:5" s="1997" customFormat="1">
      <c r="A440" s="3201"/>
      <c r="C440" s="3202"/>
      <c r="E440" s="3201"/>
    </row>
    <row r="441" spans="1:5" s="1997" customFormat="1">
      <c r="A441" s="3201"/>
      <c r="C441" s="3202"/>
      <c r="E441" s="3201"/>
    </row>
    <row r="442" spans="1:5" s="1997" customFormat="1">
      <c r="A442" s="3201"/>
      <c r="C442" s="3202"/>
      <c r="E442" s="3201"/>
    </row>
    <row r="443" spans="1:5" s="1997" customFormat="1">
      <c r="A443" s="3201"/>
      <c r="C443" s="3202"/>
      <c r="E443" s="3201"/>
    </row>
    <row r="444" spans="1:5" s="1997" customFormat="1">
      <c r="A444" s="3201"/>
      <c r="C444" s="3202"/>
      <c r="E444" s="3201"/>
    </row>
    <row r="445" spans="1:5" s="1997" customFormat="1">
      <c r="A445" s="3201"/>
      <c r="C445" s="3202"/>
      <c r="E445" s="3201"/>
    </row>
    <row r="446" spans="1:5" s="1997" customFormat="1">
      <c r="A446" s="3201"/>
      <c r="C446" s="3202"/>
      <c r="E446" s="3201"/>
    </row>
    <row r="447" spans="1:5" s="1997" customFormat="1">
      <c r="A447" s="3201"/>
      <c r="C447" s="3202"/>
      <c r="E447" s="3201"/>
    </row>
    <row r="448" spans="1:5" s="1997" customFormat="1">
      <c r="A448" s="3201"/>
      <c r="C448" s="3202"/>
      <c r="E448" s="3201"/>
    </row>
    <row r="449" spans="1:5" s="1997" customFormat="1">
      <c r="A449" s="3201"/>
      <c r="C449" s="3202"/>
      <c r="E449" s="3201"/>
    </row>
    <row r="450" spans="1:5" s="1997" customFormat="1">
      <c r="A450" s="3201"/>
      <c r="C450" s="3202"/>
      <c r="E450" s="3201"/>
    </row>
    <row r="451" spans="1:5" s="1997" customFormat="1">
      <c r="A451" s="3201"/>
      <c r="C451" s="3202"/>
      <c r="E451" s="3201"/>
    </row>
    <row r="452" spans="1:5" s="1997" customFormat="1">
      <c r="A452" s="3201"/>
      <c r="C452" s="3202"/>
      <c r="E452" s="3201"/>
    </row>
    <row r="453" spans="1:5" s="1997" customFormat="1">
      <c r="A453" s="3201"/>
      <c r="C453" s="3202"/>
      <c r="E453" s="3201"/>
    </row>
    <row r="454" spans="1:5" s="1997" customFormat="1">
      <c r="A454" s="3201"/>
      <c r="C454" s="3202"/>
      <c r="E454" s="3201"/>
    </row>
    <row r="455" spans="1:5" s="1997" customFormat="1">
      <c r="A455" s="3201"/>
      <c r="C455" s="3202"/>
      <c r="E455" s="3201"/>
    </row>
    <row r="456" spans="1:5" s="1997" customFormat="1">
      <c r="A456" s="3201"/>
      <c r="C456" s="3202"/>
      <c r="E456" s="3201"/>
    </row>
    <row r="457" spans="1:5" s="1997" customFormat="1">
      <c r="A457" s="3201"/>
      <c r="C457" s="3202"/>
      <c r="E457" s="3201"/>
    </row>
    <row r="458" spans="1:5" s="1997" customFormat="1">
      <c r="A458" s="3201"/>
      <c r="C458" s="3202"/>
      <c r="E458" s="3201"/>
    </row>
    <row r="459" spans="1:5" s="1997" customFormat="1">
      <c r="A459" s="3201"/>
      <c r="C459" s="3202"/>
      <c r="E459" s="3201"/>
    </row>
    <row r="460" spans="1:5" s="1997" customFormat="1">
      <c r="A460" s="3201"/>
      <c r="C460" s="3202"/>
      <c r="E460" s="3201"/>
    </row>
    <row r="461" spans="1:5" s="1997" customFormat="1">
      <c r="A461" s="3201"/>
      <c r="C461" s="3202"/>
      <c r="E461" s="3201"/>
    </row>
    <row r="462" spans="1:5" s="1997" customFormat="1">
      <c r="A462" s="3201"/>
      <c r="C462" s="3202"/>
      <c r="E462" s="3201"/>
    </row>
    <row r="463" spans="1:5" s="1997" customFormat="1">
      <c r="A463" s="3201"/>
      <c r="C463" s="3202"/>
      <c r="E463" s="3201"/>
    </row>
    <row r="464" spans="1:5" s="1997" customFormat="1">
      <c r="A464" s="3201"/>
      <c r="C464" s="3202"/>
      <c r="E464" s="3201"/>
    </row>
    <row r="465" spans="1:5" s="1997" customFormat="1">
      <c r="A465" s="3201"/>
      <c r="C465" s="3202"/>
      <c r="E465" s="3201"/>
    </row>
    <row r="466" spans="1:5" s="1997" customFormat="1">
      <c r="A466" s="3201"/>
      <c r="C466" s="3202"/>
      <c r="E466" s="3201"/>
    </row>
    <row r="467" spans="1:5" s="1997" customFormat="1">
      <c r="A467" s="3201"/>
      <c r="C467" s="3202"/>
      <c r="E467" s="3201"/>
    </row>
    <row r="468" spans="1:5" s="1997" customFormat="1">
      <c r="A468" s="3201"/>
      <c r="C468" s="3202"/>
      <c r="E468" s="3201"/>
    </row>
    <row r="469" spans="1:5" s="1997" customFormat="1">
      <c r="A469" s="3201"/>
      <c r="C469" s="3202"/>
      <c r="E469" s="3201"/>
    </row>
    <row r="470" spans="1:5" s="1997" customFormat="1">
      <c r="A470" s="3201"/>
      <c r="C470" s="3202"/>
      <c r="E470" s="3201"/>
    </row>
    <row r="471" spans="1:5" s="1997" customFormat="1">
      <c r="A471" s="3201"/>
      <c r="C471" s="3202"/>
      <c r="E471" s="3201"/>
    </row>
    <row r="472" spans="1:5" s="1997" customFormat="1">
      <c r="A472" s="3201"/>
      <c r="C472" s="3202"/>
      <c r="E472" s="3201"/>
    </row>
    <row r="473" spans="1:5" s="1997" customFormat="1">
      <c r="A473" s="3201"/>
      <c r="C473" s="3202"/>
      <c r="E473" s="3201"/>
    </row>
    <row r="474" spans="1:5" s="1997" customFormat="1">
      <c r="A474" s="3201"/>
      <c r="C474" s="3202"/>
      <c r="E474" s="3201"/>
    </row>
    <row r="475" spans="1:5" s="1997" customFormat="1">
      <c r="A475" s="3201"/>
      <c r="C475" s="3202"/>
      <c r="E475" s="3201"/>
    </row>
    <row r="476" spans="1:5" s="1997" customFormat="1">
      <c r="A476" s="3201"/>
      <c r="C476" s="3202"/>
      <c r="E476" s="3201"/>
    </row>
    <row r="477" spans="1:5" s="1997" customFormat="1">
      <c r="A477" s="3201"/>
      <c r="C477" s="3202"/>
      <c r="E477" s="3201"/>
    </row>
    <row r="478" spans="1:5" s="1997" customFormat="1">
      <c r="A478" s="3201"/>
      <c r="C478" s="3202"/>
      <c r="E478" s="3201"/>
    </row>
    <row r="479" spans="1:5" s="1997" customFormat="1">
      <c r="A479" s="3201"/>
      <c r="C479" s="3202"/>
      <c r="E479" s="3201"/>
    </row>
    <row r="480" spans="1:5" s="1997" customFormat="1">
      <c r="A480" s="3201"/>
      <c r="C480" s="3202"/>
      <c r="E480" s="3201"/>
    </row>
    <row r="481" spans="1:5" s="1997" customFormat="1">
      <c r="A481" s="3201"/>
      <c r="C481" s="3202"/>
      <c r="E481" s="3201"/>
    </row>
    <row r="482" spans="1:5" s="1997" customFormat="1">
      <c r="A482" s="3201"/>
      <c r="C482" s="3202"/>
      <c r="E482" s="3201"/>
    </row>
    <row r="483" spans="1:5" s="1997" customFormat="1">
      <c r="A483" s="3201"/>
      <c r="C483" s="3202"/>
      <c r="E483" s="3201"/>
    </row>
    <row r="484" spans="1:5" s="1997" customFormat="1">
      <c r="A484" s="3201"/>
      <c r="C484" s="3202"/>
      <c r="E484" s="3201"/>
    </row>
    <row r="485" spans="1:5" s="1997" customFormat="1">
      <c r="A485" s="3201"/>
      <c r="C485" s="3202"/>
      <c r="E485" s="3201"/>
    </row>
    <row r="486" spans="1:5" s="1997" customFormat="1">
      <c r="A486" s="3201"/>
      <c r="C486" s="3202"/>
      <c r="E486" s="3201"/>
    </row>
    <row r="487" spans="1:5" s="1997" customFormat="1">
      <c r="A487" s="3201"/>
      <c r="C487" s="3202"/>
      <c r="E487" s="3201"/>
    </row>
    <row r="488" spans="1:5" s="1997" customFormat="1">
      <c r="A488" s="3201"/>
      <c r="C488" s="3202"/>
      <c r="E488" s="3201"/>
    </row>
    <row r="489" spans="1:5" s="1997" customFormat="1">
      <c r="A489" s="3201"/>
      <c r="C489" s="3202"/>
      <c r="E489" s="3201"/>
    </row>
    <row r="490" spans="1:5" s="1997" customFormat="1">
      <c r="A490" s="3201"/>
      <c r="C490" s="3202"/>
      <c r="E490" s="3201"/>
    </row>
  </sheetData>
  <sheetProtection formatCells="0" formatColumns="0" formatRows="0"/>
  <phoneticPr fontId="15" type="noConversion"/>
  <dataValidations count="2">
    <dataValidation type="list" allowBlank="1" showInputMessage="1" showErrorMessage="1" sqref="C7:K7 B1" xr:uid="{00000000-0002-0000-1E00-000000000000}">
      <formula1>项目类型</formula1>
    </dataValidation>
    <dataValidation type="list" allowBlank="1" showInputMessage="1" showErrorMessage="1" sqref="G20" xr:uid="{00000000-0002-0000-1E00-000001000000}">
      <formula1>"已全部缴纳,已部分缴纳"</formula1>
    </dataValidation>
  </dataValidations>
  <pageMargins left="0.7" right="0.7" top="0.75" bottom="0.75" header="0.3" footer="0.3"/>
  <pageSetup paperSize="9" scale="70"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topLeftCell="B1" zoomScale="80" zoomScaleNormal="60" zoomScaleSheetLayoutView="80" workbookViewId="0">
      <selection activeCell="C30" sqref="C30:C38"/>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1711</v>
      </c>
      <c r="B1" s="730"/>
      <c r="C1" s="763" t="s">
        <v>2996</v>
      </c>
      <c r="D1" s="2797" t="s">
        <v>941</v>
      </c>
      <c r="E1" s="2242" t="s">
        <v>2354</v>
      </c>
      <c r="F1" s="2243">
        <f ca="1">J53</f>
        <v>40</v>
      </c>
      <c r="G1" s="3255">
        <f>MATCH(C1,'数据-取费表'!A6:A16,0)+5</f>
        <v>6</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1712</v>
      </c>
      <c r="B2" s="765">
        <f ca="1">C40+J29+L46</f>
        <v>178311</v>
      </c>
      <c r="C2" s="3260"/>
      <c r="D2" s="3261"/>
      <c r="E2" s="3262"/>
      <c r="F2" s="3262"/>
      <c r="G2" s="3256"/>
      <c r="H2" s="1940"/>
      <c r="I2" s="1940"/>
      <c r="J2" s="1940"/>
      <c r="K2" s="1941"/>
      <c r="L2" s="1940"/>
      <c r="M2" s="1940"/>
    </row>
    <row r="3" spans="1:33" ht="18" customHeight="1" thickBot="1">
      <c r="A3" s="822" t="s">
        <v>1713</v>
      </c>
      <c r="B3" s="823">
        <f ca="1">IF(ISERROR(B2*10000/F43),0,ROUND(B2*10000/F43,0))</f>
        <v>25047</v>
      </c>
      <c r="C3" s="3260"/>
      <c r="D3" s="3261"/>
      <c r="E3" s="3262"/>
      <c r="F3" s="3262"/>
      <c r="G3" s="3256"/>
      <c r="H3" s="766" t="s">
        <v>687</v>
      </c>
      <c r="I3" s="1315"/>
      <c r="J3" s="1315"/>
      <c r="K3" s="1525"/>
      <c r="L3" s="1315"/>
      <c r="M3" s="1315"/>
    </row>
    <row r="4" spans="1:33" ht="18" customHeight="1">
      <c r="A4" s="767" t="s">
        <v>1714</v>
      </c>
      <c r="B4" s="768" t="s">
        <v>1715</v>
      </c>
      <c r="C4" s="768" t="s">
        <v>1716</v>
      </c>
      <c r="D4" s="768" t="s">
        <v>625</v>
      </c>
      <c r="E4" s="769" t="s">
        <v>1717</v>
      </c>
      <c r="F4" s="770"/>
      <c r="G4" s="1945"/>
      <c r="H4" s="767" t="s">
        <v>1718</v>
      </c>
      <c r="I4" s="768" t="s">
        <v>1719</v>
      </c>
      <c r="J4" s="768" t="s">
        <v>1720</v>
      </c>
      <c r="K4" s="768" t="s">
        <v>1721</v>
      </c>
      <c r="L4" s="769" t="s">
        <v>1722</v>
      </c>
      <c r="M4" s="770"/>
    </row>
    <row r="5" spans="1:33" ht="18" customHeight="1">
      <c r="A5" s="771">
        <v>1</v>
      </c>
      <c r="B5" s="772" t="s">
        <v>2434</v>
      </c>
      <c r="C5" s="55">
        <f ca="1">C6+C10+C12</f>
        <v>11708</v>
      </c>
      <c r="D5" s="2349" t="s">
        <v>2437</v>
      </c>
      <c r="E5" s="2343"/>
      <c r="F5" s="2344"/>
      <c r="G5" s="1945"/>
      <c r="H5" s="771">
        <v>1</v>
      </c>
      <c r="I5" s="772" t="s">
        <v>2434</v>
      </c>
      <c r="J5" s="55">
        <f ca="1">J6+J10+J12</f>
        <v>0</v>
      </c>
      <c r="K5" s="2349" t="s">
        <v>2437</v>
      </c>
      <c r="L5" s="2343"/>
      <c r="M5" s="2344"/>
    </row>
    <row r="6" spans="1:33" ht="18" customHeight="1">
      <c r="A6" s="1745" t="s">
        <v>1810</v>
      </c>
      <c r="B6" s="3649" t="s">
        <v>2439</v>
      </c>
      <c r="C6" s="773">
        <f ca="1">ROUND(F6*F8*F7*(1-F9)/10000,0)</f>
        <v>11693</v>
      </c>
      <c r="D6" s="2350" t="s">
        <v>2438</v>
      </c>
      <c r="E6" s="774" t="s">
        <v>1724</v>
      </c>
      <c r="F6" s="775">
        <f ca="1">INDIRECT("'数据-取费表'!u"&amp;$G$1)</f>
        <v>5</v>
      </c>
      <c r="G6" s="1945"/>
      <c r="H6" s="2357" t="s">
        <v>2444</v>
      </c>
      <c r="I6" s="3649" t="s">
        <v>2439</v>
      </c>
      <c r="J6" s="773">
        <f ca="1">ROUND(M6*M8*M7*(1-M9)/10000,0)</f>
        <v>0</v>
      </c>
      <c r="K6" s="339" t="s">
        <v>1723</v>
      </c>
      <c r="L6" s="774" t="s">
        <v>1724</v>
      </c>
      <c r="M6" s="775">
        <f ca="1">INDIRECT("'数据-取费表'!z"&amp;$G$1)</f>
        <v>0</v>
      </c>
    </row>
    <row r="7" spans="1:33" ht="18" customHeight="1">
      <c r="A7" s="2353"/>
      <c r="B7" s="3650"/>
      <c r="C7" s="778"/>
      <c r="D7" s="779"/>
      <c r="E7" s="774" t="s">
        <v>1725</v>
      </c>
      <c r="F7" s="775">
        <f ca="1">IF(INDIRECT("'数据-取费表'!ah"&amp;$G$1)="",INDIRECT("'数据-取费表'!k"&amp;$G$1),INDIRECT("'数据-取费表'!ah"&amp;$G$1))</f>
        <v>71189.150999999998</v>
      </c>
      <c r="G7" s="1945"/>
      <c r="H7" s="2342"/>
      <c r="I7" s="3650"/>
      <c r="J7" s="778"/>
      <c r="K7" s="779"/>
      <c r="L7" s="774" t="s">
        <v>1725</v>
      </c>
      <c r="M7" s="775">
        <f ca="1">F7</f>
        <v>71189.150999999998</v>
      </c>
    </row>
    <row r="8" spans="1:33" ht="18" customHeight="1">
      <c r="A8" s="2346"/>
      <c r="B8" s="3651"/>
      <c r="C8" s="778"/>
      <c r="D8" s="779"/>
      <c r="E8" s="774" t="s">
        <v>1726</v>
      </c>
      <c r="F8" s="775">
        <f ca="1">INDIRECT("'数据-取费表'!ai"&amp;$G$1)</f>
        <v>365</v>
      </c>
      <c r="G8" s="1945"/>
      <c r="H8" s="2342"/>
      <c r="I8" s="3651"/>
      <c r="J8" s="778"/>
      <c r="K8" s="779"/>
      <c r="L8" s="774" t="s">
        <v>1726</v>
      </c>
      <c r="M8" s="775">
        <f ca="1">INDIRECT("'数据-取费表'!ai"&amp;$G$1)</f>
        <v>365</v>
      </c>
    </row>
    <row r="9" spans="1:33" ht="18" customHeight="1">
      <c r="A9" s="776"/>
      <c r="B9" s="3652"/>
      <c r="C9" s="778"/>
      <c r="D9" s="779"/>
      <c r="E9" s="774" t="s">
        <v>1727</v>
      </c>
      <c r="F9" s="784">
        <f ca="1">INDIRECT("'数据-取费表'!w"&amp;$G$1)</f>
        <v>0.1</v>
      </c>
      <c r="G9" s="1945"/>
      <c r="H9" s="2358"/>
      <c r="I9" s="3651"/>
      <c r="J9" s="778"/>
      <c r="K9" s="779"/>
      <c r="L9" s="785" t="s">
        <v>1727</v>
      </c>
      <c r="M9" s="786">
        <f ca="1">INDIRECT("'数据-取费表'!ab"&amp;$G$1)</f>
        <v>0</v>
      </c>
    </row>
    <row r="10" spans="1:33" ht="18" customHeight="1">
      <c r="A10" s="1745" t="s">
        <v>2442</v>
      </c>
      <c r="B10" s="2347" t="s">
        <v>2435</v>
      </c>
      <c r="C10" s="789">
        <f ca="1">ROUND(IF(F10="押一",C6/12*F11,IF(F10="押二",C6/12*2*F11,IF(F10="押三",C6/12*3*F11,C11*F11))),0)</f>
        <v>15</v>
      </c>
      <c r="D10" s="2354" t="s">
        <v>2928</v>
      </c>
      <c r="E10" s="2351" t="s">
        <v>2440</v>
      </c>
      <c r="F10" s="2465" t="s">
        <v>3085</v>
      </c>
      <c r="G10" s="1945"/>
      <c r="H10" s="2414" t="s">
        <v>2445</v>
      </c>
      <c r="I10" s="2419" t="s">
        <v>2435</v>
      </c>
      <c r="J10" s="773">
        <f ca="1">ROUND(IF(M10="押一",J6/12*M11,IF(M10="押二",J6/12*2*M11,IF(M10="押三",J6/12*3*M11,J11*M11))),0)</f>
        <v>0</v>
      </c>
      <c r="K10" s="2354" t="s">
        <v>2928</v>
      </c>
      <c r="L10" s="2351" t="s">
        <v>2440</v>
      </c>
      <c r="M10" s="2465"/>
    </row>
    <row r="11" spans="1:33" ht="18" customHeight="1">
      <c r="A11" s="780"/>
      <c r="B11" s="2348" t="s">
        <v>2549</v>
      </c>
      <c r="C11" s="2352"/>
      <c r="D11" s="779"/>
      <c r="E11" s="2351" t="s">
        <v>2441</v>
      </c>
      <c r="F11" s="786">
        <f ca="1">'数据-取费表'!B39</f>
        <v>1.4999999999999999E-2</v>
      </c>
      <c r="G11" s="1945"/>
      <c r="H11" s="2415"/>
      <c r="I11" s="2348" t="s">
        <v>2549</v>
      </c>
      <c r="J11" s="2352"/>
      <c r="K11" s="2416"/>
      <c r="L11" s="2351" t="s">
        <v>2441</v>
      </c>
      <c r="M11" s="2345">
        <f ca="1">'数据-取费表'!B39</f>
        <v>1.4999999999999999E-2</v>
      </c>
    </row>
    <row r="12" spans="1:33" ht="18" customHeight="1" thickBot="1">
      <c r="A12" s="2390" t="s">
        <v>2443</v>
      </c>
      <c r="B12" s="2391" t="s">
        <v>2436</v>
      </c>
      <c r="C12" s="2392"/>
      <c r="D12" s="2393"/>
      <c r="E12" s="2394"/>
      <c r="F12" s="2395"/>
      <c r="G12" s="1945"/>
      <c r="H12" s="2404" t="s">
        <v>2446</v>
      </c>
      <c r="I12" s="2417" t="s">
        <v>2436</v>
      </c>
      <c r="J12" s="2418"/>
      <c r="K12" s="2393"/>
      <c r="L12" s="2394"/>
      <c r="M12" s="2407"/>
    </row>
    <row r="13" spans="1:33" ht="18" customHeight="1" thickTop="1">
      <c r="A13" s="1744">
        <v>2</v>
      </c>
      <c r="B13" s="1742" t="s">
        <v>1728</v>
      </c>
      <c r="C13" s="782">
        <f ca="1">ROUND(C29*F13,0)</f>
        <v>51549</v>
      </c>
      <c r="D13" s="1749" t="s">
        <v>2280</v>
      </c>
      <c r="E13" s="1749" t="s">
        <v>1730</v>
      </c>
      <c r="F13" s="2389">
        <f ca="1">INDIRECT("'数据-取费表'!y"&amp;$G$1)</f>
        <v>1</v>
      </c>
      <c r="G13" s="1945"/>
      <c r="H13" s="1744">
        <v>2</v>
      </c>
      <c r="I13" s="1742" t="s">
        <v>1728</v>
      </c>
      <c r="J13" s="1734">
        <f ca="1">ROUND(J14*J15,0)</f>
        <v>0</v>
      </c>
      <c r="K13" s="1736" t="s">
        <v>1729</v>
      </c>
      <c r="L13" s="2405"/>
      <c r="M13" s="2406"/>
    </row>
    <row r="14" spans="1:33" ht="18" customHeight="1">
      <c r="A14" s="1576" t="s">
        <v>1870</v>
      </c>
      <c r="B14" s="774" t="s">
        <v>637</v>
      </c>
      <c r="C14" s="794">
        <f ca="1">INDIRECT("'数据-取费表'!m"&amp;$G$1)+INDIRECT("'数据-取费表'!t"&amp;$G$1)</f>
        <v>31323</v>
      </c>
      <c r="D14" s="1893" t="s">
        <v>1731</v>
      </c>
      <c r="E14" s="1894"/>
      <c r="F14" s="795"/>
      <c r="G14" s="1945"/>
      <c r="H14" s="1577" t="s">
        <v>1816</v>
      </c>
      <c r="I14" s="2111" t="s">
        <v>2800</v>
      </c>
      <c r="J14" s="53">
        <f ca="1">C29</f>
        <v>51549</v>
      </c>
      <c r="K14" s="26"/>
      <c r="L14" s="791"/>
      <c r="M14" s="792"/>
    </row>
    <row r="15" spans="1:33" s="1947" customFormat="1" ht="18" customHeight="1" thickBot="1">
      <c r="A15" s="1576" t="s">
        <v>1871</v>
      </c>
      <c r="B15" s="774" t="s">
        <v>639</v>
      </c>
      <c r="C15" s="53">
        <f ca="1">ROUND(C14*F15,0)</f>
        <v>940</v>
      </c>
      <c r="D15" s="796" t="s">
        <v>1732</v>
      </c>
      <c r="E15" s="796" t="s">
        <v>1733</v>
      </c>
      <c r="F15" s="797">
        <f>'数据-取费表'!B33</f>
        <v>0.03</v>
      </c>
      <c r="G15" s="3257"/>
      <c r="H15" s="2404" t="s">
        <v>1875</v>
      </c>
      <c r="I15" s="2399" t="s">
        <v>1730</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1872</v>
      </c>
      <c r="B16" s="774" t="s">
        <v>642</v>
      </c>
      <c r="C16" s="53">
        <f ca="1">ROUND(INDIRECT("'数据-取费表'!m"&amp;$G$1)*F16,0)</f>
        <v>0</v>
      </c>
      <c r="D16" s="774" t="s">
        <v>1732</v>
      </c>
      <c r="E16" s="774" t="s">
        <v>1733</v>
      </c>
      <c r="F16" s="799">
        <f ca="1">IF(INDIRECT("'数据-取费表'!c"&amp;$G$1)="住宅",'数据-取费表'!B34,0)</f>
        <v>0</v>
      </c>
      <c r="G16" s="1945"/>
      <c r="H16" s="1744" t="s">
        <v>1734</v>
      </c>
      <c r="I16" s="1742" t="s">
        <v>1735</v>
      </c>
      <c r="J16" s="782">
        <f ca="1">ROUND(J17+J22+J23+J24,0)</f>
        <v>1208</v>
      </c>
      <c r="K16" s="1736" t="s">
        <v>1736</v>
      </c>
      <c r="L16" s="2339"/>
      <c r="M16" s="2344"/>
    </row>
    <row r="17" spans="1:33" s="1947" customFormat="1" ht="18" customHeight="1">
      <c r="A17" s="1576" t="s">
        <v>1873</v>
      </c>
      <c r="B17" s="774" t="s">
        <v>645</v>
      </c>
      <c r="C17" s="53">
        <f ca="1">ROUND(F17*(F43+INDIRECT("'数据-取费表'!S"&amp;$G$1))/10000,0)</f>
        <v>2136</v>
      </c>
      <c r="D17" s="774" t="s">
        <v>1737</v>
      </c>
      <c r="E17" s="774" t="s">
        <v>1738</v>
      </c>
      <c r="F17" s="56">
        <f>'数据-取费表'!B35</f>
        <v>300</v>
      </c>
      <c r="G17" s="3257"/>
      <c r="H17" s="1577" t="s">
        <v>1816</v>
      </c>
      <c r="I17" s="774" t="s">
        <v>648</v>
      </c>
      <c r="J17" s="3018">
        <f ca="1">ROUND(IF(AND(项目基本情况!B11="自然人",项目基本情况!B10="北京市"),J6*M17/(1+'数据-取费表'!C42),J18+J19+J20),0)</f>
        <v>435</v>
      </c>
      <c r="K17" s="2338" t="s">
        <v>1739</v>
      </c>
      <c r="L17" s="2337" t="s">
        <v>1740</v>
      </c>
      <c r="M17" s="3017"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1874</v>
      </c>
      <c r="B18" s="774" t="s">
        <v>651</v>
      </c>
      <c r="C18" s="53">
        <f ca="1">ROUND(C14*F18,0)</f>
        <v>470</v>
      </c>
      <c r="D18" s="774" t="s">
        <v>1732</v>
      </c>
      <c r="E18" s="774" t="s">
        <v>1733</v>
      </c>
      <c r="F18" s="799">
        <f>'数据-取费表'!B36</f>
        <v>1.4999999999999999E-2</v>
      </c>
      <c r="G18" s="3257"/>
      <c r="H18" s="1576" t="s">
        <v>1870</v>
      </c>
      <c r="I18" s="774" t="s">
        <v>1741</v>
      </c>
      <c r="J18" s="53">
        <f ca="1">ROUND(J6*M18/(1+'数据-取费表'!C42),1)</f>
        <v>0</v>
      </c>
      <c r="K18" s="2337" t="s">
        <v>1742</v>
      </c>
      <c r="L18" s="774" t="s">
        <v>1733</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1816</v>
      </c>
      <c r="B19" s="774" t="s">
        <v>654</v>
      </c>
      <c r="C19" s="53">
        <f ca="1">SUM(C14:C18)</f>
        <v>34869</v>
      </c>
      <c r="D19" s="259" t="s">
        <v>1743</v>
      </c>
      <c r="E19" s="1896"/>
      <c r="F19" s="56"/>
      <c r="G19" s="1945"/>
      <c r="H19" s="1576" t="s">
        <v>1871</v>
      </c>
      <c r="I19" s="774" t="s">
        <v>1744</v>
      </c>
      <c r="J19" s="53">
        <f ca="1">IF(K19="按租金收入计税",ROUND(J6*M19/(1+'数据-取费表'!C42),1),ROUND(C29*F33*0.7,1))</f>
        <v>433</v>
      </c>
      <c r="K19" s="800" t="s">
        <v>657</v>
      </c>
      <c r="L19" s="774" t="s">
        <v>1733</v>
      </c>
      <c r="M19" s="799">
        <f>IF(K19="按租金收入计税",'数据-取费表'!B51,'数据-取费表'!B50)</f>
        <v>1.2E-2</v>
      </c>
    </row>
    <row r="20" spans="1:33" s="1947" customFormat="1" ht="18" customHeight="1">
      <c r="A20" s="1577" t="s">
        <v>1875</v>
      </c>
      <c r="B20" s="774" t="s">
        <v>658</v>
      </c>
      <c r="C20" s="53">
        <f ca="1">ROUND(C19*F20,0)</f>
        <v>349</v>
      </c>
      <c r="D20" s="801" t="s">
        <v>1745</v>
      </c>
      <c r="E20" s="774" t="s">
        <v>1733</v>
      </c>
      <c r="F20" s="799">
        <f>'数据-取费表'!B37</f>
        <v>0.01</v>
      </c>
      <c r="G20" s="3257"/>
      <c r="H20" s="1579" t="s">
        <v>1866</v>
      </c>
      <c r="I20" s="339" t="s">
        <v>1746</v>
      </c>
      <c r="J20" s="54">
        <f ca="1">ROUND(M20*M21/10000,0)</f>
        <v>2</v>
      </c>
      <c r="K20" s="803" t="s">
        <v>1747</v>
      </c>
      <c r="L20" s="774" t="s">
        <v>1748</v>
      </c>
      <c r="M20" s="632">
        <f>'数据-取费表'!B52</f>
        <v>1.5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1876</v>
      </c>
      <c r="B21" s="774" t="s">
        <v>1749</v>
      </c>
      <c r="C21" s="53" t="s">
        <v>1750</v>
      </c>
      <c r="D21" s="801" t="s">
        <v>2281</v>
      </c>
      <c r="E21" s="774" t="s">
        <v>1751</v>
      </c>
      <c r="F21" s="799">
        <f>'数据-取费表'!B38</f>
        <v>0.02</v>
      </c>
      <c r="G21" s="3257"/>
      <c r="H21" s="2359"/>
      <c r="I21" s="783"/>
      <c r="J21" s="69"/>
      <c r="K21" s="805"/>
      <c r="L21" s="774" t="s">
        <v>1752</v>
      </c>
      <c r="M21" s="775">
        <f ca="1">INDIRECT("'数据-取费表'!r"&amp;$G$1)</f>
        <v>16179.35</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1877</v>
      </c>
      <c r="B22" s="774" t="s">
        <v>1753</v>
      </c>
      <c r="C22" s="53"/>
      <c r="D22" s="2424" t="str">
        <f>IF(F23&lt;=1,"单利计息。","复利计息。")&amp;"建造成本、管理费用、销售费用产生的利息。"</f>
        <v>复利计息。建造成本、管理费用、销售费用产生的利息。</v>
      </c>
      <c r="E22" s="1896"/>
      <c r="F22" s="56"/>
      <c r="G22" s="1945"/>
      <c r="H22" s="1577" t="s">
        <v>1875</v>
      </c>
      <c r="I22" s="774" t="s">
        <v>1754</v>
      </c>
      <c r="J22" s="53">
        <f ca="1">ROUND(J14*M22,0)</f>
        <v>773</v>
      </c>
      <c r="K22" s="2337" t="s">
        <v>1755</v>
      </c>
      <c r="L22" s="774" t="s">
        <v>1733</v>
      </c>
      <c r="M22" s="806">
        <f ca="1">INDIRECT("'数据-取费表'!Ak"&amp;$G$1)</f>
        <v>1.4999999999999999E-2</v>
      </c>
    </row>
    <row r="23" spans="1:33" s="1947" customFormat="1" ht="18" customHeight="1">
      <c r="A23" s="1576" t="s">
        <v>1817</v>
      </c>
      <c r="B23" s="774" t="s">
        <v>2511</v>
      </c>
      <c r="C23" s="53">
        <f ca="1">ROUND(IF('数据-取费表'!B22&lt;=1,(C19+C20)*F24*F23/2,(C19+C20)*(POWER((1+F24),F23/2)-1)),0)</f>
        <v>1673</v>
      </c>
      <c r="D23" s="2423" t="str">
        <f>IF(F23&lt;=1,"(建造成本+管理费用)×利率×(建设周期÷2)","(建造成本+管理费用)×((1+利率)^(建设周期÷2)-1)")</f>
        <v>(建造成本+管理费用)×((1+利率)^(建设周期÷2)-1)</v>
      </c>
      <c r="E23" s="774" t="s">
        <v>1756</v>
      </c>
      <c r="F23" s="632">
        <f>'数据-取费表'!B20</f>
        <v>2</v>
      </c>
      <c r="G23" s="3257"/>
      <c r="H23" s="1577" t="s">
        <v>1876</v>
      </c>
      <c r="I23" s="774" t="s">
        <v>671</v>
      </c>
      <c r="J23" s="53">
        <f ca="1">ROUND(J13*M23,0)</f>
        <v>0</v>
      </c>
      <c r="K23" s="2337" t="s">
        <v>1757</v>
      </c>
      <c r="L23" s="774" t="s">
        <v>1733</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1818</v>
      </c>
      <c r="B24" s="774" t="s">
        <v>1758</v>
      </c>
      <c r="C24" s="53">
        <f ca="1">ROUND(IF('数据-取费表'!B22&lt;=1,F21*F24*F23/2,F21*(POWER((1+F24),F23/2)-1)),4)</f>
        <v>1E-3</v>
      </c>
      <c r="D24" s="2423" t="str">
        <f>IF(F23&lt;=1,"销售费用×利率×(建设周期÷2)","销售费用×((1+利率)^(建设周期÷2)-1)")</f>
        <v>销售费用×((1+利率)^(建设周期÷2)-1)</v>
      </c>
      <c r="E24" s="774" t="s">
        <v>1759</v>
      </c>
      <c r="F24" s="808">
        <f ca="1">'数据-取费表'!B40</f>
        <v>4.7500000000000001E-2</v>
      </c>
      <c r="G24" s="3257"/>
      <c r="H24" s="2404" t="s">
        <v>1877</v>
      </c>
      <c r="I24" s="2399" t="s">
        <v>658</v>
      </c>
      <c r="J24" s="2397">
        <f ca="1">ROUND(J5*M24,0)</f>
        <v>0</v>
      </c>
      <c r="K24" s="2398" t="s">
        <v>1760</v>
      </c>
      <c r="L24" s="2399" t="s">
        <v>1733</v>
      </c>
      <c r="M24" s="2395">
        <f ca="1">INDIRECT("'数据-取费表'!Am"&amp;$G$1)</f>
        <v>0.01</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1826</v>
      </c>
      <c r="B25" s="774" t="s">
        <v>676</v>
      </c>
      <c r="C25" s="53"/>
      <c r="D25" s="259" t="s">
        <v>1761</v>
      </c>
      <c r="E25" s="1896"/>
      <c r="F25" s="56"/>
      <c r="G25" s="1945"/>
      <c r="H25" s="1744" t="s">
        <v>1762</v>
      </c>
      <c r="I25" s="2722" t="s">
        <v>2796</v>
      </c>
      <c r="J25" s="782">
        <f ca="1">J5-J16</f>
        <v>-1208</v>
      </c>
      <c r="K25" s="2401" t="s">
        <v>1763</v>
      </c>
      <c r="L25" s="2402"/>
      <c r="M25" s="2403"/>
    </row>
    <row r="26" spans="1:33" ht="18" customHeight="1">
      <c r="A26" s="1576" t="s">
        <v>1817</v>
      </c>
      <c r="B26" s="774" t="s">
        <v>2417</v>
      </c>
      <c r="C26" s="53">
        <f ca="1">ROUND((C19+C20)*F26,0)</f>
        <v>10565</v>
      </c>
      <c r="D26" s="801" t="s">
        <v>1764</v>
      </c>
      <c r="E26" s="785" t="s">
        <v>1765</v>
      </c>
      <c r="F26" s="784">
        <f ca="1">INDIRECT("'数据-取费表'!q"&amp;$G$1)</f>
        <v>0.3</v>
      </c>
      <c r="G26" s="1945"/>
      <c r="H26" s="2355" t="s">
        <v>1766</v>
      </c>
      <c r="I26" s="2112" t="s">
        <v>2801</v>
      </c>
      <c r="J26" s="773">
        <f ca="1">IF(J5&lt;&gt;0,ROUND(J25*(1-((1+M28)/(1+M26))^M27)/(M26-M28),0),0)</f>
        <v>0</v>
      </c>
      <c r="K26" s="803" t="s">
        <v>1767</v>
      </c>
      <c r="L26" s="774" t="s">
        <v>2399</v>
      </c>
      <c r="M26" s="784">
        <f ca="1">INDIRECT("'数据-取费表'!I"&amp;$G$1)</f>
        <v>4.4999999999999998E-2</v>
      </c>
    </row>
    <row r="27" spans="1:33" ht="18" customHeight="1">
      <c r="A27" s="1576" t="s">
        <v>1818</v>
      </c>
      <c r="B27" s="774" t="s">
        <v>678</v>
      </c>
      <c r="C27" s="53">
        <f ca="1">ROUND(F21*F26,4)</f>
        <v>6.0000000000000001E-3</v>
      </c>
      <c r="D27" s="801" t="s">
        <v>1768</v>
      </c>
      <c r="E27" s="796"/>
      <c r="F27" s="797"/>
      <c r="G27" s="1945"/>
      <c r="H27" s="2356"/>
      <c r="I27" s="777"/>
      <c r="J27" s="778"/>
      <c r="K27" s="810" t="s">
        <v>1769</v>
      </c>
      <c r="L27" s="774" t="s">
        <v>1770</v>
      </c>
      <c r="M27" s="811">
        <f ca="1">INDIRECT("'数据-取费表'!ag"&amp;$G$1)</f>
        <v>40</v>
      </c>
    </row>
    <row r="28" spans="1:33" s="1947" customFormat="1" ht="18" customHeight="1">
      <c r="A28" s="1578" t="s">
        <v>1827</v>
      </c>
      <c r="B28" s="774" t="s">
        <v>679</v>
      </c>
      <c r="C28" s="53">
        <f>ROUND(F28/(1+'数据-取费表'!C42),4)</f>
        <v>5.2400000000000002E-2</v>
      </c>
      <c r="D28" s="801" t="s">
        <v>2282</v>
      </c>
      <c r="E28" s="774" t="s">
        <v>1771</v>
      </c>
      <c r="F28" s="799">
        <f>'数据-取费表'!B41</f>
        <v>5.5000000000000007E-2</v>
      </c>
      <c r="G28" s="3257"/>
      <c r="H28" s="1744"/>
      <c r="I28" s="781"/>
      <c r="J28" s="782"/>
      <c r="K28" s="805"/>
      <c r="L28" s="774" t="s">
        <v>1772</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1878</v>
      </c>
      <c r="B29" s="2394" t="s">
        <v>2283</v>
      </c>
      <c r="C29" s="2397">
        <f ca="1">ROUND((C19+C20+C23+C26)/(1-F21-C24-C27-C28),0)</f>
        <v>51549</v>
      </c>
      <c r="D29" s="2398"/>
      <c r="E29" s="2399"/>
      <c r="F29" s="2400"/>
      <c r="G29" s="3257"/>
      <c r="H29" s="812" t="s">
        <v>1773</v>
      </c>
      <c r="I29" s="813" t="s">
        <v>1774</v>
      </c>
      <c r="J29" s="814">
        <f ca="1">ROUND(J26/(1+F40)^F41,0)</f>
        <v>0</v>
      </c>
      <c r="K29" s="815" t="s">
        <v>1775</v>
      </c>
      <c r="L29" s="816"/>
      <c r="M29" s="817">
        <f ca="1">INDIRECT("'数据-取费表'!k"&amp;$G$1)</f>
        <v>71189.150999999998</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1879</v>
      </c>
      <c r="B30" s="1742" t="s">
        <v>1776</v>
      </c>
      <c r="C30" s="782">
        <f ca="1">ROUND(C31+C36+C37+C38,0)</f>
        <v>2018</v>
      </c>
      <c r="D30" s="1736" t="s">
        <v>1777</v>
      </c>
      <c r="E30" s="2339"/>
      <c r="F30" s="2344"/>
      <c r="G30" s="1945"/>
      <c r="H30" s="1948"/>
      <c r="I30" s="1949"/>
      <c r="J30" s="1950"/>
      <c r="K30" s="1951"/>
      <c r="L30" s="1952"/>
      <c r="M30" s="1953"/>
    </row>
    <row r="31" spans="1:33" ht="18" customHeight="1">
      <c r="A31" s="1577" t="s">
        <v>1816</v>
      </c>
      <c r="B31" s="774" t="s">
        <v>648</v>
      </c>
      <c r="C31" s="3018">
        <f ca="1">ROUND(IF(AND(项目基本情况!B11="自然人",项目基本情况!B10="北京市"),C6*F31/(1+'数据-取费表'!C42),C32+C33+C34),0)</f>
        <v>1050</v>
      </c>
      <c r="D31" s="1893" t="s">
        <v>1778</v>
      </c>
      <c r="E31" s="1891" t="s">
        <v>1779</v>
      </c>
      <c r="F31" s="3017" t="str">
        <f>IF(项目基本情况!B11="企业","——",IF('数据-取费表'!B10="住宅",IF(F6*F7*F8/12/(1+'数据-取费表'!F30)&gt;100000,4%,2.5%),IF(F6*F7*F8/12/(1+'数据-取费表'!F30)&gt;100000,12%,7%)))</f>
        <v>——</v>
      </c>
      <c r="G31" s="1945"/>
      <c r="H31" s="3254" t="s">
        <v>2985</v>
      </c>
      <c r="I31" s="1949"/>
      <c r="J31" s="1950"/>
      <c r="K31" s="1951"/>
      <c r="L31" s="1952"/>
      <c r="M31" s="1953"/>
    </row>
    <row r="32" spans="1:33" ht="18" customHeight="1">
      <c r="A32" s="1576" t="s">
        <v>1817</v>
      </c>
      <c r="B32" s="774" t="s">
        <v>1780</v>
      </c>
      <c r="C32" s="53">
        <f ca="1">ROUND(C6*F32/(1+'数据-取费表'!C42),1)</f>
        <v>612.5</v>
      </c>
      <c r="D32" s="1891" t="s">
        <v>1781</v>
      </c>
      <c r="E32" s="774" t="s">
        <v>1782</v>
      </c>
      <c r="F32" s="799">
        <f>'数据-取费表'!B41</f>
        <v>5.5000000000000007E-2</v>
      </c>
      <c r="G32" s="1945"/>
      <c r="H32" s="1954"/>
      <c r="I32" s="1955"/>
      <c r="J32" s="1956"/>
      <c r="K32" s="1957"/>
      <c r="L32" s="1958"/>
      <c r="M32" s="1959"/>
    </row>
    <row r="33" spans="1:18" ht="18" customHeight="1">
      <c r="A33" s="1576" t="s">
        <v>1818</v>
      </c>
      <c r="B33" s="774" t="s">
        <v>1783</v>
      </c>
      <c r="C33" s="53">
        <f ca="1">IF(D33="按租金收入计税",ROUND(C6*F33/(1+'数据-取费表'!C42),1),IF(D33="按房产原值计税",ROUND(C29*F33*0.7,1),INDIRECT("'数据-取费表'!Aj"&amp;$G$1)))</f>
        <v>433</v>
      </c>
      <c r="D33" s="800" t="s">
        <v>1668</v>
      </c>
      <c r="E33" s="774" t="s">
        <v>1782</v>
      </c>
      <c r="F33" s="799">
        <f>IF(D33="按租金收入计税",'数据-取费表'!B51,'数据-取费表'!B50)</f>
        <v>1.2E-2</v>
      </c>
      <c r="G33" s="1945"/>
      <c r="H33" s="1960"/>
      <c r="I33" s="1960"/>
      <c r="J33" s="1960"/>
      <c r="K33" s="1961"/>
      <c r="L33" s="1960"/>
      <c r="M33" s="1960"/>
    </row>
    <row r="34" spans="1:18" ht="18" customHeight="1">
      <c r="A34" s="1579" t="s">
        <v>1819</v>
      </c>
      <c r="B34" s="339" t="s">
        <v>1784</v>
      </c>
      <c r="C34" s="54">
        <f>ROUND(F34*F35/10000,1)</f>
        <v>4.9000000000000004</v>
      </c>
      <c r="D34" s="803" t="s">
        <v>1785</v>
      </c>
      <c r="E34" s="774" t="s">
        <v>1786</v>
      </c>
      <c r="F34" s="632">
        <f>'数据-取费表'!B52</f>
        <v>1.5</v>
      </c>
      <c r="G34" s="1945"/>
      <c r="H34" s="1948"/>
      <c r="I34" s="824" t="s">
        <v>1799</v>
      </c>
      <c r="J34" s="825"/>
      <c r="K34" s="1963"/>
      <c r="L34" s="1962"/>
      <c r="M34" s="1962"/>
    </row>
    <row r="35" spans="1:18" ht="18" customHeight="1">
      <c r="A35" s="804"/>
      <c r="B35" s="783"/>
      <c r="C35" s="69"/>
      <c r="D35" s="805"/>
      <c r="E35" s="774" t="s">
        <v>1787</v>
      </c>
      <c r="F35" s="3375">
        <f>'数据-汇总表'!D3</f>
        <v>32358.705000000002</v>
      </c>
      <c r="G35" s="1945"/>
      <c r="H35" s="1948"/>
      <c r="I35" s="826" t="s">
        <v>1800</v>
      </c>
      <c r="J35" s="827">
        <f ca="1">ROUND(C13*J36,0)</f>
        <v>0</v>
      </c>
      <c r="K35" s="1961"/>
      <c r="L35" s="1960"/>
      <c r="M35" s="1960"/>
    </row>
    <row r="36" spans="1:18" ht="18" customHeight="1">
      <c r="A36" s="1577" t="s">
        <v>1875</v>
      </c>
      <c r="B36" s="774" t="s">
        <v>1788</v>
      </c>
      <c r="C36" s="53">
        <f ca="1">ROUND(C29*F36,1)</f>
        <v>773.2</v>
      </c>
      <c r="D36" s="1891" t="s">
        <v>1789</v>
      </c>
      <c r="E36" s="774" t="s">
        <v>1782</v>
      </c>
      <c r="F36" s="806">
        <f ca="1">INDIRECT("'数据-取费表'!Ak"&amp;$G$1)</f>
        <v>1.4999999999999999E-2</v>
      </c>
      <c r="G36" s="1945"/>
      <c r="H36" s="1960"/>
      <c r="I36" s="828" t="s">
        <v>1801</v>
      </c>
      <c r="J36" s="829">
        <f ca="1">INDIRECT("'数据-取费表'!j"&amp;$G$1)</f>
        <v>0</v>
      </c>
      <c r="K36" s="1964"/>
      <c r="L36" s="1960"/>
      <c r="M36" s="1960"/>
    </row>
    <row r="37" spans="1:18" ht="18" customHeight="1">
      <c r="A37" s="1577" t="s">
        <v>1876</v>
      </c>
      <c r="B37" s="774" t="s">
        <v>671</v>
      </c>
      <c r="C37" s="53">
        <f ca="1">ROUND(C13*F37,1)</f>
        <v>77.3</v>
      </c>
      <c r="D37" s="1891" t="s">
        <v>1790</v>
      </c>
      <c r="E37" s="774" t="s">
        <v>1782</v>
      </c>
      <c r="F37" s="807">
        <f ca="1">INDIRECT("'数据-取费表'!Al"&amp;$G$1)</f>
        <v>1.5E-3</v>
      </c>
      <c r="G37" s="1945"/>
      <c r="H37" s="1960"/>
      <c r="I37" s="830" t="s">
        <v>1802</v>
      </c>
      <c r="J37" s="831"/>
      <c r="K37" s="1964"/>
      <c r="L37" s="1960"/>
      <c r="M37" s="1960"/>
    </row>
    <row r="38" spans="1:18" ht="18" customHeight="1" thickBot="1">
      <c r="A38" s="2404" t="s">
        <v>1877</v>
      </c>
      <c r="B38" s="2399" t="s">
        <v>658</v>
      </c>
      <c r="C38" s="2397">
        <f ca="1">ROUND(C5*F38,1)</f>
        <v>117.1</v>
      </c>
      <c r="D38" s="2398" t="s">
        <v>1791</v>
      </c>
      <c r="E38" s="2399" t="s">
        <v>1782</v>
      </c>
      <c r="F38" s="2395">
        <f ca="1">INDIRECT("'数据-取费表'!Am"&amp;$G$1)</f>
        <v>0.01</v>
      </c>
      <c r="G38" s="1945"/>
      <c r="H38" s="1960"/>
      <c r="I38" s="832" t="s">
        <v>1803</v>
      </c>
      <c r="J38" s="833"/>
      <c r="K38" s="1965"/>
      <c r="L38" s="1960"/>
      <c r="M38" s="1960"/>
    </row>
    <row r="39" spans="1:18" ht="24.6" customHeight="1" thickTop="1">
      <c r="A39" s="1744" t="s">
        <v>1880</v>
      </c>
      <c r="B39" s="2722" t="s">
        <v>2796</v>
      </c>
      <c r="C39" s="782">
        <f ca="1">C5-C30</f>
        <v>9690</v>
      </c>
      <c r="D39" s="2401" t="s">
        <v>1792</v>
      </c>
      <c r="E39" s="2402"/>
      <c r="F39" s="2403"/>
      <c r="G39" s="1945"/>
      <c r="H39" s="1960"/>
      <c r="I39" s="826" t="s">
        <v>1804</v>
      </c>
      <c r="J39" s="834">
        <f ca="1">ROUND(J35/C39,3)</f>
        <v>0</v>
      </c>
      <c r="K39" s="1965"/>
      <c r="L39" s="1960"/>
      <c r="M39" s="1960"/>
    </row>
    <row r="40" spans="1:18" ht="18" customHeight="1">
      <c r="A40" s="771" t="s">
        <v>1881</v>
      </c>
      <c r="B40" s="2112" t="s">
        <v>2284</v>
      </c>
      <c r="C40" s="773">
        <f ca="1">ROUND(C39*(1-((1+F42)/(1+F40))^F41)/(F40-F42),0)</f>
        <v>178311</v>
      </c>
      <c r="D40" s="803" t="s">
        <v>1793</v>
      </c>
      <c r="E40" s="774" t="s">
        <v>2399</v>
      </c>
      <c r="F40" s="784">
        <f ca="1">INDIRECT("'数据-取费表'!I"&amp;$G$1)</f>
        <v>4.4999999999999998E-2</v>
      </c>
      <c r="G40" s="1945"/>
      <c r="H40" s="1945"/>
      <c r="I40" s="826" t="s">
        <v>1805</v>
      </c>
      <c r="J40" s="834">
        <f ca="1">1-J39</f>
        <v>1</v>
      </c>
      <c r="K40" s="1965"/>
      <c r="L40" s="1945"/>
      <c r="M40" s="1945"/>
    </row>
    <row r="41" spans="1:18" ht="18" customHeight="1">
      <c r="A41" s="776"/>
      <c r="B41" s="777"/>
      <c r="C41" s="778"/>
      <c r="D41" s="810" t="s">
        <v>1794</v>
      </c>
      <c r="E41" s="774" t="s">
        <v>2919</v>
      </c>
      <c r="F41" s="811">
        <f ca="1">IF(INDIRECT("'数据-取费表'!af"&amp;$G$1)=0,INDIRECT("'数据-取费表'!ae"&amp;$G$1),INDIRECT("'数据-取费表'!af"&amp;$G$1))</f>
        <v>40</v>
      </c>
      <c r="G41" s="1945"/>
      <c r="H41" s="1900"/>
      <c r="I41" s="832" t="s">
        <v>1806</v>
      </c>
      <c r="J41" s="835"/>
      <c r="K41" s="1964"/>
      <c r="L41" s="1900"/>
      <c r="M41" s="1900"/>
    </row>
    <row r="42" spans="1:18" ht="18" customHeight="1">
      <c r="A42" s="780"/>
      <c r="B42" s="781"/>
      <c r="C42" s="782"/>
      <c r="D42" s="805"/>
      <c r="E42" s="774" t="s">
        <v>1795</v>
      </c>
      <c r="F42" s="784">
        <f ca="1">INDIRECT("'数据-取费表'!v"&amp;$G$1)</f>
        <v>0</v>
      </c>
      <c r="G42" s="1945"/>
      <c r="H42" s="1900"/>
      <c r="I42" s="836" t="s">
        <v>1807</v>
      </c>
      <c r="J42" s="834">
        <f ca="1">ROUND(C13/C40,3)</f>
        <v>0.28899999999999998</v>
      </c>
      <c r="K42" s="1964"/>
      <c r="L42" s="1900"/>
      <c r="M42" s="1900"/>
    </row>
    <row r="43" spans="1:18" ht="18" customHeight="1" thickBot="1">
      <c r="A43" s="812" t="s">
        <v>1773</v>
      </c>
      <c r="B43" s="813" t="s">
        <v>1796</v>
      </c>
      <c r="C43" s="814">
        <f ca="1">ROUND(C40*10000/F43,0)</f>
        <v>25047</v>
      </c>
      <c r="D43" s="815" t="s">
        <v>1797</v>
      </c>
      <c r="E43" s="816" t="s">
        <v>1798</v>
      </c>
      <c r="F43" s="817">
        <f ca="1">INDIRECT("'数据-取费表'!k"&amp;$G$1)</f>
        <v>71189.150999999998</v>
      </c>
      <c r="G43" s="1945"/>
      <c r="H43" s="1900"/>
      <c r="I43" s="836" t="s">
        <v>1808</v>
      </c>
      <c r="J43" s="837">
        <f ca="1">1-J42</f>
        <v>0.71100000000000008</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2278</v>
      </c>
      <c r="B46" s="1967"/>
      <c r="C46" s="2426">
        <f ca="1">C67-C40</f>
        <v>-202031</v>
      </c>
      <c r="D46" s="3258"/>
      <c r="E46" s="3258"/>
      <c r="F46" s="3258"/>
      <c r="I46" s="2233" t="s">
        <v>2323</v>
      </c>
      <c r="J46" s="2234"/>
      <c r="K46" s="2235"/>
      <c r="L46" s="2810" t="str">
        <f ca="1">IF(OR(M47="住宅",D1="土地（套用方法）"),0,IF(L48&gt;J51,L60,J60))</f>
        <v>0</v>
      </c>
      <c r="M46" s="3259"/>
      <c r="O46" s="2249" t="s">
        <v>2390</v>
      </c>
      <c r="P46" s="1526"/>
      <c r="Q46" s="1534"/>
      <c r="R46" s="1526"/>
    </row>
    <row r="47" spans="1:18" s="1942" customFormat="1" ht="18" customHeight="1" thickBot="1">
      <c r="A47" s="2227">
        <v>1</v>
      </c>
      <c r="B47" s="2228" t="s">
        <v>627</v>
      </c>
      <c r="C47" s="2426">
        <f ca="1">C48+C52+C54</f>
        <v>0</v>
      </c>
      <c r="D47" s="3258"/>
      <c r="E47" s="3258"/>
      <c r="F47" s="3258"/>
      <c r="I47" s="2801" t="s">
        <v>2324</v>
      </c>
      <c r="J47" s="2236" t="s">
        <v>3077</v>
      </c>
      <c r="K47" s="2807" t="s">
        <v>2329</v>
      </c>
      <c r="L47" s="2811">
        <f ca="1">INDIRECT("'数据-取费表'!d"&amp;$G$1)</f>
        <v>40</v>
      </c>
      <c r="M47" s="1534" t="str">
        <f>IF(ISNUMBER(FIND("住宅",C1)),"住宅","非住宅")</f>
        <v>非住宅</v>
      </c>
      <c r="O47" s="2250" t="s">
        <v>2355</v>
      </c>
      <c r="P47" s="2251" t="s">
        <v>2356</v>
      </c>
      <c r="Q47" s="2252" t="s">
        <v>2357</v>
      </c>
      <c r="R47" s="2251" t="s">
        <v>2358</v>
      </c>
    </row>
    <row r="48" spans="1:18" s="1942" customFormat="1" ht="18" customHeight="1" thickBot="1">
      <c r="A48" s="2484" t="s">
        <v>2513</v>
      </c>
      <c r="B48" s="2485" t="s">
        <v>2514</v>
      </c>
      <c r="C48" s="2229">
        <f ca="1">ROUND(F48*F50*F49*(1-F51)/10000,0)</f>
        <v>0</v>
      </c>
      <c r="D48" s="2230" t="s">
        <v>628</v>
      </c>
      <c r="E48" s="2231" t="s">
        <v>2279</v>
      </c>
      <c r="F48" s="2232"/>
      <c r="G48" s="1972"/>
      <c r="I48" s="2798" t="s">
        <v>2325</v>
      </c>
      <c r="J48" s="2237" t="s">
        <v>2330</v>
      </c>
      <c r="K48" s="2808" t="s">
        <v>2331</v>
      </c>
      <c r="L48" s="1822">
        <f ca="1">INDIRECT("'数据-取费表'!f"&amp;$G$1)</f>
        <v>40</v>
      </c>
      <c r="M48" s="3259"/>
      <c r="O48" s="2253" t="s">
        <v>2359</v>
      </c>
      <c r="P48" s="2254" t="s">
        <v>2385</v>
      </c>
      <c r="Q48" s="2255">
        <f ca="1">C40+J29</f>
        <v>178311</v>
      </c>
      <c r="R48" s="2254" t="s">
        <v>2360</v>
      </c>
    </row>
    <row r="49" spans="1:18" s="1942" customFormat="1" ht="18" customHeight="1" thickBot="1">
      <c r="A49" s="776"/>
      <c r="B49" s="777"/>
      <c r="C49" s="778"/>
      <c r="D49" s="779"/>
      <c r="E49" s="774" t="s">
        <v>1725</v>
      </c>
      <c r="F49" s="775">
        <f ca="1">F7</f>
        <v>71189.150999999998</v>
      </c>
      <c r="G49" s="1972"/>
      <c r="H49" s="1975"/>
      <c r="I49" s="2798" t="s">
        <v>2326</v>
      </c>
      <c r="J49" s="2238">
        <v>2023</v>
      </c>
      <c r="K49" s="2809" t="s">
        <v>2332</v>
      </c>
      <c r="L49" s="2239"/>
      <c r="M49" s="3259"/>
      <c r="O49" s="2253" t="s">
        <v>2361</v>
      </c>
      <c r="P49" s="2254" t="s">
        <v>2386</v>
      </c>
      <c r="Q49" s="2255" t="str">
        <f ca="1">J60</f>
        <v>0</v>
      </c>
      <c r="R49" s="2254" t="s">
        <v>2362</v>
      </c>
    </row>
    <row r="50" spans="1:18" s="1942" customFormat="1" ht="18" customHeight="1" thickBot="1">
      <c r="A50" s="776"/>
      <c r="B50" s="777"/>
      <c r="C50" s="778"/>
      <c r="D50" s="779"/>
      <c r="E50" s="774" t="s">
        <v>1726</v>
      </c>
      <c r="F50" s="775">
        <f ca="1">F8</f>
        <v>365</v>
      </c>
      <c r="G50" s="1977"/>
      <c r="H50" s="1975"/>
      <c r="I50" s="2798" t="s">
        <v>2327</v>
      </c>
      <c r="J50" s="2805">
        <f>SUMPRODUCT((I63:I65=J47)*(J62:L62=J48)*(J63:L65))</f>
        <v>60</v>
      </c>
      <c r="K50" s="2809" t="s">
        <v>2333</v>
      </c>
      <c r="L50" s="2239"/>
      <c r="M50" s="3259"/>
      <c r="O50" s="2256" t="s">
        <v>2363</v>
      </c>
      <c r="P50" s="2254" t="s">
        <v>2387</v>
      </c>
      <c r="Q50" s="2255">
        <f ca="1">C29</f>
        <v>51549</v>
      </c>
      <c r="R50" s="2254" t="s">
        <v>2360</v>
      </c>
    </row>
    <row r="51" spans="1:18" s="1942" customFormat="1" ht="18" customHeight="1" thickBot="1">
      <c r="A51" s="776"/>
      <c r="B51" s="777"/>
      <c r="C51" s="778"/>
      <c r="D51" s="779"/>
      <c r="E51" s="774" t="s">
        <v>632</v>
      </c>
      <c r="F51" s="2226"/>
      <c r="H51" s="1975"/>
      <c r="I51" s="2802" t="s">
        <v>2328</v>
      </c>
      <c r="J51" s="2806">
        <f>IF(J49="",J50,J49+J50-YEAR('数据-取费表'!B2))</f>
        <v>62</v>
      </c>
      <c r="K51" s="2798" t="s">
        <v>2334</v>
      </c>
      <c r="L51" s="2812">
        <f ca="1">ROUND(-PV(INDIRECT("'数据-取费表'!h"&amp;$G$1),J51,(C39-C13*J36),0),0)</f>
        <v>271323</v>
      </c>
      <c r="M51" s="3259"/>
      <c r="O51" s="2256" t="s">
        <v>2364</v>
      </c>
      <c r="P51" s="2254" t="s">
        <v>2365</v>
      </c>
      <c r="Q51" s="2257" t="e">
        <f ca="1">J58</f>
        <v>#VALUE!</v>
      </c>
      <c r="R51" s="2258"/>
    </row>
    <row r="52" spans="1:18" s="1942" customFormat="1" ht="18" customHeight="1" thickBot="1">
      <c r="A52" s="771" t="s">
        <v>2512</v>
      </c>
      <c r="B52" s="2347" t="s">
        <v>2435</v>
      </c>
      <c r="C52" s="789">
        <f ca="1">ROUND(IF(F52="押一",C48/12*F11,IF(F52="押二",C48/12*2*F11,IF(F52="押三",C48/12*3*F11,C53*F11))),0)</f>
        <v>0</v>
      </c>
      <c r="D52" s="2354" t="s">
        <v>2929</v>
      </c>
      <c r="E52" s="2351" t="s">
        <v>2440</v>
      </c>
      <c r="F52" s="2465"/>
      <c r="I52" s="2803" t="s">
        <v>2401</v>
      </c>
      <c r="J52" s="2240"/>
      <c r="K52" s="2803" t="s">
        <v>2400</v>
      </c>
      <c r="L52" s="2240"/>
      <c r="M52" s="3259"/>
      <c r="O52" s="2256" t="s">
        <v>2366</v>
      </c>
      <c r="P52" s="2254" t="s">
        <v>2367</v>
      </c>
      <c r="Q52" s="2257">
        <f>J52</f>
        <v>0</v>
      </c>
      <c r="R52" s="2258"/>
    </row>
    <row r="53" spans="1:18" s="1942" customFormat="1" ht="39.75" customHeight="1" thickBot="1">
      <c r="A53" s="776"/>
      <c r="B53" s="2348" t="s">
        <v>2549</v>
      </c>
      <c r="C53" s="2352"/>
      <c r="D53" s="2354"/>
      <c r="E53" s="2351"/>
      <c r="F53" s="790"/>
      <c r="I53" s="2804" t="s">
        <v>2932</v>
      </c>
      <c r="J53" s="2857">
        <f ca="1">IF(M47="住宅",IF(D1="——",MAX(J51,L48),MAX(J51,L48-'数据-取费表'!B20)),IF(D1="——",MIN(J51,L48),MIN(J51,L48-'数据-取费表'!B20)))</f>
        <v>40</v>
      </c>
      <c r="K53" s="3655" t="s">
        <v>2921</v>
      </c>
      <c r="L53" s="3656"/>
      <c r="M53" s="3259"/>
      <c r="O53" s="2256" t="s">
        <v>2368</v>
      </c>
      <c r="P53" s="2254" t="s">
        <v>2369</v>
      </c>
      <c r="Q53" s="2255">
        <f ca="1">J53</f>
        <v>40</v>
      </c>
      <c r="R53" s="2254" t="s">
        <v>2370</v>
      </c>
    </row>
    <row r="54" spans="1:18" s="1942" customFormat="1" ht="18" customHeight="1" thickBot="1">
      <c r="A54" s="2390" t="s">
        <v>2443</v>
      </c>
      <c r="B54" s="2391" t="s">
        <v>2436</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59"/>
      <c r="O54" s="2253" t="s">
        <v>2371</v>
      </c>
      <c r="P54" s="2254" t="s">
        <v>2388</v>
      </c>
      <c r="Q54" s="2255">
        <f ca="1">Q48+Q49</f>
        <v>178311</v>
      </c>
      <c r="R54" s="2258" t="s">
        <v>2372</v>
      </c>
    </row>
    <row r="55" spans="1:18" s="1942" customFormat="1" ht="18" customHeight="1" thickTop="1" thickBot="1">
      <c r="A55" s="787">
        <v>2</v>
      </c>
      <c r="B55" s="788" t="s">
        <v>636</v>
      </c>
      <c r="C55" s="789">
        <f ca="1">C13</f>
        <v>51549</v>
      </c>
      <c r="D55" s="785"/>
      <c r="E55" s="785"/>
      <c r="F55" s="790"/>
      <c r="I55" s="2815" t="s">
        <v>2335</v>
      </c>
      <c r="J55" s="2787" t="e">
        <f ca="1">ROUND(IF(J47="钢混",J57/J50,1-(1-2%)*(J50-J57)/J50),3)</f>
        <v>#VALUE!</v>
      </c>
      <c r="K55" s="2816" t="s">
        <v>2336</v>
      </c>
      <c r="L55" s="2241"/>
      <c r="M55" s="3259"/>
      <c r="O55" s="2259" t="s">
        <v>2391</v>
      </c>
      <c r="P55" s="1526"/>
      <c r="Q55" s="1534"/>
      <c r="R55" s="1526"/>
    </row>
    <row r="56" spans="1:18" s="1942" customFormat="1" ht="42.75" customHeight="1" thickBot="1">
      <c r="A56" s="1578"/>
      <c r="B56" s="2111" t="s">
        <v>2285</v>
      </c>
      <c r="C56" s="53">
        <f ca="1">C29</f>
        <v>51549</v>
      </c>
      <c r="D56" s="2481"/>
      <c r="E56" s="774"/>
      <c r="F56" s="799"/>
      <c r="I56" s="2817" t="s">
        <v>2337</v>
      </c>
      <c r="J56" s="2827" t="s">
        <v>1666</v>
      </c>
      <c r="K56" s="2798" t="s">
        <v>2342</v>
      </c>
      <c r="L56" s="1822" t="str">
        <f ca="1">IF(L48&lt;J51,"——",L48-J51)</f>
        <v>——</v>
      </c>
      <c r="M56" s="3259"/>
      <c r="O56" s="2250" t="s">
        <v>2355</v>
      </c>
      <c r="P56" s="2251" t="s">
        <v>2356</v>
      </c>
      <c r="Q56" s="2252" t="s">
        <v>2357</v>
      </c>
      <c r="R56" s="2251" t="s">
        <v>2358</v>
      </c>
    </row>
    <row r="57" spans="1:18" s="1942" customFormat="1" ht="28.5" customHeight="1" thickBot="1">
      <c r="A57" s="787" t="s">
        <v>1734</v>
      </c>
      <c r="B57" s="788" t="s">
        <v>643</v>
      </c>
      <c r="C57" s="789">
        <f ca="1">ROUND(C58+C63+C64+C65,0)</f>
        <v>1289</v>
      </c>
      <c r="D57" s="26" t="s">
        <v>1736</v>
      </c>
      <c r="E57" s="2482"/>
      <c r="F57" s="56"/>
      <c r="I57" s="2818" t="s">
        <v>2338</v>
      </c>
      <c r="J57" s="2819" t="str">
        <f ca="1">IF(OR(M47="住宅",J51&lt;L48,J56="是"),"——",J51-L48)</f>
        <v>——</v>
      </c>
      <c r="K57" s="2798" t="s">
        <v>2343</v>
      </c>
      <c r="L57" s="1822" t="str">
        <f ca="1">IF(L48&lt;J51,"——",IF(L55="比较法",L49,IF(L55="基准地价",L50,L51)))</f>
        <v>——</v>
      </c>
      <c r="M57" s="3259"/>
      <c r="O57" s="2253" t="s">
        <v>2359</v>
      </c>
      <c r="P57" s="2254" t="s">
        <v>2389</v>
      </c>
      <c r="Q57" s="2255">
        <f ca="1">C40+J29</f>
        <v>178311</v>
      </c>
      <c r="R57" s="2254" t="s">
        <v>2360</v>
      </c>
    </row>
    <row r="58" spans="1:18" s="1942" customFormat="1" ht="28.5" customHeight="1" thickBot="1">
      <c r="A58" s="1577" t="s">
        <v>1810</v>
      </c>
      <c r="B58" s="774" t="s">
        <v>648</v>
      </c>
      <c r="C58" s="3018">
        <f ca="1">ROUND(IF(AND(项目基本情况!B11="自然人",项目基本情况!B10="北京市"),C48*F58/(1+'数据-取费表'!C42),C59+C60+C61),0)</f>
        <v>438</v>
      </c>
      <c r="D58" s="2480" t="s">
        <v>649</v>
      </c>
      <c r="E58" s="2481" t="s">
        <v>682</v>
      </c>
      <c r="F58" s="3017" t="str">
        <f>IF(项目基本情况!B11="企业","——",IF('数据-取费表'!B10="住宅",IF(F48*F49*F50/12/(1+'数据-取费表'!F30)&gt;100000,4%,2.5%),IF(F48*F49*F50/12/(1+'数据-取费表'!F30)&gt;100000,12%,7%)))</f>
        <v>——</v>
      </c>
      <c r="I58" s="2818" t="s">
        <v>2339</v>
      </c>
      <c r="J58" s="2788" t="e">
        <f ca="1">IF(J55&lt;0.4,0.4,J55)</f>
        <v>#VALUE!</v>
      </c>
      <c r="K58" s="2798" t="s">
        <v>2344</v>
      </c>
      <c r="L58" s="1822" t="e">
        <f ca="1">ROUND(POWER(1+L52,L47-L48)*(POWER(1+L52,L48)-1)/(POWER(1+L52,L47)-1),4)</f>
        <v>#DIV/0!</v>
      </c>
      <c r="M58" s="3259"/>
      <c r="O58" s="2253" t="s">
        <v>2361</v>
      </c>
      <c r="P58" s="2254" t="s">
        <v>2392</v>
      </c>
      <c r="Q58" s="2255">
        <f ca="1">L60</f>
        <v>0</v>
      </c>
      <c r="R58" s="2258" t="s">
        <v>2394</v>
      </c>
    </row>
    <row r="59" spans="1:18" s="1942" customFormat="1" ht="28.5" customHeight="1" thickBot="1">
      <c r="A59" s="1576" t="s">
        <v>1817</v>
      </c>
      <c r="B59" s="774" t="s">
        <v>652</v>
      </c>
      <c r="C59" s="53">
        <f ca="1">ROUND(C47*F59/1.05,1)</f>
        <v>0</v>
      </c>
      <c r="D59" s="2481" t="s">
        <v>1742</v>
      </c>
      <c r="E59" s="774" t="s">
        <v>1733</v>
      </c>
      <c r="F59" s="799">
        <f t="shared" ref="F59:F65" si="0">F32</f>
        <v>5.5000000000000007E-2</v>
      </c>
      <c r="I59" s="2818" t="s">
        <v>2340</v>
      </c>
      <c r="J59" s="2819" t="str">
        <f ca="1">IF(OR(M47="住宅",J51&lt;L48,J56="是"),"——",ROUND(C29*J58,0))</f>
        <v>——</v>
      </c>
      <c r="K59" s="2798"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59"/>
      <c r="O59" s="2256" t="s">
        <v>2363</v>
      </c>
      <c r="P59" s="2254" t="s">
        <v>2393</v>
      </c>
      <c r="Q59" s="2255">
        <f>IF(L55="比较法",L49,IF(L55="基准地价",L50,0))</f>
        <v>0</v>
      </c>
      <c r="R59" s="2254" t="s">
        <v>2360</v>
      </c>
    </row>
    <row r="60" spans="1:18" s="1942" customFormat="1" ht="18" customHeight="1" thickBot="1">
      <c r="A60" s="1576" t="s">
        <v>1818</v>
      </c>
      <c r="B60" s="774" t="s">
        <v>1744</v>
      </c>
      <c r="C60" s="53">
        <f ca="1">IF(D60="按租金收入计税",ROUND(C48*F60/(1+'数据-取费表'!C42),1),IF(D60="按房产原值计税",ROUND(C56*F60*0.7,1),INDIRECT("'数据-取费表'!Aj"&amp;$G$1)))</f>
        <v>433</v>
      </c>
      <c r="D60" s="2481" t="str">
        <f>D33</f>
        <v>按房产原值计税</v>
      </c>
      <c r="E60" s="774" t="s">
        <v>1733</v>
      </c>
      <c r="F60" s="799">
        <f t="shared" si="0"/>
        <v>1.2E-2</v>
      </c>
      <c r="I60" s="2820" t="s">
        <v>2341</v>
      </c>
      <c r="J60" s="2821" t="str">
        <f ca="1">IF(OR(M47="住宅",J51&lt;L48,J56="是"),"0",ROUND(J59/(1+J52)^J53,0))</f>
        <v>0</v>
      </c>
      <c r="K60" s="2822" t="s">
        <v>2346</v>
      </c>
      <c r="L60" s="2821">
        <f ca="1">IF(OR(M47="住宅",L48&lt;J51),0,ROUND(L57*(L58/L59-1),0))</f>
        <v>0</v>
      </c>
      <c r="M60" s="3259"/>
      <c r="O60" s="2256" t="s">
        <v>2364</v>
      </c>
      <c r="P60" s="2254" t="s">
        <v>2373</v>
      </c>
      <c r="Q60" s="2257">
        <f>L52</f>
        <v>0</v>
      </c>
      <c r="R60" s="2258"/>
    </row>
    <row r="61" spans="1:18" s="1942" customFormat="1" ht="18" customHeight="1" thickBot="1">
      <c r="A61" s="1579" t="s">
        <v>1819</v>
      </c>
      <c r="B61" s="339" t="s">
        <v>660</v>
      </c>
      <c r="C61" s="54">
        <f>ROUND(F61*F62/10000,1)</f>
        <v>4.9000000000000004</v>
      </c>
      <c r="D61" s="803" t="s">
        <v>661</v>
      </c>
      <c r="E61" s="774" t="s">
        <v>662</v>
      </c>
      <c r="F61" s="632">
        <f t="shared" si="0"/>
        <v>1.5</v>
      </c>
      <c r="K61" s="1968"/>
      <c r="O61" s="2256" t="s">
        <v>2366</v>
      </c>
      <c r="P61" s="2254" t="s">
        <v>2374</v>
      </c>
      <c r="Q61" s="2255" t="e">
        <f ca="1">L58</f>
        <v>#DIV/0!</v>
      </c>
      <c r="R61" s="2258" t="s">
        <v>2375</v>
      </c>
    </row>
    <row r="62" spans="1:18" s="1942" customFormat="1" ht="15.75" thickBot="1">
      <c r="A62" s="804"/>
      <c r="B62" s="783"/>
      <c r="C62" s="69"/>
      <c r="D62" s="805"/>
      <c r="E62" s="774" t="s">
        <v>666</v>
      </c>
      <c r="F62" s="775">
        <f t="shared" si="0"/>
        <v>32358.705000000002</v>
      </c>
      <c r="I62" s="2823" t="s">
        <v>2347</v>
      </c>
      <c r="J62" s="2824" t="s">
        <v>2348</v>
      </c>
      <c r="K62" s="2824" t="s">
        <v>2349</v>
      </c>
      <c r="L62" s="2824" t="s">
        <v>2330</v>
      </c>
      <c r="M62" s="2825" t="s">
        <v>2900</v>
      </c>
      <c r="O62" s="2256" t="s">
        <v>2368</v>
      </c>
      <c r="P62" s="2254" t="str">
        <f>K59</f>
        <v>建筑物剩余耐用年限下的土地年期修正系数Kn</v>
      </c>
      <c r="Q62" s="2255" t="e">
        <f ca="1">L59</f>
        <v>#DIV/0!</v>
      </c>
      <c r="R62" s="2258" t="s">
        <v>2377</v>
      </c>
    </row>
    <row r="63" spans="1:18" s="1942" customFormat="1" ht="15.75" thickBot="1">
      <c r="A63" s="1577" t="s">
        <v>1875</v>
      </c>
      <c r="B63" s="774" t="s">
        <v>668</v>
      </c>
      <c r="C63" s="53">
        <f ca="1">ROUND(C56*F63,1)</f>
        <v>773.2</v>
      </c>
      <c r="D63" s="2481" t="s">
        <v>1789</v>
      </c>
      <c r="E63" s="774" t="s">
        <v>1733</v>
      </c>
      <c r="F63" s="806">
        <f t="shared" ca="1" si="0"/>
        <v>1.4999999999999999E-2</v>
      </c>
      <c r="I63" s="2823" t="s">
        <v>2350</v>
      </c>
      <c r="J63" s="2824">
        <v>70</v>
      </c>
      <c r="K63" s="2824">
        <v>50</v>
      </c>
      <c r="L63" s="2824">
        <v>80</v>
      </c>
      <c r="M63" s="2826">
        <v>0.02</v>
      </c>
      <c r="O63" s="2253" t="s">
        <v>2371</v>
      </c>
      <c r="P63" s="2254" t="s">
        <v>2388</v>
      </c>
      <c r="Q63" s="2255">
        <f ca="1">Q57+Q58</f>
        <v>178311</v>
      </c>
      <c r="R63" s="2258" t="s">
        <v>2372</v>
      </c>
    </row>
    <row r="64" spans="1:18" s="1942" customFormat="1" ht="16.5" thickBot="1">
      <c r="A64" s="1577" t="s">
        <v>1876</v>
      </c>
      <c r="B64" s="774" t="s">
        <v>671</v>
      </c>
      <c r="C64" s="53">
        <f ca="1">ROUND(C55*F64,1)</f>
        <v>77.3</v>
      </c>
      <c r="D64" s="2481" t="s">
        <v>672</v>
      </c>
      <c r="E64" s="774" t="s">
        <v>1733</v>
      </c>
      <c r="F64" s="807">
        <f t="shared" ca="1" si="0"/>
        <v>1.5E-3</v>
      </c>
      <c r="I64" s="2823" t="s">
        <v>2351</v>
      </c>
      <c r="J64" s="2824">
        <v>50</v>
      </c>
      <c r="K64" s="2824">
        <v>35</v>
      </c>
      <c r="L64" s="2824">
        <v>60</v>
      </c>
      <c r="M64" s="835">
        <v>0</v>
      </c>
      <c r="O64" s="2259" t="s">
        <v>2395</v>
      </c>
      <c r="P64" s="1526"/>
      <c r="Q64" s="1534"/>
      <c r="R64" s="1526"/>
    </row>
    <row r="65" spans="1:18" s="1942" customFormat="1" ht="15.75" thickBot="1">
      <c r="A65" s="1577" t="s">
        <v>1877</v>
      </c>
      <c r="B65" s="774" t="s">
        <v>658</v>
      </c>
      <c r="C65" s="53">
        <f ca="1">ROUND(C47*F65,1)</f>
        <v>0</v>
      </c>
      <c r="D65" s="2481" t="s">
        <v>675</v>
      </c>
      <c r="E65" s="774" t="s">
        <v>1733</v>
      </c>
      <c r="F65" s="784">
        <f t="shared" ca="1" si="0"/>
        <v>0.01</v>
      </c>
      <c r="I65" s="2823" t="s">
        <v>2352</v>
      </c>
      <c r="J65" s="2824">
        <v>40</v>
      </c>
      <c r="K65" s="2824">
        <v>30</v>
      </c>
      <c r="L65" s="2824">
        <v>50</v>
      </c>
      <c r="M65" s="2826">
        <v>0.02</v>
      </c>
      <c r="O65" s="2250" t="s">
        <v>2355</v>
      </c>
      <c r="P65" s="2251" t="s">
        <v>2356</v>
      </c>
      <c r="Q65" s="2252" t="s">
        <v>2357</v>
      </c>
      <c r="R65" s="2251" t="s">
        <v>2358</v>
      </c>
    </row>
    <row r="66" spans="1:18" s="1942" customFormat="1" ht="24.75" thickBot="1">
      <c r="A66" s="787" t="s">
        <v>1762</v>
      </c>
      <c r="B66" s="2723" t="s">
        <v>2796</v>
      </c>
      <c r="C66" s="789">
        <f ca="1">C47-C57</f>
        <v>-1289</v>
      </c>
      <c r="D66" s="2480" t="s">
        <v>692</v>
      </c>
      <c r="E66" s="2479"/>
      <c r="F66" s="809"/>
      <c r="K66" s="1968"/>
      <c r="O66" s="2253" t="s">
        <v>2359</v>
      </c>
      <c r="P66" s="2254" t="s">
        <v>2389</v>
      </c>
      <c r="Q66" s="2255">
        <f ca="1">C40+J29</f>
        <v>178311</v>
      </c>
      <c r="R66" s="2254" t="s">
        <v>2360</v>
      </c>
    </row>
    <row r="67" spans="1:18" s="1942" customFormat="1" ht="20.25" thickBot="1">
      <c r="A67" s="771" t="s">
        <v>1766</v>
      </c>
      <c r="B67" s="2112" t="s">
        <v>2284</v>
      </c>
      <c r="C67" s="773">
        <f ca="1">ROUND(C66*(1-((1+F69)/(1+F67))^F68)/(F67-F69),0)</f>
        <v>-23720</v>
      </c>
      <c r="D67" s="803" t="s">
        <v>696</v>
      </c>
      <c r="E67" s="774" t="s">
        <v>697</v>
      </c>
      <c r="F67" s="784">
        <f ca="1">F40</f>
        <v>4.4999999999999998E-2</v>
      </c>
      <c r="K67" s="1968"/>
      <c r="O67" s="2253" t="s">
        <v>2361</v>
      </c>
      <c r="P67" s="2254" t="s">
        <v>2392</v>
      </c>
      <c r="Q67" s="2255">
        <f ca="1">L60</f>
        <v>0</v>
      </c>
      <c r="R67" s="2258" t="s">
        <v>2394</v>
      </c>
    </row>
    <row r="68" spans="1:18" ht="21.75" thickBot="1">
      <c r="A68" s="776"/>
      <c r="B68" s="777"/>
      <c r="C68" s="778"/>
      <c r="D68" s="810" t="s">
        <v>1794</v>
      </c>
      <c r="E68" s="774" t="s">
        <v>1770</v>
      </c>
      <c r="F68" s="811">
        <f ca="1">F41</f>
        <v>40</v>
      </c>
      <c r="O68" s="2256" t="s">
        <v>2363</v>
      </c>
      <c r="P68" s="2254" t="s">
        <v>2393</v>
      </c>
      <c r="Q68" s="2260">
        <f ca="1">L51</f>
        <v>271323</v>
      </c>
      <c r="R68" s="2261" t="s">
        <v>2396</v>
      </c>
    </row>
    <row r="69" spans="1:18" ht="20.25" thickBot="1">
      <c r="A69" s="780"/>
      <c r="B69" s="781"/>
      <c r="C69" s="782"/>
      <c r="D69" s="805"/>
      <c r="E69" s="774" t="s">
        <v>702</v>
      </c>
      <c r="F69" s="2226"/>
      <c r="O69" s="2256" t="s">
        <v>2364</v>
      </c>
      <c r="P69" s="2262" t="s">
        <v>2378</v>
      </c>
      <c r="Q69" s="2255">
        <f ca="1">ROUND(Q70-Q71*Q72,0)</f>
        <v>9690</v>
      </c>
      <c r="R69" s="2258"/>
    </row>
    <row r="70" spans="1:18" ht="15.75" thickBot="1">
      <c r="A70" s="812" t="s">
        <v>1773</v>
      </c>
      <c r="B70" s="813" t="s">
        <v>1796</v>
      </c>
      <c r="C70" s="814">
        <f ca="1">ROUND(C67*10000/F70,0)</f>
        <v>-3332</v>
      </c>
      <c r="D70" s="815" t="s">
        <v>1797</v>
      </c>
      <c r="E70" s="816" t="s">
        <v>1798</v>
      </c>
      <c r="F70" s="817">
        <f ca="1">F43</f>
        <v>71189.150999999998</v>
      </c>
      <c r="O70" s="2256" t="s">
        <v>2379</v>
      </c>
      <c r="P70" s="2262" t="s">
        <v>2380</v>
      </c>
      <c r="Q70" s="2255">
        <f ca="1">C39</f>
        <v>9690</v>
      </c>
      <c r="R70" s="2254" t="s">
        <v>2360</v>
      </c>
    </row>
    <row r="71" spans="1:18" ht="15.75" thickBot="1">
      <c r="O71" s="2256" t="s">
        <v>2381</v>
      </c>
      <c r="P71" s="2262" t="s">
        <v>2382</v>
      </c>
      <c r="Q71" s="2255">
        <f ca="1">C13</f>
        <v>51549</v>
      </c>
      <c r="R71" s="2254" t="s">
        <v>2360</v>
      </c>
    </row>
    <row r="72" spans="1:18" ht="15.75" thickBot="1">
      <c r="O72" s="2256" t="s">
        <v>2383</v>
      </c>
      <c r="P72" s="2262" t="s">
        <v>2384</v>
      </c>
      <c r="Q72" s="2257">
        <f ca="1">J36</f>
        <v>0</v>
      </c>
      <c r="R72" s="2258"/>
    </row>
    <row r="73" spans="1:18" ht="15.75" thickBot="1">
      <c r="O73" s="2256" t="s">
        <v>2366</v>
      </c>
      <c r="P73" s="2254" t="s">
        <v>2373</v>
      </c>
      <c r="Q73" s="2257">
        <f>L52</f>
        <v>0</v>
      </c>
      <c r="R73" s="2258"/>
    </row>
    <row r="74" spans="1:18" ht="20.25" thickBot="1">
      <c r="O74" s="2256" t="s">
        <v>2368</v>
      </c>
      <c r="P74" s="2254" t="s">
        <v>2374</v>
      </c>
      <c r="Q74" s="2255" t="e">
        <f ca="1">L58</f>
        <v>#DIV/0!</v>
      </c>
      <c r="R74" s="2258" t="s">
        <v>2375</v>
      </c>
    </row>
    <row r="75" spans="1:18" ht="15.75" thickBot="1">
      <c r="O75" s="2256" t="s">
        <v>2397</v>
      </c>
      <c r="P75" s="2254" t="str">
        <f>K59</f>
        <v>建筑物剩余耐用年限下的土地年期修正系数Kn</v>
      </c>
      <c r="Q75" s="2255" t="e">
        <f ca="1">L59</f>
        <v>#DIV/0!</v>
      </c>
      <c r="R75" s="2258" t="s">
        <v>2377</v>
      </c>
    </row>
    <row r="76" spans="1:18" ht="15.75" thickBot="1">
      <c r="O76" s="2253" t="s">
        <v>2371</v>
      </c>
      <c r="P76" s="2254" t="s">
        <v>2388</v>
      </c>
      <c r="Q76" s="2255">
        <f ca="1">Q66+Q67</f>
        <v>178311</v>
      </c>
      <c r="R76" s="2258" t="s">
        <v>2372</v>
      </c>
    </row>
  </sheetData>
  <sheetProtection formatCells="0" formatColumns="0" formatRows="0"/>
  <mergeCells count="3">
    <mergeCell ref="K53:L53"/>
    <mergeCell ref="B6:B9"/>
    <mergeCell ref="I6:I9"/>
  </mergeCells>
  <phoneticPr fontId="3" type="noConversion"/>
  <conditionalFormatting sqref="K55">
    <cfRule type="expression" dxfId="128" priority="7">
      <formula>$L$48&gt;$J$51</formula>
    </cfRule>
  </conditionalFormatting>
  <conditionalFormatting sqref="I55">
    <cfRule type="expression" dxfId="127" priority="8">
      <formula>$J$51&gt;$L$48</formula>
    </cfRule>
  </conditionalFormatting>
  <conditionalFormatting sqref="I60">
    <cfRule type="expression" dxfId="126" priority="6">
      <formula>$J$51&gt;$L$48</formula>
    </cfRule>
  </conditionalFormatting>
  <conditionalFormatting sqref="K60">
    <cfRule type="expression" dxfId="125" priority="5">
      <formula>$L$48&gt;$J$51</formula>
    </cfRule>
  </conditionalFormatting>
  <conditionalFormatting sqref="C11">
    <cfRule type="expression" dxfId="124" priority="4">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I38"/>
  <sheetViews>
    <sheetView zoomScale="80" zoomScaleNormal="80" workbookViewId="0">
      <selection activeCell="A7" sqref="A7"/>
    </sheetView>
  </sheetViews>
  <sheetFormatPr defaultRowHeight="13.5"/>
  <cols>
    <col min="1" max="1" width="10.5" customWidth="1"/>
    <col min="2" max="2" width="12.875" customWidth="1"/>
    <col min="3" max="3" width="8.75" customWidth="1"/>
  </cols>
  <sheetData>
    <row r="1" spans="1:9" ht="14.25">
      <c r="A1" s="3673" t="s">
        <v>2447</v>
      </c>
      <c r="B1" s="3674"/>
      <c r="C1" s="3675"/>
      <c r="D1" s="3676">
        <f>SUM(I10,I15,I20,I21,I23)</f>
        <v>0</v>
      </c>
      <c r="E1" s="3676"/>
      <c r="F1" s="3676"/>
      <c r="G1" s="3676"/>
      <c r="H1" s="3676"/>
      <c r="I1" s="3677"/>
    </row>
    <row r="2" spans="1:9">
      <c r="A2" s="3663" t="s">
        <v>2448</v>
      </c>
      <c r="B2" s="3664" t="s">
        <v>2449</v>
      </c>
      <c r="C2" s="3664"/>
      <c r="D2" s="2360" t="s">
        <v>2450</v>
      </c>
      <c r="E2" s="2360" t="s">
        <v>2451</v>
      </c>
      <c r="F2" s="2360" t="s">
        <v>2452</v>
      </c>
      <c r="G2" s="2360" t="s">
        <v>2453</v>
      </c>
      <c r="H2" s="2360" t="s">
        <v>2454</v>
      </c>
      <c r="I2" s="2361" t="s">
        <v>2455</v>
      </c>
    </row>
    <row r="3" spans="1:9">
      <c r="A3" s="3663"/>
      <c r="B3" s="3664" t="s">
        <v>2456</v>
      </c>
      <c r="C3" s="3664"/>
      <c r="D3" s="2362"/>
      <c r="E3" s="2360"/>
      <c r="F3" s="2363"/>
      <c r="G3" s="2363"/>
      <c r="H3" s="2364"/>
      <c r="I3" s="2365">
        <f>ROUND(D3*E3*F3*G3*H3/10000,0)</f>
        <v>0</v>
      </c>
    </row>
    <row r="4" spans="1:9">
      <c r="A4" s="3663"/>
      <c r="B4" s="3664" t="s">
        <v>2457</v>
      </c>
      <c r="C4" s="3664"/>
      <c r="D4" s="2362"/>
      <c r="E4" s="2360"/>
      <c r="F4" s="2363"/>
      <c r="G4" s="2363"/>
      <c r="H4" s="2364"/>
      <c r="I4" s="2365">
        <f t="shared" ref="I4:I9" si="0">ROUND(D4*E4*F4*G4*H4/10000,0)</f>
        <v>0</v>
      </c>
    </row>
    <row r="5" spans="1:9">
      <c r="A5" s="3663"/>
      <c r="B5" s="3664" t="s">
        <v>2458</v>
      </c>
      <c r="C5" s="3664"/>
      <c r="D5" s="2362"/>
      <c r="E5" s="2360"/>
      <c r="F5" s="2363"/>
      <c r="G5" s="2363"/>
      <c r="H5" s="2364"/>
      <c r="I5" s="2365">
        <f t="shared" si="0"/>
        <v>0</v>
      </c>
    </row>
    <row r="6" spans="1:9">
      <c r="A6" s="3663"/>
      <c r="B6" s="3664" t="s">
        <v>2459</v>
      </c>
      <c r="C6" s="3664"/>
      <c r="D6" s="2362"/>
      <c r="E6" s="2360"/>
      <c r="F6" s="2363"/>
      <c r="G6" s="2363"/>
      <c r="H6" s="2364"/>
      <c r="I6" s="2365">
        <f t="shared" si="0"/>
        <v>0</v>
      </c>
    </row>
    <row r="7" spans="1:9">
      <c r="A7" s="3663"/>
      <c r="B7" s="3664" t="s">
        <v>2460</v>
      </c>
      <c r="C7" s="3664"/>
      <c r="D7" s="2362"/>
      <c r="E7" s="2360"/>
      <c r="F7" s="2363"/>
      <c r="G7" s="2363"/>
      <c r="H7" s="2364"/>
      <c r="I7" s="2365">
        <f t="shared" si="0"/>
        <v>0</v>
      </c>
    </row>
    <row r="8" spans="1:9">
      <c r="A8" s="3663"/>
      <c r="B8" s="3664" t="s">
        <v>2461</v>
      </c>
      <c r="C8" s="3664"/>
      <c r="D8" s="2362"/>
      <c r="E8" s="2360"/>
      <c r="F8" s="2363"/>
      <c r="G8" s="2363"/>
      <c r="H8" s="2364"/>
      <c r="I8" s="2365">
        <f t="shared" si="0"/>
        <v>0</v>
      </c>
    </row>
    <row r="9" spans="1:9">
      <c r="A9" s="3663"/>
      <c r="B9" s="3664" t="s">
        <v>2462</v>
      </c>
      <c r="C9" s="3664"/>
      <c r="D9" s="2362"/>
      <c r="E9" s="2360"/>
      <c r="F9" s="2363"/>
      <c r="G9" s="2363"/>
      <c r="H9" s="2364"/>
      <c r="I9" s="2365">
        <f t="shared" si="0"/>
        <v>0</v>
      </c>
    </row>
    <row r="10" spans="1:9">
      <c r="A10" s="3663"/>
      <c r="B10" s="3665" t="s">
        <v>2463</v>
      </c>
      <c r="C10" s="3665"/>
      <c r="D10" s="2366">
        <v>527</v>
      </c>
      <c r="E10" s="2366" t="e">
        <f>ROUND(D1*10000/D10/H9,0)</f>
        <v>#DIV/0!</v>
      </c>
      <c r="F10" s="2367"/>
      <c r="G10" s="2367"/>
      <c r="H10" s="2368"/>
      <c r="I10" s="2369">
        <f>SUM(I3:I9)</f>
        <v>0</v>
      </c>
    </row>
    <row r="11" spans="1:9" ht="14.25">
      <c r="A11" s="3663" t="s">
        <v>2464</v>
      </c>
      <c r="B11" s="3664" t="s">
        <v>2465</v>
      </c>
      <c r="C11" s="3664"/>
      <c r="D11" s="2362" t="s">
        <v>2466</v>
      </c>
      <c r="E11" s="2362" t="s">
        <v>2467</v>
      </c>
      <c r="F11" s="2363" t="s">
        <v>2468</v>
      </c>
      <c r="G11" s="2363" t="s">
        <v>2469</v>
      </c>
      <c r="H11" s="2370" t="s">
        <v>2470</v>
      </c>
      <c r="I11" s="2361" t="s">
        <v>2471</v>
      </c>
    </row>
    <row r="12" spans="1:9">
      <c r="A12" s="3663"/>
      <c r="B12" s="3664" t="s">
        <v>2472</v>
      </c>
      <c r="C12" s="3664"/>
      <c r="D12" s="2362"/>
      <c r="E12" s="2362"/>
      <c r="F12" s="2363"/>
      <c r="G12" s="2364"/>
      <c r="H12" s="2371"/>
      <c r="I12" s="2361">
        <f>ROUND(D12*E12*F12*G12/10000,0)</f>
        <v>0</v>
      </c>
    </row>
    <row r="13" spans="1:9">
      <c r="A13" s="3663"/>
      <c r="B13" s="3664" t="s">
        <v>2473</v>
      </c>
      <c r="C13" s="3664"/>
      <c r="D13" s="2362"/>
      <c r="E13" s="2362"/>
      <c r="F13" s="2363"/>
      <c r="G13" s="2364"/>
      <c r="H13" s="2371"/>
      <c r="I13" s="2361">
        <f>ROUND(D13*E13*F13*G13/10000,0)</f>
        <v>0</v>
      </c>
    </row>
    <row r="14" spans="1:9">
      <c r="A14" s="3663"/>
      <c r="B14" s="3664" t="s">
        <v>2474</v>
      </c>
      <c r="C14" s="3664"/>
      <c r="D14" s="2362"/>
      <c r="E14" s="2362"/>
      <c r="F14" s="2363"/>
      <c r="G14" s="2364"/>
      <c r="H14" s="2371"/>
      <c r="I14" s="2361">
        <f>ROUND(D14*E14*F14*G14/10000,0)</f>
        <v>0</v>
      </c>
    </row>
    <row r="15" spans="1:9">
      <c r="A15" s="3663"/>
      <c r="B15" s="3665" t="s">
        <v>2463</v>
      </c>
      <c r="C15" s="3665"/>
      <c r="D15" s="2366"/>
      <c r="E15" s="2366">
        <f>SUM(E12:E14)</f>
        <v>0</v>
      </c>
      <c r="F15" s="2367"/>
      <c r="G15" s="2364"/>
      <c r="H15" s="2371"/>
      <c r="I15" s="2372">
        <f>SUM(I12:I14)</f>
        <v>0</v>
      </c>
    </row>
    <row r="16" spans="1:9" ht="24">
      <c r="A16" s="3663" t="s">
        <v>2475</v>
      </c>
      <c r="B16" s="3664" t="s">
        <v>2476</v>
      </c>
      <c r="C16" s="3664"/>
      <c r="D16" s="2362" t="s">
        <v>2477</v>
      </c>
      <c r="E16" s="2373" t="s">
        <v>2478</v>
      </c>
      <c r="F16" s="2363" t="s">
        <v>2479</v>
      </c>
      <c r="G16" s="2364" t="s">
        <v>2469</v>
      </c>
      <c r="H16" s="2370" t="s">
        <v>2470</v>
      </c>
      <c r="I16" s="2361" t="s">
        <v>2471</v>
      </c>
    </row>
    <row r="17" spans="1:9" ht="14.25">
      <c r="A17" s="3663"/>
      <c r="B17" s="3664" t="s">
        <v>2480</v>
      </c>
      <c r="C17" s="3664"/>
      <c r="D17" s="2362"/>
      <c r="E17" s="2362"/>
      <c r="F17" s="2363"/>
      <c r="G17" s="2364"/>
      <c r="H17" s="2374"/>
      <c r="I17" s="2375">
        <f>ROUND(D17*E17*F17*G17/10000,0)</f>
        <v>0</v>
      </c>
    </row>
    <row r="18" spans="1:9" ht="14.25">
      <c r="A18" s="3663"/>
      <c r="B18" s="3664" t="s">
        <v>2481</v>
      </c>
      <c r="C18" s="3664"/>
      <c r="D18" s="2362"/>
      <c r="E18" s="2362"/>
      <c r="F18" s="2363"/>
      <c r="G18" s="2364"/>
      <c r="H18" s="2374"/>
      <c r="I18" s="2375">
        <f>ROUND(D18*E18*F18*G18/10000,0)</f>
        <v>0</v>
      </c>
    </row>
    <row r="19" spans="1:9" ht="14.25">
      <c r="A19" s="3663"/>
      <c r="B19" s="3664" t="s">
        <v>2482</v>
      </c>
      <c r="C19" s="3664"/>
      <c r="D19" s="2362"/>
      <c r="E19" s="2362"/>
      <c r="F19" s="2363"/>
      <c r="G19" s="2364"/>
      <c r="H19" s="2374"/>
      <c r="I19" s="2375">
        <f>ROUND(D19*E19*F19*G19/10000,0)</f>
        <v>0</v>
      </c>
    </row>
    <row r="20" spans="1:9">
      <c r="A20" s="3663"/>
      <c r="B20" s="3665" t="s">
        <v>2463</v>
      </c>
      <c r="C20" s="3665"/>
      <c r="D20" s="2366">
        <f>SUM(D17:D19)</f>
        <v>0</v>
      </c>
      <c r="E20" s="2366"/>
      <c r="F20" s="2367"/>
      <c r="G20" s="2364"/>
      <c r="H20" s="2371"/>
      <c r="I20" s="2372">
        <f>SUM(I17:I19)</f>
        <v>0</v>
      </c>
    </row>
    <row r="21" spans="1:9">
      <c r="A21" s="3663" t="s">
        <v>2483</v>
      </c>
      <c r="B21" s="3666"/>
      <c r="C21" s="3666"/>
      <c r="D21" s="3666"/>
      <c r="E21" s="3666"/>
      <c r="F21" s="3666"/>
      <c r="G21" s="3666"/>
      <c r="H21" s="2376">
        <v>0.1</v>
      </c>
      <c r="I21" s="2369">
        <f>ROUND(I10*H21,0)</f>
        <v>0</v>
      </c>
    </row>
    <row r="22" spans="1:9" ht="14.25">
      <c r="A22" s="3667" t="s">
        <v>2484</v>
      </c>
      <c r="B22" s="3668"/>
      <c r="C22" s="3669"/>
      <c r="D22" s="2377" t="s">
        <v>2485</v>
      </c>
      <c r="E22" s="2377" t="s">
        <v>2486</v>
      </c>
      <c r="F22" s="2378" t="s">
        <v>2487</v>
      </c>
      <c r="G22" s="2378" t="s">
        <v>2488</v>
      </c>
      <c r="H22" s="2370" t="s">
        <v>2489</v>
      </c>
      <c r="I22" s="2361" t="s">
        <v>2490</v>
      </c>
    </row>
    <row r="23" spans="1:9" ht="14.25" thickBot="1">
      <c r="A23" s="3670"/>
      <c r="B23" s="3671"/>
      <c r="C23" s="3672"/>
      <c r="D23" s="2379"/>
      <c r="E23" s="2379"/>
      <c r="F23" s="2379"/>
      <c r="G23" s="2380"/>
      <c r="H23" s="2381"/>
      <c r="I23" s="2382">
        <f>ROUND(E23*D23*F23*(1-G23)/10000,0)</f>
        <v>0</v>
      </c>
    </row>
    <row r="26" spans="1:9">
      <c r="A26" s="2383" t="s">
        <v>2491</v>
      </c>
      <c r="B26" s="2383"/>
      <c r="C26" s="2383"/>
      <c r="D26" s="2383"/>
      <c r="E26" s="3660">
        <f>C27-C30-C31-C32</f>
        <v>0</v>
      </c>
      <c r="F26" s="3660"/>
      <c r="G26" s="3660"/>
      <c r="H26" s="2755" t="s">
        <v>2817</v>
      </c>
    </row>
    <row r="27" spans="1:9">
      <c r="A27" s="2384">
        <v>1</v>
      </c>
      <c r="B27" s="2385" t="s">
        <v>2492</v>
      </c>
      <c r="C27" s="2385"/>
      <c r="D27" s="2385"/>
      <c r="E27" s="3661"/>
      <c r="F27" s="3661"/>
      <c r="G27" s="3661"/>
    </row>
    <row r="28" spans="1:9">
      <c r="A28" s="2386" t="s">
        <v>2493</v>
      </c>
      <c r="B28" s="2385" t="s">
        <v>2494</v>
      </c>
      <c r="C28" s="2385"/>
      <c r="D28" s="2385"/>
      <c r="E28" s="3661"/>
      <c r="F28" s="3661"/>
      <c r="G28" s="3661"/>
    </row>
    <row r="29" spans="1:9">
      <c r="A29" s="2386" t="s">
        <v>2495</v>
      </c>
      <c r="B29" s="2385" t="s">
        <v>2436</v>
      </c>
      <c r="C29" s="2385"/>
      <c r="D29" s="2385"/>
      <c r="E29" s="2385" t="s">
        <v>2496</v>
      </c>
      <c r="F29" s="2385"/>
      <c r="G29" s="2385"/>
    </row>
    <row r="30" spans="1:9">
      <c r="A30" s="2384">
        <v>2</v>
      </c>
      <c r="B30" s="2385" t="s">
        <v>2497</v>
      </c>
      <c r="C30" s="2385">
        <f>C27*D30</f>
        <v>0</v>
      </c>
      <c r="D30" s="2387">
        <v>0.2</v>
      </c>
      <c r="E30" s="2385" t="s">
        <v>2498</v>
      </c>
      <c r="F30" s="2385"/>
      <c r="G30" s="2385"/>
    </row>
    <row r="31" spans="1:9">
      <c r="A31" s="2384">
        <v>3</v>
      </c>
      <c r="B31" s="2385" t="s">
        <v>2499</v>
      </c>
      <c r="C31" s="2385">
        <f>C25*D31</f>
        <v>0</v>
      </c>
      <c r="D31" s="2387">
        <v>0.15</v>
      </c>
      <c r="E31" s="2385" t="s">
        <v>2500</v>
      </c>
      <c r="F31" s="2385"/>
      <c r="G31" s="2385"/>
    </row>
    <row r="32" spans="1:9">
      <c r="A32" s="2384">
        <v>4</v>
      </c>
      <c r="B32" s="2385" t="s">
        <v>2501</v>
      </c>
      <c r="C32" s="2385">
        <f>C27*D32</f>
        <v>0</v>
      </c>
      <c r="D32" s="2387">
        <v>0.05</v>
      </c>
      <c r="E32" s="3662"/>
      <c r="F32" s="3662"/>
      <c r="G32" s="3662"/>
    </row>
    <row r="33" spans="1:7" hidden="1">
      <c r="A33" s="3657" t="s">
        <v>2502</v>
      </c>
      <c r="B33" s="3658"/>
      <c r="C33" s="3658"/>
      <c r="D33" s="3659"/>
      <c r="E33" s="3660"/>
      <c r="F33" s="3660"/>
      <c r="G33" s="3660"/>
    </row>
    <row r="34" spans="1:7" hidden="1">
      <c r="A34" s="2388">
        <v>1</v>
      </c>
      <c r="B34" s="2385" t="s">
        <v>2503</v>
      </c>
      <c r="C34" s="2385"/>
      <c r="D34" s="2385"/>
      <c r="E34" s="3661"/>
      <c r="F34" s="3661"/>
      <c r="G34" s="3661"/>
    </row>
    <row r="35" spans="1:7" hidden="1">
      <c r="A35" s="2388">
        <v>2</v>
      </c>
      <c r="B35" s="2385" t="s">
        <v>2504</v>
      </c>
      <c r="C35" s="2385"/>
      <c r="D35" s="2385"/>
      <c r="E35" s="3661"/>
      <c r="F35" s="3661"/>
      <c r="G35" s="3661"/>
    </row>
    <row r="36" spans="1:7" hidden="1">
      <c r="A36" s="2388">
        <v>3</v>
      </c>
      <c r="B36" s="2385" t="s">
        <v>2505</v>
      </c>
      <c r="C36" s="2385"/>
      <c r="D36" s="2385"/>
      <c r="E36" s="3661"/>
      <c r="F36" s="3661"/>
      <c r="G36" s="3661"/>
    </row>
    <row r="37" spans="1:7" hidden="1">
      <c r="A37" s="2388">
        <v>4</v>
      </c>
      <c r="B37" s="2385" t="s">
        <v>2506</v>
      </c>
      <c r="C37" s="2385"/>
      <c r="D37" s="2385"/>
      <c r="E37" s="3661"/>
      <c r="F37" s="3661"/>
      <c r="G37" s="3661"/>
    </row>
    <row r="38" spans="1:7" hidden="1">
      <c r="A38" s="3657" t="s">
        <v>2507</v>
      </c>
      <c r="B38" s="3658"/>
      <c r="C38" s="3658"/>
      <c r="D38" s="3659"/>
      <c r="E38" s="3660"/>
      <c r="F38" s="3660"/>
      <c r="G38" s="366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A7" sqref="A7"/>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595</v>
      </c>
      <c r="B1" s="734"/>
      <c r="C1" s="2063"/>
      <c r="D1" s="2063"/>
      <c r="E1" s="2063"/>
      <c r="F1" s="2063"/>
      <c r="G1" s="1990"/>
    </row>
    <row r="2" spans="1:25" s="1942" customFormat="1" ht="18" customHeight="1">
      <c r="A2" s="417" t="s">
        <v>459</v>
      </c>
      <c r="B2" s="419">
        <f ca="1">C23</f>
        <v>0</v>
      </c>
      <c r="C2" s="3264"/>
      <c r="D2" s="3264"/>
      <c r="E2" s="3264"/>
      <c r="F2" s="3264"/>
      <c r="G2" s="3264"/>
    </row>
    <row r="3" spans="1:25" s="1942" customFormat="1" ht="18" customHeight="1">
      <c r="A3" s="1330" t="s">
        <v>1671</v>
      </c>
      <c r="B3" s="419">
        <f ca="1">ROUND(B2*10000/'数据-汇总表'!E3,0)</f>
        <v>0</v>
      </c>
      <c r="C3" s="3264"/>
      <c r="D3" s="3264"/>
      <c r="E3" s="3264"/>
      <c r="F3" s="3264"/>
      <c r="G3" s="3264"/>
    </row>
    <row r="4" spans="1:25" s="1942" customFormat="1" ht="18" customHeight="1">
      <c r="A4" s="420" t="s">
        <v>460</v>
      </c>
      <c r="B4" s="421">
        <f ca="1">ROUND(B2*10000/'数据-汇总表'!D3,0)</f>
        <v>0</v>
      </c>
      <c r="C4" s="3217"/>
      <c r="D4" s="3264"/>
      <c r="E4" s="3264"/>
      <c r="F4" s="3264"/>
      <c r="G4" s="3264"/>
    </row>
    <row r="5" spans="1:25" s="1942" customFormat="1" ht="18" customHeight="1" thickBot="1">
      <c r="A5" s="423"/>
      <c r="B5" s="424">
        <f ca="1">ROUND(B2/('数据-汇总表'!D3/666.67),0)</f>
        <v>0</v>
      </c>
      <c r="C5" s="425" t="s">
        <v>461</v>
      </c>
      <c r="D5" s="3264"/>
      <c r="E5" s="3264"/>
      <c r="F5" s="3264"/>
      <c r="G5" s="3264"/>
    </row>
    <row r="6" spans="1:25" s="2064" customFormat="1" ht="13.5" customHeight="1">
      <c r="A6" s="735"/>
      <c r="B6" s="736" t="s">
        <v>596</v>
      </c>
      <c r="C6" s="737" t="s">
        <v>597</v>
      </c>
      <c r="D6" s="737" t="s">
        <v>598</v>
      </c>
      <c r="E6" s="738" t="s">
        <v>599</v>
      </c>
      <c r="F6" s="738" t="s">
        <v>600</v>
      </c>
      <c r="G6" s="3263" t="s">
        <v>2986</v>
      </c>
    </row>
    <row r="7" spans="1:25" s="2064" customFormat="1" ht="13.5" customHeight="1">
      <c r="A7" s="2323">
        <v>1</v>
      </c>
      <c r="B7" s="739" t="s">
        <v>601</v>
      </c>
      <c r="C7" s="740">
        <f>C8+C9</f>
        <v>0</v>
      </c>
      <c r="D7" s="740"/>
      <c r="E7" s="741"/>
      <c r="F7" s="741"/>
      <c r="G7" s="2332"/>
    </row>
    <row r="8" spans="1:25" s="2064" customFormat="1" ht="13.5" customHeight="1">
      <c r="A8" s="2323" t="s">
        <v>2418</v>
      </c>
      <c r="B8" s="2326" t="s">
        <v>2420</v>
      </c>
      <c r="C8" s="3267">
        <f t="shared" ref="C8:C9" si="0">ROUND(D8*E8/10000,0)</f>
        <v>0</v>
      </c>
      <c r="D8" s="3267">
        <v>0</v>
      </c>
      <c r="E8" s="3268">
        <v>0</v>
      </c>
      <c r="F8" s="741"/>
      <c r="G8" s="742"/>
    </row>
    <row r="9" spans="1:25" s="2064" customFormat="1" ht="13.5" customHeight="1">
      <c r="A9" s="2323" t="s">
        <v>2419</v>
      </c>
      <c r="B9" s="2326" t="s">
        <v>2421</v>
      </c>
      <c r="C9" s="3267">
        <f t="shared" si="0"/>
        <v>0</v>
      </c>
      <c r="D9" s="3267">
        <v>0</v>
      </c>
      <c r="E9" s="3268">
        <v>0</v>
      </c>
      <c r="F9" s="741"/>
      <c r="G9" s="742"/>
    </row>
    <row r="10" spans="1:25" s="2064" customFormat="1" ht="36">
      <c r="A10" s="2323">
        <v>2</v>
      </c>
      <c r="B10" s="739" t="s">
        <v>605</v>
      </c>
      <c r="C10" s="740">
        <f>C11+C14+C15</f>
        <v>0</v>
      </c>
      <c r="D10" s="750"/>
      <c r="E10" s="740"/>
      <c r="F10" s="751"/>
      <c r="G10" s="749" t="s">
        <v>606</v>
      </c>
    </row>
    <row r="11" spans="1:25" s="2064" customFormat="1" ht="13.5" customHeight="1">
      <c r="A11" s="2323" t="s">
        <v>2418</v>
      </c>
      <c r="B11" s="743" t="s">
        <v>602</v>
      </c>
      <c r="C11" s="744">
        <f>'数据-取费表'!B29</f>
        <v>0</v>
      </c>
      <c r="D11" s="745"/>
      <c r="E11" s="744"/>
      <c r="F11" s="746"/>
      <c r="G11" s="2331" t="s">
        <v>2429</v>
      </c>
    </row>
    <row r="12" spans="1:25" s="2064" customFormat="1" ht="13.5" customHeight="1">
      <c r="A12" s="2329" t="s">
        <v>2426</v>
      </c>
      <c r="B12" s="747" t="s">
        <v>603</v>
      </c>
      <c r="C12" s="748">
        <f>ROUND(D12*E12/10000,0)</f>
        <v>0</v>
      </c>
      <c r="D12" s="3267">
        <f>'数据-汇总表'!E5</f>
        <v>0</v>
      </c>
      <c r="E12" s="3267">
        <f>'数据-取费表'!B27</f>
        <v>170</v>
      </c>
      <c r="F12" s="746"/>
      <c r="G12" s="749"/>
    </row>
    <row r="13" spans="1:25" s="2064" customFormat="1" ht="13.5" customHeight="1">
      <c r="A13" s="2329" t="s">
        <v>2425</v>
      </c>
      <c r="B13" s="747" t="s">
        <v>604</v>
      </c>
      <c r="C13" s="748">
        <f>ROUND(D13*E13/10000,0)</f>
        <v>2848</v>
      </c>
      <c r="D13" s="3267">
        <f>'数据-汇总表'!E6</f>
        <v>142378.302</v>
      </c>
      <c r="E13" s="3267">
        <f>'数据-取费表'!B28</f>
        <v>200</v>
      </c>
      <c r="F13" s="746"/>
      <c r="G13" s="749"/>
    </row>
    <row r="14" spans="1:25" s="2064" customFormat="1" ht="13.5" customHeight="1">
      <c r="A14" s="2323" t="s">
        <v>2419</v>
      </c>
      <c r="B14" s="2328" t="s">
        <v>2422</v>
      </c>
      <c r="C14" s="3269">
        <f t="shared" ref="C14:C15" si="1">ROUND(D14*E14/10000,0)</f>
        <v>0</v>
      </c>
      <c r="D14" s="3267">
        <v>0</v>
      </c>
      <c r="E14" s="3268">
        <v>0</v>
      </c>
      <c r="F14" s="2327"/>
      <c r="G14" s="2330" t="s">
        <v>2427</v>
      </c>
    </row>
    <row r="15" spans="1:25" s="2064" customFormat="1" ht="13.5" customHeight="1">
      <c r="A15" s="2323" t="s">
        <v>2424</v>
      </c>
      <c r="B15" s="2328" t="s">
        <v>2423</v>
      </c>
      <c r="C15" s="3269">
        <f t="shared" si="1"/>
        <v>0</v>
      </c>
      <c r="D15" s="3267">
        <v>0</v>
      </c>
      <c r="E15" s="3268">
        <v>0</v>
      </c>
      <c r="F15" s="2327"/>
      <c r="G15" s="2330" t="s">
        <v>2428</v>
      </c>
    </row>
    <row r="16" spans="1:25" s="2065" customFormat="1" ht="48">
      <c r="A16" s="2323">
        <v>3</v>
      </c>
      <c r="B16" s="739" t="s">
        <v>607</v>
      </c>
      <c r="C16" s="3269">
        <f t="shared" ref="C16" si="2">ROUND(D16*E16/10000,0)</f>
        <v>0</v>
      </c>
      <c r="D16" s="3267">
        <v>0</v>
      </c>
      <c r="E16" s="3268">
        <v>0</v>
      </c>
      <c r="F16" s="751"/>
      <c r="G16" s="749" t="s">
        <v>2430</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608</v>
      </c>
      <c r="C17" s="2425">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609</v>
      </c>
      <c r="C18" s="740">
        <f>ROUND((C7+C10+C16)*F18,0)</f>
        <v>0</v>
      </c>
      <c r="D18" s="752"/>
      <c r="E18" s="753"/>
      <c r="F18" s="1301">
        <v>0.05</v>
      </c>
      <c r="G18" s="755" t="s">
        <v>610</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611</v>
      </c>
      <c r="C19" s="740">
        <f ca="1">C7+C10+C16+C17+C18</f>
        <v>0</v>
      </c>
      <c r="D19" s="750"/>
      <c r="E19" s="740"/>
      <c r="F19" s="751"/>
      <c r="G19" s="755" t="s">
        <v>612</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613</v>
      </c>
      <c r="C20" s="740">
        <f ca="1">ROUND(C19*F20,0)</f>
        <v>0</v>
      </c>
      <c r="D20" s="750"/>
      <c r="E20" s="740"/>
      <c r="F20" s="1301">
        <v>0.1</v>
      </c>
      <c r="G20" s="755" t="s">
        <v>614</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615</v>
      </c>
      <c r="C21" s="740">
        <f ca="1">C19+C20</f>
        <v>0</v>
      </c>
      <c r="D21" s="750"/>
      <c r="E21" s="740"/>
      <c r="F21" s="751"/>
      <c r="G21" s="755" t="s">
        <v>616</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617</v>
      </c>
      <c r="C22" s="740">
        <f ca="1">ROUND(C21*F22,0)</f>
        <v>0</v>
      </c>
      <c r="D22" s="750"/>
      <c r="E22" s="740"/>
      <c r="F22" s="756">
        <f>'数据-取费表'!AP16</f>
        <v>0.73299999999999998</v>
      </c>
      <c r="G22" s="755" t="s">
        <v>618</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619</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66" customFormat="1">
      <c r="A24" s="3265"/>
      <c r="D24" s="1884"/>
      <c r="E24" s="1884"/>
    </row>
    <row r="25" spans="1:25" s="3266" customFormat="1">
      <c r="A25" s="3265"/>
      <c r="D25" s="1884"/>
      <c r="E25" s="1884"/>
    </row>
    <row r="26" spans="1:25" s="3266" customFormat="1">
      <c r="A26" s="3265"/>
      <c r="D26" s="1884"/>
      <c r="E26" s="1884"/>
    </row>
    <row r="27" spans="1:25" s="3266" customFormat="1">
      <c r="A27" s="3265"/>
      <c r="D27" s="1884"/>
      <c r="E27" s="1884"/>
    </row>
    <row r="28" spans="1:25" s="3266" customFormat="1">
      <c r="A28" s="3265"/>
      <c r="D28" s="1884"/>
      <c r="E28" s="1884"/>
    </row>
    <row r="29" spans="1:25" s="3266" customFormat="1">
      <c r="A29" s="3265"/>
      <c r="D29" s="1884"/>
      <c r="E29" s="1884"/>
    </row>
    <row r="30" spans="1:25" s="3266" customFormat="1">
      <c r="A30" s="3265"/>
      <c r="D30" s="1884"/>
      <c r="E30" s="1884"/>
    </row>
    <row r="31" spans="1:25" s="3266" customFormat="1">
      <c r="A31" s="3265"/>
      <c r="D31" s="1884"/>
      <c r="E31" s="1884"/>
    </row>
    <row r="32" spans="1:25" s="3266" customFormat="1">
      <c r="A32" s="3265"/>
      <c r="D32" s="1884"/>
      <c r="E32" s="1884"/>
    </row>
    <row r="33" spans="1:5" s="3266" customFormat="1">
      <c r="A33" s="3265"/>
      <c r="D33" s="1884"/>
      <c r="E33" s="1884"/>
    </row>
    <row r="34" spans="1:5" s="3266" customFormat="1">
      <c r="A34" s="3265"/>
      <c r="D34" s="1884"/>
      <c r="E34" s="1884"/>
    </row>
    <row r="35" spans="1:5" s="3266" customFormat="1">
      <c r="A35" s="3265"/>
      <c r="D35" s="1884"/>
      <c r="E35" s="1884"/>
    </row>
    <row r="36" spans="1:5" s="3266" customFormat="1">
      <c r="A36" s="3265"/>
      <c r="D36" s="1884"/>
      <c r="E36" s="1884"/>
    </row>
    <row r="37" spans="1:5" s="3266" customFormat="1">
      <c r="A37" s="3265"/>
      <c r="D37" s="1884"/>
      <c r="E37" s="1884"/>
    </row>
    <row r="38" spans="1:5" s="3266" customFormat="1">
      <c r="A38" s="3265"/>
      <c r="D38" s="1884"/>
      <c r="E38" s="1884"/>
    </row>
    <row r="39" spans="1:5" s="3266" customFormat="1">
      <c r="A39" s="3265"/>
      <c r="D39" s="1884"/>
      <c r="E39" s="1884"/>
    </row>
    <row r="40" spans="1:5" s="3266" customFormat="1">
      <c r="A40" s="3265"/>
      <c r="D40" s="1884"/>
      <c r="E40" s="1884"/>
    </row>
    <row r="41" spans="1:5" s="3266" customFormat="1">
      <c r="A41" s="3265"/>
      <c r="D41" s="1884"/>
      <c r="E41" s="1884"/>
    </row>
    <row r="42" spans="1:5" s="3266" customFormat="1">
      <c r="A42" s="3265"/>
      <c r="D42" s="1884"/>
      <c r="E42" s="1884"/>
    </row>
    <row r="43" spans="1:5" s="3266" customFormat="1">
      <c r="A43" s="3265"/>
      <c r="D43" s="1884"/>
      <c r="E43" s="1884"/>
    </row>
    <row r="44" spans="1:5" s="3266" customFormat="1">
      <c r="A44" s="3265"/>
      <c r="D44" s="1884"/>
      <c r="E44" s="1884"/>
    </row>
    <row r="45" spans="1:5" s="3266" customFormat="1">
      <c r="A45" s="3265"/>
      <c r="D45" s="1884"/>
      <c r="E45" s="1884"/>
    </row>
    <row r="46" spans="1:5" s="3266" customFormat="1">
      <c r="A46" s="3265"/>
      <c r="D46" s="1884"/>
      <c r="E46" s="1884"/>
    </row>
    <row r="47" spans="1:5" s="3266" customFormat="1">
      <c r="A47" s="3265"/>
      <c r="D47" s="1884"/>
      <c r="E47" s="1884"/>
    </row>
    <row r="48" spans="1:5" s="3266" customFormat="1">
      <c r="A48" s="3265"/>
      <c r="D48" s="1884"/>
      <c r="E48" s="1884"/>
    </row>
    <row r="49" spans="1:5" s="3266" customFormat="1">
      <c r="A49" s="3265"/>
      <c r="D49" s="1884"/>
      <c r="E49" s="1884"/>
    </row>
    <row r="50" spans="1:5" s="3266" customFormat="1">
      <c r="A50" s="3265"/>
      <c r="D50" s="1884"/>
      <c r="E50" s="1884"/>
    </row>
    <row r="51" spans="1:5" s="3266" customFormat="1">
      <c r="A51" s="3265"/>
      <c r="D51" s="1884"/>
      <c r="E51" s="1884"/>
    </row>
    <row r="52" spans="1:5" s="3266" customFormat="1">
      <c r="A52" s="3265"/>
      <c r="D52" s="1884"/>
      <c r="E52" s="1884"/>
    </row>
    <row r="53" spans="1:5" s="3266" customFormat="1">
      <c r="A53" s="3265"/>
      <c r="D53" s="1884"/>
      <c r="E53" s="1884"/>
    </row>
    <row r="54" spans="1:5" s="3266" customFormat="1">
      <c r="A54" s="3265"/>
      <c r="D54" s="1884"/>
      <c r="E54" s="1884"/>
    </row>
    <row r="55" spans="1:5" s="3266" customFormat="1">
      <c r="A55" s="3265"/>
      <c r="D55" s="1884"/>
      <c r="E55" s="1884"/>
    </row>
    <row r="56" spans="1:5" s="3266" customFormat="1">
      <c r="A56" s="3265"/>
      <c r="D56" s="1884"/>
      <c r="E56" s="1884"/>
    </row>
    <row r="57" spans="1:5" s="3266" customFormat="1">
      <c r="A57" s="3265"/>
      <c r="D57" s="1884"/>
      <c r="E57" s="1884"/>
    </row>
    <row r="58" spans="1:5" s="3266" customFormat="1">
      <c r="A58" s="3265"/>
      <c r="D58" s="1884"/>
      <c r="E58" s="1884"/>
    </row>
    <row r="59" spans="1:5" s="3266" customFormat="1">
      <c r="A59" s="3265"/>
      <c r="D59" s="1884"/>
      <c r="E59" s="1884"/>
    </row>
    <row r="60" spans="1:5" s="3266" customFormat="1">
      <c r="A60" s="3265"/>
      <c r="D60" s="1884"/>
      <c r="E60" s="1884"/>
    </row>
    <row r="61" spans="1:5" s="3266" customFormat="1">
      <c r="A61" s="3265"/>
      <c r="D61" s="1884"/>
      <c r="E61" s="1884"/>
    </row>
    <row r="62" spans="1:5" s="3266" customFormat="1">
      <c r="A62" s="3265"/>
      <c r="D62" s="1884"/>
      <c r="E62" s="1884"/>
    </row>
    <row r="63" spans="1:5" s="3266" customFormat="1">
      <c r="A63" s="3265"/>
      <c r="D63" s="1884"/>
      <c r="E63" s="1884"/>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zoomScale="60" zoomScaleNormal="60" workbookViewId="0">
      <selection activeCell="A7" sqref="A7"/>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710</v>
      </c>
      <c r="B1" s="2467" t="s">
        <v>711</v>
      </c>
      <c r="C1" s="2468" t="s">
        <v>712</v>
      </c>
      <c r="D1" s="2469"/>
      <c r="E1" s="2009"/>
      <c r="F1" s="2524"/>
      <c r="G1" s="1531" t="s">
        <v>713</v>
      </c>
      <c r="H1" s="500"/>
      <c r="I1" s="500"/>
      <c r="J1" s="500"/>
      <c r="K1" s="501"/>
      <c r="L1" s="3206"/>
      <c r="M1" s="3207"/>
      <c r="N1" s="3207"/>
      <c r="O1" s="3207"/>
      <c r="P1" s="1499"/>
      <c r="Q1" s="1499"/>
      <c r="R1" s="1499"/>
      <c r="S1" s="1499"/>
      <c r="T1" s="1499"/>
      <c r="U1" s="1499"/>
      <c r="V1" s="1499"/>
      <c r="W1" s="1499"/>
      <c r="X1" s="1499"/>
      <c r="Y1" s="1499"/>
      <c r="Z1" s="1499"/>
      <c r="AA1" s="1499"/>
      <c r="AB1" s="1499"/>
      <c r="AC1" s="1500"/>
    </row>
    <row r="2" spans="1:29" s="1314" customFormat="1" ht="28.5" customHeight="1">
      <c r="A2" s="417" t="s">
        <v>459</v>
      </c>
      <c r="B2" s="2466" t="e">
        <f>ROUND(B3*D3/10000,0)</f>
        <v>#DIV/0!</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4" customFormat="1" ht="28.5" customHeight="1" thickBot="1">
      <c r="A3" s="503" t="s">
        <v>511</v>
      </c>
      <c r="B3" s="840" t="e">
        <f>C49</f>
        <v>#DIV/0!</v>
      </c>
      <c r="C3" s="841" t="s">
        <v>714</v>
      </c>
      <c r="D3" s="840">
        <f>SUMIF('数据-汇总表'!$C19:$C33,D1,'数据-汇总表'!$E19:$E33)</f>
        <v>0</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6" t="s">
        <v>513</v>
      </c>
      <c r="B4" s="507"/>
      <c r="C4" s="3580" t="s">
        <v>514</v>
      </c>
      <c r="D4" s="3581"/>
      <c r="E4" s="3605" t="s">
        <v>515</v>
      </c>
      <c r="F4" s="3606"/>
      <c r="G4" s="3580" t="s">
        <v>516</v>
      </c>
      <c r="H4" s="3581"/>
      <c r="I4" s="3580" t="s">
        <v>517</v>
      </c>
      <c r="J4" s="3581"/>
      <c r="K4" s="842" t="s">
        <v>518</v>
      </c>
      <c r="L4" s="2015"/>
      <c r="M4" s="2016"/>
      <c r="N4" s="2016"/>
      <c r="O4" s="2016"/>
      <c r="P4" s="3582" t="s">
        <v>519</v>
      </c>
      <c r="Q4" s="3583"/>
      <c r="R4" s="3568" t="s">
        <v>515</v>
      </c>
      <c r="S4" s="3569"/>
      <c r="T4" s="3568" t="s">
        <v>516</v>
      </c>
      <c r="U4" s="3569"/>
      <c r="V4" s="3588" t="s">
        <v>517</v>
      </c>
      <c r="W4" s="3588"/>
      <c r="X4" s="1501"/>
      <c r="Y4" s="3568" t="s">
        <v>519</v>
      </c>
      <c r="Z4" s="3569"/>
      <c r="AA4" s="3563" t="s">
        <v>515</v>
      </c>
      <c r="AB4" s="3563" t="s">
        <v>516</v>
      </c>
      <c r="AC4" s="3563" t="s">
        <v>517</v>
      </c>
    </row>
    <row r="5" spans="1:29" ht="15">
      <c r="A5" s="509"/>
      <c r="B5" s="510"/>
      <c r="C5" s="3591" t="s">
        <v>2887</v>
      </c>
      <c r="D5" s="3592"/>
      <c r="E5" s="3607" t="s">
        <v>2888</v>
      </c>
      <c r="F5" s="3608"/>
      <c r="G5" s="3591" t="s">
        <v>2889</v>
      </c>
      <c r="H5" s="3592"/>
      <c r="I5" s="3591" t="s">
        <v>2890</v>
      </c>
      <c r="J5" s="3592"/>
      <c r="K5" s="843"/>
      <c r="L5" s="2015"/>
      <c r="M5" s="2016"/>
      <c r="N5" s="2016"/>
      <c r="O5" s="2016"/>
      <c r="P5" s="3584"/>
      <c r="Q5" s="3585"/>
      <c r="R5" s="3570"/>
      <c r="S5" s="3571"/>
      <c r="T5" s="3570"/>
      <c r="U5" s="3571"/>
      <c r="V5" s="3588"/>
      <c r="W5" s="3588"/>
      <c r="X5" s="1501"/>
      <c r="Y5" s="3570"/>
      <c r="Z5" s="3571"/>
      <c r="AA5" s="3564"/>
      <c r="AB5" s="3564"/>
      <c r="AC5" s="3564"/>
    </row>
    <row r="6" spans="1:29" ht="15.75" thickBot="1">
      <c r="A6" s="511"/>
      <c r="B6" s="512"/>
      <c r="C6" s="3589" t="s">
        <v>2891</v>
      </c>
      <c r="D6" s="3590"/>
      <c r="E6" s="3609" t="s">
        <v>2891</v>
      </c>
      <c r="F6" s="3610"/>
      <c r="G6" s="3589" t="s">
        <v>2891</v>
      </c>
      <c r="H6" s="3590"/>
      <c r="I6" s="3589" t="s">
        <v>2891</v>
      </c>
      <c r="J6" s="3590"/>
      <c r="K6" s="843" t="s">
        <v>520</v>
      </c>
      <c r="L6" s="2015"/>
      <c r="M6" s="2016"/>
      <c r="N6" s="2016"/>
      <c r="O6" s="2016"/>
      <c r="P6" s="3586"/>
      <c r="Q6" s="3587"/>
      <c r="R6" s="3570"/>
      <c r="S6" s="3571"/>
      <c r="T6" s="3572"/>
      <c r="U6" s="3573"/>
      <c r="V6" s="3588"/>
      <c r="W6" s="3588"/>
      <c r="X6" s="1501"/>
      <c r="Y6" s="3572"/>
      <c r="Z6" s="3573"/>
      <c r="AA6" s="3565"/>
      <c r="AB6" s="3565"/>
      <c r="AC6" s="3565"/>
    </row>
    <row r="7" spans="1:29" s="1202" customFormat="1" ht="15.75" thickBot="1">
      <c r="A7" s="2629"/>
      <c r="B7" s="2636" t="s">
        <v>521</v>
      </c>
      <c r="C7" s="513">
        <f>'数据-取费表'!B2</f>
        <v>44463</v>
      </c>
      <c r="D7" s="514">
        <v>100</v>
      </c>
      <c r="E7" s="515"/>
      <c r="F7" s="516">
        <f>SUMIF(58:58,YEAR(E7)&amp;"-"&amp;MONTH(E7),59:59)</f>
        <v>0</v>
      </c>
      <c r="G7" s="517"/>
      <c r="H7" s="514">
        <f>SUMIF(58:58,YEAR(G7)&amp;"-"&amp;MONTH(G7),59:59)</f>
        <v>0</v>
      </c>
      <c r="I7" s="517"/>
      <c r="J7" s="514">
        <f>SUMIF(58:58,YEAR(I7)&amp;"-"&amp;MONTH(I7),59:59)</f>
        <v>0</v>
      </c>
      <c r="K7" s="844"/>
      <c r="L7" s="2017"/>
      <c r="M7" s="2018"/>
      <c r="N7" s="2018"/>
      <c r="O7" s="2018"/>
      <c r="P7" s="3566" t="s">
        <v>522</v>
      </c>
      <c r="Q7" s="3575"/>
      <c r="R7" s="1502" t="s">
        <v>13</v>
      </c>
      <c r="S7" s="1503">
        <f t="shared" ref="S7:S15" si="0">F7</f>
        <v>0</v>
      </c>
      <c r="T7" s="1502" t="s">
        <v>13</v>
      </c>
      <c r="U7" s="1503">
        <f t="shared" ref="U7:U15" si="1">H7</f>
        <v>0</v>
      </c>
      <c r="V7" s="1502" t="s">
        <v>13</v>
      </c>
      <c r="W7" s="1503">
        <f t="shared" ref="W7:W15" si="2">J7</f>
        <v>0</v>
      </c>
      <c r="X7" s="1504"/>
      <c r="Y7" s="3566" t="s">
        <v>522</v>
      </c>
      <c r="Z7" s="3567"/>
      <c r="AA7" s="1505" t="e">
        <f>D7/F7</f>
        <v>#DIV/0!</v>
      </c>
      <c r="AB7" s="1505" t="e">
        <f>D7/H7</f>
        <v>#DIV/0!</v>
      </c>
      <c r="AC7" s="1505" t="e">
        <f>D7/J7</f>
        <v>#DIV/0!</v>
      </c>
    </row>
    <row r="8" spans="1:29" s="1202" customFormat="1" ht="15.75" thickBot="1">
      <c r="A8" s="2630"/>
      <c r="B8" s="2637" t="s">
        <v>523</v>
      </c>
      <c r="C8" s="519" t="s">
        <v>568</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3566" t="s">
        <v>525</v>
      </c>
      <c r="Q8" s="3567"/>
      <c r="R8" s="1502" t="s">
        <v>13</v>
      </c>
      <c r="S8" s="1503">
        <f t="shared" si="0"/>
        <v>0</v>
      </c>
      <c r="T8" s="1502" t="s">
        <v>13</v>
      </c>
      <c r="U8" s="1503">
        <f t="shared" si="1"/>
        <v>0</v>
      </c>
      <c r="V8" s="1502" t="s">
        <v>13</v>
      </c>
      <c r="W8" s="1503">
        <f t="shared" si="2"/>
        <v>0</v>
      </c>
      <c r="X8" s="1504"/>
      <c r="Y8" s="3566" t="s">
        <v>525</v>
      </c>
      <c r="Z8" s="3567"/>
      <c r="AA8" s="1505" t="e">
        <f t="shared" ref="AA8:AA46" si="3">D8/F8</f>
        <v>#DIV/0!</v>
      </c>
      <c r="AB8" s="1505" t="e">
        <f t="shared" ref="AB8:AB46" si="4">D8/H8</f>
        <v>#DIV/0!</v>
      </c>
      <c r="AC8" s="1505" t="e">
        <f t="shared" ref="AC8:AC46" si="5">D8/J8</f>
        <v>#DIV/0!</v>
      </c>
    </row>
    <row r="9" spans="1:29" s="1202" customFormat="1" ht="15">
      <c r="A9" s="2631"/>
      <c r="B9" s="2638" t="s">
        <v>2731</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3574" t="s">
        <v>527</v>
      </c>
      <c r="Q9" s="1133" t="str">
        <f t="shared" ref="Q9:Q15" si="6">B9</f>
        <v>用途</v>
      </c>
      <c r="R9" s="1502" t="s">
        <v>8</v>
      </c>
      <c r="S9" s="1503">
        <f t="shared" si="0"/>
        <v>100</v>
      </c>
      <c r="T9" s="1502" t="s">
        <v>8</v>
      </c>
      <c r="U9" s="1503">
        <f t="shared" si="1"/>
        <v>100</v>
      </c>
      <c r="V9" s="1502" t="s">
        <v>8</v>
      </c>
      <c r="W9" s="1503">
        <f t="shared" si="2"/>
        <v>100</v>
      </c>
      <c r="X9" s="1504"/>
      <c r="Y9" s="3525" t="s">
        <v>528</v>
      </c>
      <c r="Z9" s="1132" t="str">
        <f t="shared" ref="Z9:Z15" si="7">Q9</f>
        <v>用途</v>
      </c>
      <c r="AA9" s="1505">
        <f t="shared" si="3"/>
        <v>1</v>
      </c>
      <c r="AB9" s="1505">
        <f t="shared" si="4"/>
        <v>1</v>
      </c>
      <c r="AC9" s="1505">
        <f t="shared" si="5"/>
        <v>1</v>
      </c>
    </row>
    <row r="10" spans="1:29" s="1291" customFormat="1" ht="27">
      <c r="A10" s="2632"/>
      <c r="B10" s="2637" t="s">
        <v>2732</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574"/>
      <c r="Q10" s="1133" t="str">
        <f t="shared" si="6"/>
        <v>土地使用年限（年）</v>
      </c>
      <c r="R10" s="1502" t="s">
        <v>8</v>
      </c>
      <c r="S10" s="1503">
        <f t="shared" si="0"/>
        <v>100</v>
      </c>
      <c r="T10" s="1502" t="s">
        <v>8</v>
      </c>
      <c r="U10" s="1503">
        <f t="shared" si="1"/>
        <v>100</v>
      </c>
      <c r="V10" s="1502" t="s">
        <v>8</v>
      </c>
      <c r="W10" s="1503">
        <f t="shared" si="2"/>
        <v>100</v>
      </c>
      <c r="X10" s="1504"/>
      <c r="Y10" s="3525"/>
      <c r="Z10" s="1132" t="str">
        <f t="shared" si="7"/>
        <v>土地使用年限（年）</v>
      </c>
      <c r="AA10" s="1505">
        <f t="shared" si="3"/>
        <v>1</v>
      </c>
      <c r="AB10" s="1505">
        <f t="shared" si="4"/>
        <v>1</v>
      </c>
      <c r="AC10" s="1505">
        <f t="shared" si="5"/>
        <v>1</v>
      </c>
    </row>
    <row r="11" spans="1:29" ht="15">
      <c r="A11" s="2633"/>
      <c r="B11" s="2637" t="s">
        <v>2733</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3574"/>
      <c r="Q11" s="1133" t="str">
        <f t="shared" si="6"/>
        <v>容积率</v>
      </c>
      <c r="R11" s="1502" t="s">
        <v>11</v>
      </c>
      <c r="S11" s="1503" t="e">
        <f t="shared" si="0"/>
        <v>#N/A</v>
      </c>
      <c r="T11" s="1502" t="s">
        <v>11</v>
      </c>
      <c r="U11" s="1503" t="e">
        <f t="shared" si="1"/>
        <v>#N/A</v>
      </c>
      <c r="V11" s="1502" t="s">
        <v>11</v>
      </c>
      <c r="W11" s="1503" t="e">
        <f t="shared" si="2"/>
        <v>#N/A</v>
      </c>
      <c r="X11" s="1504"/>
      <c r="Y11" s="3525"/>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574"/>
      <c r="Q12" s="1133">
        <f t="shared" si="6"/>
        <v>111</v>
      </c>
      <c r="R12" s="1502" t="s">
        <v>11</v>
      </c>
      <c r="S12" s="1503">
        <f t="shared" si="0"/>
        <v>100</v>
      </c>
      <c r="T12" s="1502" t="s">
        <v>11</v>
      </c>
      <c r="U12" s="1503">
        <f t="shared" si="1"/>
        <v>100</v>
      </c>
      <c r="V12" s="1502" t="s">
        <v>11</v>
      </c>
      <c r="W12" s="1503">
        <f t="shared" si="2"/>
        <v>100</v>
      </c>
      <c r="X12" s="1504"/>
      <c r="Y12" s="3525"/>
      <c r="Z12" s="1132">
        <f t="shared" si="7"/>
        <v>111</v>
      </c>
      <c r="AA12" s="1505">
        <f>D12/F12</f>
        <v>1</v>
      </c>
      <c r="AB12" s="1505">
        <f>D12/H12</f>
        <v>1</v>
      </c>
      <c r="AC12" s="1505">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574"/>
      <c r="Q13" s="1133">
        <f t="shared" si="6"/>
        <v>111</v>
      </c>
      <c r="R13" s="1502" t="s">
        <v>11</v>
      </c>
      <c r="S13" s="1503">
        <f t="shared" si="0"/>
        <v>100</v>
      </c>
      <c r="T13" s="1502" t="s">
        <v>11</v>
      </c>
      <c r="U13" s="1503">
        <f t="shared" si="1"/>
        <v>100</v>
      </c>
      <c r="V13" s="1502" t="s">
        <v>11</v>
      </c>
      <c r="W13" s="1503">
        <f t="shared" si="2"/>
        <v>100</v>
      </c>
      <c r="X13" s="1504"/>
      <c r="Y13" s="3525"/>
      <c r="Z13" s="1132">
        <f t="shared" si="7"/>
        <v>111</v>
      </c>
      <c r="AA13" s="1505">
        <f t="shared" si="3"/>
        <v>1</v>
      </c>
      <c r="AB13" s="1505">
        <f t="shared" si="4"/>
        <v>1</v>
      </c>
      <c r="AC13" s="1505">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574"/>
      <c r="Q14" s="1133">
        <f t="shared" si="6"/>
        <v>111</v>
      </c>
      <c r="R14" s="1502" t="s">
        <v>11</v>
      </c>
      <c r="S14" s="1503">
        <f t="shared" si="0"/>
        <v>100</v>
      </c>
      <c r="T14" s="1502" t="s">
        <v>11</v>
      </c>
      <c r="U14" s="1503">
        <f t="shared" si="1"/>
        <v>100</v>
      </c>
      <c r="V14" s="1502" t="s">
        <v>11</v>
      </c>
      <c r="W14" s="1503">
        <f t="shared" si="2"/>
        <v>100</v>
      </c>
      <c r="X14" s="1504"/>
      <c r="Y14" s="3525"/>
      <c r="Z14" s="1132">
        <f t="shared" si="7"/>
        <v>111</v>
      </c>
      <c r="AA14" s="1505">
        <f t="shared" si="3"/>
        <v>1</v>
      </c>
      <c r="AB14" s="1505">
        <f t="shared" si="4"/>
        <v>1</v>
      </c>
      <c r="AC14" s="1505">
        <f t="shared" si="5"/>
        <v>1</v>
      </c>
    </row>
    <row r="15" spans="1:29" ht="142.5">
      <c r="A15" s="2627" t="s">
        <v>2729</v>
      </c>
      <c r="B15" s="164" t="s">
        <v>293</v>
      </c>
      <c r="C15" s="856" t="str">
        <f>估价对象房地状况!C3</f>
        <v>估价对象位于北京市通州区经济开发区西区南扩区，周边有芳草园小区、环湖小镇、月亮湾小镇、太玉园等住宅小区，入住率较好，居住社区成熟度一般。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576" t="s">
        <v>532</v>
      </c>
      <c r="Q15" s="1506" t="str">
        <f t="shared" si="6"/>
        <v>居住社区成熟度</v>
      </c>
      <c r="R15" s="1507" t="s">
        <v>11</v>
      </c>
      <c r="S15" s="1508">
        <f t="shared" si="0"/>
        <v>100</v>
      </c>
      <c r="T15" s="1507" t="s">
        <v>11</v>
      </c>
      <c r="U15" s="1508">
        <f t="shared" si="1"/>
        <v>100</v>
      </c>
      <c r="V15" s="1507" t="s">
        <v>11</v>
      </c>
      <c r="W15" s="1508">
        <f t="shared" si="2"/>
        <v>100</v>
      </c>
      <c r="X15" s="1501"/>
      <c r="Y15" s="3576" t="s">
        <v>532</v>
      </c>
      <c r="Z15" s="1509" t="str">
        <f t="shared" si="7"/>
        <v>居住社区成熟度</v>
      </c>
      <c r="AA15" s="1510">
        <f t="shared" si="3"/>
        <v>1</v>
      </c>
      <c r="AB15" s="1510">
        <f t="shared" si="4"/>
        <v>1</v>
      </c>
      <c r="AC15" s="1510">
        <f t="shared" si="5"/>
        <v>1</v>
      </c>
    </row>
    <row r="16" spans="1:29" ht="15">
      <c r="A16" s="526"/>
      <c r="B16" s="858"/>
      <c r="C16" s="570"/>
      <c r="D16" s="549"/>
      <c r="E16" s="550"/>
      <c r="F16" s="551"/>
      <c r="G16" s="552"/>
      <c r="H16" s="553"/>
      <c r="I16" s="550"/>
      <c r="J16" s="549"/>
      <c r="K16" s="859"/>
      <c r="L16" s="2024"/>
      <c r="M16" s="2016"/>
      <c r="N16" s="2016"/>
      <c r="O16" s="2023"/>
      <c r="P16" s="3577"/>
      <c r="Q16" s="1506"/>
      <c r="R16" s="1507"/>
      <c r="S16" s="1508"/>
      <c r="T16" s="1507"/>
      <c r="U16" s="1508"/>
      <c r="V16" s="1507"/>
      <c r="W16" s="1508"/>
      <c r="X16" s="1501"/>
      <c r="Y16" s="3577"/>
      <c r="Z16" s="1509"/>
      <c r="AA16" s="1510">
        <v>1</v>
      </c>
      <c r="AB16" s="1510">
        <v>1</v>
      </c>
      <c r="AC16" s="1510">
        <v>1</v>
      </c>
    </row>
    <row r="17" spans="1:29" ht="99.75">
      <c r="A17" s="526"/>
      <c r="B17" s="860" t="s">
        <v>294</v>
      </c>
      <c r="C17" s="861" t="str">
        <f>估价对象房地状况!C6</f>
        <v>估价对象周边有通14路、通50路、通64路等公交线路；距地铁7号线（花庄站）约2公里，交通便捷度一般</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577"/>
      <c r="Q17" s="1506" t="str">
        <f>B17</f>
        <v>交通便捷度</v>
      </c>
      <c r="R17" s="1507" t="s">
        <v>11</v>
      </c>
      <c r="S17" s="1508">
        <f>F17</f>
        <v>100</v>
      </c>
      <c r="T17" s="1507" t="s">
        <v>11</v>
      </c>
      <c r="U17" s="1508">
        <f>H17</f>
        <v>100</v>
      </c>
      <c r="V17" s="1507" t="s">
        <v>11</v>
      </c>
      <c r="W17" s="1508">
        <f>J17</f>
        <v>100</v>
      </c>
      <c r="X17" s="1501"/>
      <c r="Y17" s="3577"/>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59"/>
      <c r="L18" s="2024"/>
      <c r="M18" s="2016"/>
      <c r="N18" s="2016"/>
      <c r="O18" s="2023"/>
      <c r="P18" s="3577"/>
      <c r="Q18" s="1506"/>
      <c r="R18" s="1507"/>
      <c r="S18" s="1508"/>
      <c r="T18" s="1507"/>
      <c r="U18" s="1508"/>
      <c r="V18" s="1507"/>
      <c r="W18" s="1508"/>
      <c r="X18" s="1501"/>
      <c r="Y18" s="3577"/>
      <c r="Z18" s="1509"/>
      <c r="AA18" s="1510">
        <v>1</v>
      </c>
      <c r="AB18" s="1510">
        <v>1</v>
      </c>
      <c r="AC18" s="1510">
        <v>1</v>
      </c>
    </row>
    <row r="19" spans="1:29" ht="213.75">
      <c r="A19" s="526"/>
      <c r="B19" s="2444" t="s">
        <v>2522</v>
      </c>
      <c r="C19" s="861" t="str">
        <f>估价对象房地状况!C7</f>
        <v>估价对象所在区域有张家湾中心幼儿园、张家湾中心小学、张家湾中学等教育资源，有中国建设银行、北京市农村商业银行等金融机构，有世纪华联超市等商业服务设施，有北京运通中医医院等医疗设施，公共服务设施齐备度一般</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577"/>
      <c r="Q19" s="1506" t="str">
        <f>B19</f>
        <v>公共配套设施</v>
      </c>
      <c r="R19" s="1507" t="s">
        <v>11</v>
      </c>
      <c r="S19" s="1508">
        <f>F19</f>
        <v>100</v>
      </c>
      <c r="T19" s="1507" t="s">
        <v>11</v>
      </c>
      <c r="U19" s="1508">
        <f>H19</f>
        <v>100</v>
      </c>
      <c r="V19" s="1507" t="s">
        <v>11</v>
      </c>
      <c r="W19" s="1508">
        <f>J19</f>
        <v>100</v>
      </c>
      <c r="X19" s="1501"/>
      <c r="Y19" s="3577"/>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59"/>
      <c r="L20" s="2024"/>
      <c r="M20" s="2016"/>
      <c r="N20" s="2016"/>
      <c r="O20" s="2023"/>
      <c r="P20" s="3577"/>
      <c r="Q20" s="1506"/>
      <c r="R20" s="1507"/>
      <c r="S20" s="1508"/>
      <c r="T20" s="1507"/>
      <c r="U20" s="1508"/>
      <c r="V20" s="1507"/>
      <c r="W20" s="1508"/>
      <c r="X20" s="1501"/>
      <c r="Y20" s="3577"/>
      <c r="Z20" s="1509"/>
      <c r="AA20" s="1510">
        <v>1</v>
      </c>
      <c r="AB20" s="1510">
        <v>1</v>
      </c>
      <c r="AC20" s="1510">
        <v>1</v>
      </c>
    </row>
    <row r="21" spans="1:29" ht="15">
      <c r="A21" s="526"/>
      <c r="B21" s="2437" t="s">
        <v>2534</v>
      </c>
      <c r="C21" s="861" t="str">
        <f>估价对象房地状况!C8</f>
        <v>七通</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577"/>
      <c r="Q21" s="2429" t="str">
        <f>B21</f>
        <v>基础设施水平</v>
      </c>
      <c r="R21" s="1507" t="s">
        <v>11</v>
      </c>
      <c r="S21" s="1508">
        <f>F21</f>
        <v>100</v>
      </c>
      <c r="T21" s="1507" t="s">
        <v>11</v>
      </c>
      <c r="U21" s="1508">
        <f>H21</f>
        <v>100</v>
      </c>
      <c r="V21" s="1507" t="s">
        <v>11</v>
      </c>
      <c r="W21" s="1508">
        <f>J21</f>
        <v>100</v>
      </c>
      <c r="X21" s="2431"/>
      <c r="Y21" s="3577"/>
      <c r="Z21" s="2430" t="str">
        <f>Q21</f>
        <v>基础设施水平</v>
      </c>
      <c r="AA21" s="1510">
        <f t="shared" ref="AA21" si="8">D21/F21</f>
        <v>1</v>
      </c>
      <c r="AB21" s="1510">
        <f t="shared" ref="AB21" si="9">D21/H21</f>
        <v>1</v>
      </c>
      <c r="AC21" s="1510">
        <f t="shared" ref="AC21" si="10">D21/J21</f>
        <v>1</v>
      </c>
    </row>
    <row r="22" spans="1:29" ht="15">
      <c r="A22" s="526"/>
      <c r="B22" s="911"/>
      <c r="C22" s="862"/>
      <c r="D22" s="549"/>
      <c r="E22" s="570"/>
      <c r="F22" s="551"/>
      <c r="G22" s="570"/>
      <c r="H22" s="549"/>
      <c r="I22" s="570"/>
      <c r="J22" s="549"/>
      <c r="K22" s="2443"/>
      <c r="L22" s="2024"/>
      <c r="M22" s="2016"/>
      <c r="N22" s="2016"/>
      <c r="O22" s="2023"/>
      <c r="P22" s="3577"/>
      <c r="Q22" s="2429"/>
      <c r="R22" s="1507"/>
      <c r="S22" s="1508"/>
      <c r="T22" s="1507"/>
      <c r="U22" s="1508"/>
      <c r="V22" s="1507"/>
      <c r="W22" s="1508"/>
      <c r="X22" s="2431"/>
      <c r="Y22" s="3577"/>
      <c r="Z22" s="2430"/>
      <c r="AA22" s="1510">
        <v>1</v>
      </c>
      <c r="AB22" s="1510">
        <v>1</v>
      </c>
      <c r="AC22" s="1510">
        <v>1</v>
      </c>
    </row>
    <row r="23" spans="1:29" ht="99.75">
      <c r="A23" s="526"/>
      <c r="B23" s="860" t="s">
        <v>295</v>
      </c>
      <c r="C23" s="861" t="str">
        <f>估价对象房地状况!C9</f>
        <v>区域自然环境：通州大运河森林公园、凉水河；人文环境：北京环球度假区；综合评价环境状况较好</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577"/>
      <c r="Q23" s="1506" t="str">
        <f>B23</f>
        <v>自然及人文环境</v>
      </c>
      <c r="R23" s="1507" t="s">
        <v>11</v>
      </c>
      <c r="S23" s="1508">
        <f>F23</f>
        <v>100</v>
      </c>
      <c r="T23" s="1507" t="s">
        <v>11</v>
      </c>
      <c r="U23" s="1508">
        <f>H23</f>
        <v>100</v>
      </c>
      <c r="V23" s="1507" t="s">
        <v>11</v>
      </c>
      <c r="W23" s="1508">
        <f>J23</f>
        <v>100</v>
      </c>
      <c r="X23" s="1501"/>
      <c r="Y23" s="3577"/>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59"/>
      <c r="L24" s="2024"/>
      <c r="M24" s="2016"/>
      <c r="N24" s="2016"/>
      <c r="O24" s="2023"/>
      <c r="P24" s="3577"/>
      <c r="Q24" s="1506"/>
      <c r="R24" s="1507"/>
      <c r="S24" s="1508"/>
      <c r="T24" s="1507"/>
      <c r="U24" s="1508"/>
      <c r="V24" s="1507"/>
      <c r="W24" s="1508"/>
      <c r="X24" s="1501"/>
      <c r="Y24" s="3577"/>
      <c r="Z24" s="1509"/>
      <c r="AA24" s="1510">
        <v>1</v>
      </c>
      <c r="AB24" s="1510">
        <v>1</v>
      </c>
      <c r="AC24" s="1510">
        <v>1</v>
      </c>
    </row>
    <row r="25" spans="1:29" ht="15">
      <c r="A25" s="526"/>
      <c r="B25" s="1809" t="s">
        <v>2240</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77"/>
      <c r="Q25" s="1506" t="str">
        <f t="shared" ref="Q25:Q46" si="11">B25</f>
        <v>楼层-1</v>
      </c>
      <c r="R25" s="1507" t="s">
        <v>11</v>
      </c>
      <c r="S25" s="1508">
        <f>F25</f>
        <v>100</v>
      </c>
      <c r="T25" s="1507" t="s">
        <v>11</v>
      </c>
      <c r="U25" s="1508">
        <f>H25</f>
        <v>100</v>
      </c>
      <c r="V25" s="1507" t="s">
        <v>11</v>
      </c>
      <c r="W25" s="1508">
        <f>J25</f>
        <v>100</v>
      </c>
      <c r="X25" s="1501"/>
      <c r="Y25" s="3577"/>
      <c r="Z25" s="1509" t="str">
        <f>Q25</f>
        <v>楼层-1</v>
      </c>
      <c r="AA25" s="1510">
        <f t="shared" si="3"/>
        <v>1</v>
      </c>
      <c r="AB25" s="1510">
        <f t="shared" si="4"/>
        <v>1</v>
      </c>
      <c r="AC25" s="1510">
        <f t="shared" si="5"/>
        <v>1</v>
      </c>
    </row>
    <row r="26" spans="1:29" ht="15">
      <c r="A26" s="526"/>
      <c r="B26" s="521" t="s">
        <v>715</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77"/>
      <c r="Q26" s="1506" t="str">
        <f t="shared" si="11"/>
        <v>朝向</v>
      </c>
      <c r="R26" s="1507" t="s">
        <v>11</v>
      </c>
      <c r="S26" s="1508">
        <f>F26</f>
        <v>100</v>
      </c>
      <c r="T26" s="1507" t="s">
        <v>11</v>
      </c>
      <c r="U26" s="1508">
        <f>H26</f>
        <v>100</v>
      </c>
      <c r="V26" s="1507" t="s">
        <v>11</v>
      </c>
      <c r="W26" s="1508">
        <f>J26</f>
        <v>100</v>
      </c>
      <c r="X26" s="1501"/>
      <c r="Y26" s="3577"/>
      <c r="Z26" s="1509" t="str">
        <f>Q26</f>
        <v>朝向</v>
      </c>
      <c r="AA26" s="1510">
        <f t="shared" si="3"/>
        <v>1</v>
      </c>
      <c r="AB26" s="1510">
        <f t="shared" si="4"/>
        <v>1</v>
      </c>
      <c r="AC26" s="1510">
        <f t="shared" si="5"/>
        <v>1</v>
      </c>
    </row>
    <row r="27" spans="1:29" s="1202" customFormat="1" ht="15">
      <c r="A27" s="530"/>
      <c r="B27" s="531" t="s">
        <v>716</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577"/>
      <c r="Q27" s="1133" t="str">
        <f t="shared" si="11"/>
        <v>道路级别</v>
      </c>
      <c r="R27" s="1502" t="s">
        <v>11</v>
      </c>
      <c r="S27" s="1503">
        <f>F27</f>
        <v>100</v>
      </c>
      <c r="T27" s="1502" t="s">
        <v>11</v>
      </c>
      <c r="U27" s="1503">
        <f>H27</f>
        <v>100</v>
      </c>
      <c r="V27" s="1502" t="s">
        <v>11</v>
      </c>
      <c r="W27" s="1503">
        <f>J27</f>
        <v>100</v>
      </c>
      <c r="X27" s="1504"/>
      <c r="Y27" s="3577"/>
      <c r="Z27" s="1132" t="str">
        <f>Q27</f>
        <v>道路级别</v>
      </c>
      <c r="AA27" s="1510">
        <f>D27/F27</f>
        <v>1</v>
      </c>
      <c r="AB27" s="1510">
        <f>D27/H27</f>
        <v>1</v>
      </c>
      <c r="AC27" s="1510">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77"/>
      <c r="Q28" s="1506">
        <f t="shared" si="11"/>
        <v>111</v>
      </c>
      <c r="R28" s="1507" t="s">
        <v>11</v>
      </c>
      <c r="S28" s="1508">
        <f t="shared" ref="S28:S46" si="12">F28</f>
        <v>100</v>
      </c>
      <c r="T28" s="1507" t="s">
        <v>11</v>
      </c>
      <c r="U28" s="1508">
        <f t="shared" ref="U28:U46" si="13">H28</f>
        <v>100</v>
      </c>
      <c r="V28" s="1507" t="s">
        <v>11</v>
      </c>
      <c r="W28" s="1508">
        <f t="shared" ref="W28:W46" si="14">J28</f>
        <v>100</v>
      </c>
      <c r="X28" s="1501"/>
      <c r="Y28" s="3577"/>
      <c r="Z28" s="1509">
        <f t="shared" ref="Z28:Z46" si="15">Q28</f>
        <v>111</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77"/>
      <c r="Q29" s="1506">
        <f t="shared" si="11"/>
        <v>111</v>
      </c>
      <c r="R29" s="1507" t="s">
        <v>11</v>
      </c>
      <c r="S29" s="1508">
        <f t="shared" si="12"/>
        <v>100</v>
      </c>
      <c r="T29" s="1507" t="s">
        <v>11</v>
      </c>
      <c r="U29" s="1508">
        <f t="shared" si="13"/>
        <v>100</v>
      </c>
      <c r="V29" s="1507" t="s">
        <v>11</v>
      </c>
      <c r="W29" s="1508">
        <f t="shared" si="14"/>
        <v>100</v>
      </c>
      <c r="X29" s="1501"/>
      <c r="Y29" s="3577"/>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77"/>
      <c r="Q30" s="1506">
        <f t="shared" si="11"/>
        <v>111</v>
      </c>
      <c r="R30" s="1507" t="s">
        <v>11</v>
      </c>
      <c r="S30" s="1508">
        <f t="shared" si="12"/>
        <v>100</v>
      </c>
      <c r="T30" s="1507" t="s">
        <v>11</v>
      </c>
      <c r="U30" s="1508">
        <f t="shared" si="13"/>
        <v>100</v>
      </c>
      <c r="V30" s="1507" t="s">
        <v>11</v>
      </c>
      <c r="W30" s="1508">
        <f t="shared" si="14"/>
        <v>100</v>
      </c>
      <c r="X30" s="1501"/>
      <c r="Y30" s="3577"/>
      <c r="Z30" s="1509">
        <f t="shared" si="15"/>
        <v>111</v>
      </c>
      <c r="AA30" s="1510">
        <f t="shared" si="3"/>
        <v>1</v>
      </c>
      <c r="AB30" s="1510">
        <f t="shared" si="4"/>
        <v>1</v>
      </c>
      <c r="AC30" s="1510">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77"/>
      <c r="Q31" s="1506">
        <f t="shared" si="11"/>
        <v>111</v>
      </c>
      <c r="R31" s="1507" t="s">
        <v>11</v>
      </c>
      <c r="S31" s="1508">
        <f t="shared" si="12"/>
        <v>100</v>
      </c>
      <c r="T31" s="1507" t="s">
        <v>11</v>
      </c>
      <c r="U31" s="1508">
        <f t="shared" si="13"/>
        <v>100</v>
      </c>
      <c r="V31" s="1507" t="s">
        <v>11</v>
      </c>
      <c r="W31" s="1508">
        <f t="shared" si="14"/>
        <v>100</v>
      </c>
      <c r="X31" s="1501"/>
      <c r="Y31" s="3577"/>
      <c r="Z31" s="1509">
        <f t="shared" si="15"/>
        <v>111</v>
      </c>
      <c r="AA31" s="1510">
        <f t="shared" si="3"/>
        <v>1</v>
      </c>
      <c r="AB31" s="1510">
        <f t="shared" si="4"/>
        <v>1</v>
      </c>
      <c r="AC31" s="1510">
        <f t="shared" si="5"/>
        <v>1</v>
      </c>
    </row>
    <row r="32" spans="1:29" ht="15">
      <c r="A32" s="2624" t="s">
        <v>2730</v>
      </c>
      <c r="B32" s="170" t="s">
        <v>717</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578" t="s">
        <v>542</v>
      </c>
      <c r="Q32" s="1506" t="str">
        <f t="shared" si="11"/>
        <v>建筑类型</v>
      </c>
      <c r="R32" s="1507" t="s">
        <v>11</v>
      </c>
      <c r="S32" s="1508">
        <f t="shared" si="12"/>
        <v>100</v>
      </c>
      <c r="T32" s="1507" t="s">
        <v>11</v>
      </c>
      <c r="U32" s="1508">
        <f t="shared" si="13"/>
        <v>100</v>
      </c>
      <c r="V32" s="1507" t="s">
        <v>11</v>
      </c>
      <c r="W32" s="1508">
        <f t="shared" si="14"/>
        <v>100</v>
      </c>
      <c r="X32" s="1501"/>
      <c r="Y32" s="3579" t="s">
        <v>542</v>
      </c>
      <c r="Z32" s="1509" t="str">
        <f t="shared" si="15"/>
        <v>建筑类型</v>
      </c>
      <c r="AA32" s="1510">
        <f t="shared" si="3"/>
        <v>1</v>
      </c>
      <c r="AB32" s="1510">
        <f t="shared" si="4"/>
        <v>1</v>
      </c>
      <c r="AC32" s="1510">
        <f t="shared" si="5"/>
        <v>1</v>
      </c>
    </row>
    <row r="33" spans="1:29" s="1292" customFormat="1" ht="15">
      <c r="A33" s="597"/>
      <c r="B33" s="521" t="s">
        <v>718</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3579"/>
      <c r="Q33" s="1535" t="str">
        <f t="shared" si="11"/>
        <v>项目建筑规模</v>
      </c>
      <c r="R33" s="1511" t="s">
        <v>11</v>
      </c>
      <c r="S33" s="1512" t="e">
        <f t="shared" si="12"/>
        <v>#N/A</v>
      </c>
      <c r="T33" s="1511" t="s">
        <v>11</v>
      </c>
      <c r="U33" s="1512" t="e">
        <f t="shared" si="13"/>
        <v>#N/A</v>
      </c>
      <c r="V33" s="1511" t="s">
        <v>11</v>
      </c>
      <c r="W33" s="1512" t="e">
        <f t="shared" si="14"/>
        <v>#N/A</v>
      </c>
      <c r="X33" s="1513"/>
      <c r="Y33" s="3579"/>
      <c r="Z33" s="1514" t="str">
        <f t="shared" si="15"/>
        <v>项目建筑规模</v>
      </c>
      <c r="AA33" s="1510" t="e">
        <f t="shared" si="3"/>
        <v>#N/A</v>
      </c>
      <c r="AB33" s="1510" t="e">
        <f t="shared" si="4"/>
        <v>#N/A</v>
      </c>
      <c r="AC33" s="1510" t="e">
        <f t="shared" si="5"/>
        <v>#N/A</v>
      </c>
    </row>
    <row r="34" spans="1:29" ht="15">
      <c r="A34" s="588"/>
      <c r="B34" s="521" t="s">
        <v>719</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579"/>
      <c r="Q34" s="1506" t="str">
        <f t="shared" si="11"/>
        <v>建筑结构</v>
      </c>
      <c r="R34" s="1507" t="s">
        <v>11</v>
      </c>
      <c r="S34" s="1508">
        <f t="shared" si="12"/>
        <v>100</v>
      </c>
      <c r="T34" s="1507" t="s">
        <v>11</v>
      </c>
      <c r="U34" s="1508">
        <f t="shared" si="13"/>
        <v>100</v>
      </c>
      <c r="V34" s="1507" t="s">
        <v>11</v>
      </c>
      <c r="W34" s="1508">
        <f t="shared" si="14"/>
        <v>100</v>
      </c>
      <c r="X34" s="1501"/>
      <c r="Y34" s="3579"/>
      <c r="Z34" s="1509" t="str">
        <f t="shared" si="15"/>
        <v>建筑结构</v>
      </c>
      <c r="AA34" s="1510">
        <f t="shared" si="3"/>
        <v>1</v>
      </c>
      <c r="AB34" s="1510">
        <f t="shared" si="4"/>
        <v>1</v>
      </c>
      <c r="AC34" s="1510">
        <f t="shared" si="5"/>
        <v>1</v>
      </c>
    </row>
    <row r="35" spans="1:29" ht="15">
      <c r="A35" s="588"/>
      <c r="B35" s="521" t="s">
        <v>720</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579"/>
      <c r="Q35" s="1506" t="str">
        <f t="shared" si="11"/>
        <v>建筑品质</v>
      </c>
      <c r="R35" s="1507" t="s">
        <v>11</v>
      </c>
      <c r="S35" s="1508">
        <f t="shared" si="12"/>
        <v>100</v>
      </c>
      <c r="T35" s="1507" t="s">
        <v>11</v>
      </c>
      <c r="U35" s="1508">
        <f t="shared" si="13"/>
        <v>100</v>
      </c>
      <c r="V35" s="1507" t="s">
        <v>11</v>
      </c>
      <c r="W35" s="1508">
        <f t="shared" si="14"/>
        <v>100</v>
      </c>
      <c r="X35" s="1501"/>
      <c r="Y35" s="3579"/>
      <c r="Z35" s="1509" t="str">
        <f t="shared" si="15"/>
        <v>建筑品质</v>
      </c>
      <c r="AA35" s="1510">
        <f t="shared" si="3"/>
        <v>1</v>
      </c>
      <c r="AB35" s="1510">
        <f t="shared" si="4"/>
        <v>1</v>
      </c>
      <c r="AC35" s="1510">
        <f t="shared" si="5"/>
        <v>1</v>
      </c>
    </row>
    <row r="36" spans="1:29" ht="15">
      <c r="A36" s="588"/>
      <c r="B36" s="521" t="s">
        <v>721</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579"/>
      <c r="Q36" s="1506" t="str">
        <f t="shared" si="11"/>
        <v>公共部分装修</v>
      </c>
      <c r="R36" s="1507" t="s">
        <v>11</v>
      </c>
      <c r="S36" s="1508">
        <f t="shared" si="12"/>
        <v>100</v>
      </c>
      <c r="T36" s="1507" t="s">
        <v>11</v>
      </c>
      <c r="U36" s="1508">
        <f t="shared" si="13"/>
        <v>100</v>
      </c>
      <c r="V36" s="1507" t="s">
        <v>11</v>
      </c>
      <c r="W36" s="1508">
        <f t="shared" si="14"/>
        <v>100</v>
      </c>
      <c r="X36" s="1501"/>
      <c r="Y36" s="3579"/>
      <c r="Z36" s="1509" t="str">
        <f t="shared" si="15"/>
        <v>公共部分装修</v>
      </c>
      <c r="AA36" s="1510">
        <f t="shared" si="3"/>
        <v>1</v>
      </c>
      <c r="AB36" s="1510">
        <f t="shared" si="4"/>
        <v>1</v>
      </c>
      <c r="AC36" s="1510">
        <f t="shared" si="5"/>
        <v>1</v>
      </c>
    </row>
    <row r="37" spans="1:29" s="1202" customFormat="1" ht="15">
      <c r="A37" s="594"/>
      <c r="B37" s="521" t="s">
        <v>722</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3579"/>
      <c r="Q37" s="1133" t="str">
        <f t="shared" si="11"/>
        <v>成新度</v>
      </c>
      <c r="R37" s="1502" t="s">
        <v>11</v>
      </c>
      <c r="S37" s="1503" t="e">
        <f t="shared" si="12"/>
        <v>#N/A</v>
      </c>
      <c r="T37" s="1502" t="s">
        <v>11</v>
      </c>
      <c r="U37" s="1503" t="e">
        <f t="shared" si="13"/>
        <v>#N/A</v>
      </c>
      <c r="V37" s="1502" t="s">
        <v>11</v>
      </c>
      <c r="W37" s="1503" t="e">
        <f t="shared" si="14"/>
        <v>#N/A</v>
      </c>
      <c r="X37" s="1504"/>
      <c r="Y37" s="3579"/>
      <c r="Z37" s="1132" t="str">
        <f t="shared" si="15"/>
        <v>成新度</v>
      </c>
      <c r="AA37" s="1505" t="e">
        <f t="shared" si="3"/>
        <v>#N/A</v>
      </c>
      <c r="AB37" s="1505" t="e">
        <f t="shared" si="4"/>
        <v>#N/A</v>
      </c>
      <c r="AC37" s="1505" t="e">
        <f t="shared" si="5"/>
        <v>#N/A</v>
      </c>
    </row>
    <row r="38" spans="1:29" ht="15">
      <c r="A38" s="588"/>
      <c r="B38" s="521" t="s">
        <v>723</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579" t="s">
        <v>542</v>
      </c>
      <c r="Q38" s="1506" t="str">
        <f t="shared" si="11"/>
        <v>物业管理</v>
      </c>
      <c r="R38" s="1507" t="s">
        <v>11</v>
      </c>
      <c r="S38" s="1508">
        <f t="shared" si="12"/>
        <v>100</v>
      </c>
      <c r="T38" s="1507" t="s">
        <v>11</v>
      </c>
      <c r="U38" s="1508">
        <f t="shared" si="13"/>
        <v>100</v>
      </c>
      <c r="V38" s="1507" t="s">
        <v>11</v>
      </c>
      <c r="W38" s="1508">
        <f t="shared" si="14"/>
        <v>100</v>
      </c>
      <c r="X38" s="1501"/>
      <c r="Y38" s="3579" t="s">
        <v>542</v>
      </c>
      <c r="Z38" s="1509" t="str">
        <f t="shared" si="15"/>
        <v>物业管理</v>
      </c>
      <c r="AA38" s="1510">
        <f t="shared" si="3"/>
        <v>1</v>
      </c>
      <c r="AB38" s="1510">
        <f t="shared" si="4"/>
        <v>1</v>
      </c>
      <c r="AC38" s="1510">
        <f t="shared" si="5"/>
        <v>1</v>
      </c>
    </row>
    <row r="39" spans="1:29" ht="15">
      <c r="A39" s="588"/>
      <c r="B39" s="1809" t="s">
        <v>2540</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579"/>
      <c r="Q39" s="1506" t="str">
        <f t="shared" si="11"/>
        <v>市政基础设施</v>
      </c>
      <c r="R39" s="1507" t="s">
        <v>11</v>
      </c>
      <c r="S39" s="1508">
        <f t="shared" si="12"/>
        <v>100</v>
      </c>
      <c r="T39" s="1507" t="s">
        <v>11</v>
      </c>
      <c r="U39" s="1508">
        <f t="shared" si="13"/>
        <v>100</v>
      </c>
      <c r="V39" s="1507" t="s">
        <v>11</v>
      </c>
      <c r="W39" s="1508">
        <f t="shared" si="14"/>
        <v>100</v>
      </c>
      <c r="X39" s="1501"/>
      <c r="Y39" s="3579"/>
      <c r="Z39" s="1509" t="str">
        <f t="shared" si="15"/>
        <v>市政基础设施</v>
      </c>
      <c r="AA39" s="1510">
        <f t="shared" si="3"/>
        <v>1</v>
      </c>
      <c r="AB39" s="1510">
        <f t="shared" si="4"/>
        <v>1</v>
      </c>
      <c r="AC39" s="1510">
        <f t="shared" si="5"/>
        <v>1</v>
      </c>
    </row>
    <row r="40" spans="1:29" ht="15">
      <c r="A40" s="588"/>
      <c r="B40" s="521" t="s">
        <v>724</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579"/>
      <c r="Q40" s="1506" t="str">
        <f t="shared" si="11"/>
        <v>房型</v>
      </c>
      <c r="R40" s="1507" t="s">
        <v>11</v>
      </c>
      <c r="S40" s="1508">
        <f t="shared" si="12"/>
        <v>100</v>
      </c>
      <c r="T40" s="1507" t="s">
        <v>11</v>
      </c>
      <c r="U40" s="1508">
        <f t="shared" si="13"/>
        <v>100</v>
      </c>
      <c r="V40" s="1507" t="s">
        <v>11</v>
      </c>
      <c r="W40" s="1508">
        <f t="shared" si="14"/>
        <v>100</v>
      </c>
      <c r="X40" s="1501"/>
      <c r="Y40" s="3579"/>
      <c r="Z40" s="1509" t="str">
        <f t="shared" si="15"/>
        <v>房型</v>
      </c>
      <c r="AA40" s="1510">
        <f t="shared" si="3"/>
        <v>1</v>
      </c>
      <c r="AB40" s="1510">
        <f t="shared" si="4"/>
        <v>1</v>
      </c>
      <c r="AC40" s="1510">
        <f t="shared" si="5"/>
        <v>1</v>
      </c>
    </row>
    <row r="41" spans="1:29" s="1292" customFormat="1" ht="28.5">
      <c r="A41" s="597"/>
      <c r="B41" s="521" t="s">
        <v>725</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79"/>
      <c r="Q41" s="1535" t="str">
        <f t="shared" si="11"/>
        <v>单套/主力户型建筑面积</v>
      </c>
      <c r="R41" s="1511" t="s">
        <v>11</v>
      </c>
      <c r="S41" s="1512">
        <f t="shared" si="12"/>
        <v>100</v>
      </c>
      <c r="T41" s="1511" t="s">
        <v>11</v>
      </c>
      <c r="U41" s="1512">
        <f t="shared" si="13"/>
        <v>100</v>
      </c>
      <c r="V41" s="1511" t="s">
        <v>11</v>
      </c>
      <c r="W41" s="1512">
        <f t="shared" si="14"/>
        <v>100</v>
      </c>
      <c r="X41" s="1513"/>
      <c r="Y41" s="3579"/>
      <c r="Z41" s="1514" t="str">
        <f t="shared" si="15"/>
        <v>单套/主力户型建筑面积</v>
      </c>
      <c r="AA41" s="1510">
        <f t="shared" si="3"/>
        <v>1</v>
      </c>
      <c r="AB41" s="1510">
        <f t="shared" si="4"/>
        <v>1</v>
      </c>
      <c r="AC41" s="1510">
        <f t="shared" si="5"/>
        <v>1</v>
      </c>
    </row>
    <row r="42" spans="1:29" ht="15">
      <c r="A42" s="588"/>
      <c r="B42" s="521" t="s">
        <v>726</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579"/>
      <c r="Q42" s="1506" t="str">
        <f t="shared" si="11"/>
        <v>内部装修</v>
      </c>
      <c r="R42" s="1507" t="s">
        <v>11</v>
      </c>
      <c r="S42" s="1508">
        <f t="shared" si="12"/>
        <v>100</v>
      </c>
      <c r="T42" s="1507" t="s">
        <v>11</v>
      </c>
      <c r="U42" s="1508">
        <f t="shared" si="13"/>
        <v>100</v>
      </c>
      <c r="V42" s="1507" t="s">
        <v>11</v>
      </c>
      <c r="W42" s="1508">
        <f t="shared" si="14"/>
        <v>100</v>
      </c>
      <c r="X42" s="1501"/>
      <c r="Y42" s="3579"/>
      <c r="Z42" s="1509" t="str">
        <f t="shared" si="15"/>
        <v>内部装修</v>
      </c>
      <c r="AA42" s="1510">
        <f t="shared" si="3"/>
        <v>1</v>
      </c>
      <c r="AB42" s="1510">
        <f t="shared" si="4"/>
        <v>1</v>
      </c>
      <c r="AC42" s="1510">
        <f t="shared" si="5"/>
        <v>1</v>
      </c>
    </row>
    <row r="43" spans="1:29" ht="27">
      <c r="A43" s="588"/>
      <c r="B43" s="521" t="s">
        <v>727</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579"/>
      <c r="Q43" s="1506" t="str">
        <f t="shared" si="11"/>
        <v>内部装修维护情况</v>
      </c>
      <c r="R43" s="1507" t="s">
        <v>11</v>
      </c>
      <c r="S43" s="1508">
        <f t="shared" si="12"/>
        <v>100</v>
      </c>
      <c r="T43" s="1507" t="s">
        <v>11</v>
      </c>
      <c r="U43" s="1508">
        <f t="shared" si="13"/>
        <v>100</v>
      </c>
      <c r="V43" s="1507" t="s">
        <v>11</v>
      </c>
      <c r="W43" s="1508">
        <f t="shared" si="14"/>
        <v>100</v>
      </c>
      <c r="X43" s="1501"/>
      <c r="Y43" s="3579"/>
      <c r="Z43" s="1509" t="str">
        <f t="shared" si="15"/>
        <v>内部装修维护情况</v>
      </c>
      <c r="AA43" s="1510">
        <f t="shared" si="3"/>
        <v>1</v>
      </c>
      <c r="AB43" s="1510">
        <f t="shared" si="4"/>
        <v>1</v>
      </c>
      <c r="AC43" s="1510">
        <f t="shared" si="5"/>
        <v>1</v>
      </c>
    </row>
    <row r="44" spans="1:29" s="1202"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579"/>
      <c r="Q44" s="1133">
        <f t="shared" si="11"/>
        <v>111</v>
      </c>
      <c r="R44" s="1502" t="s">
        <v>11</v>
      </c>
      <c r="S44" s="1503">
        <f t="shared" si="12"/>
        <v>100</v>
      </c>
      <c r="T44" s="1502" t="s">
        <v>11</v>
      </c>
      <c r="U44" s="1503">
        <f t="shared" si="13"/>
        <v>100</v>
      </c>
      <c r="V44" s="1502" t="s">
        <v>11</v>
      </c>
      <c r="W44" s="1503">
        <f t="shared" si="14"/>
        <v>100</v>
      </c>
      <c r="X44" s="1504"/>
      <c r="Y44" s="3579"/>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79"/>
      <c r="Q45" s="1506">
        <f t="shared" si="11"/>
        <v>111</v>
      </c>
      <c r="R45" s="1507" t="s">
        <v>11</v>
      </c>
      <c r="S45" s="1508">
        <f t="shared" si="12"/>
        <v>100</v>
      </c>
      <c r="T45" s="1507" t="s">
        <v>11</v>
      </c>
      <c r="U45" s="1508">
        <f t="shared" si="13"/>
        <v>100</v>
      </c>
      <c r="V45" s="1507" t="s">
        <v>11</v>
      </c>
      <c r="W45" s="1508">
        <f t="shared" si="14"/>
        <v>100</v>
      </c>
      <c r="X45" s="1501"/>
      <c r="Y45" s="3579"/>
      <c r="Z45" s="1509">
        <f t="shared" si="15"/>
        <v>111</v>
      </c>
      <c r="AA45" s="1510">
        <f t="shared" si="3"/>
        <v>1</v>
      </c>
      <c r="AB45" s="1510">
        <f t="shared" si="4"/>
        <v>1</v>
      </c>
      <c r="AC45" s="1510">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80"/>
      <c r="Q46" s="1506">
        <f t="shared" si="11"/>
        <v>111</v>
      </c>
      <c r="R46" s="1507" t="s">
        <v>10</v>
      </c>
      <c r="S46" s="1508">
        <f t="shared" si="12"/>
        <v>100</v>
      </c>
      <c r="T46" s="1507" t="s">
        <v>10</v>
      </c>
      <c r="U46" s="1508">
        <f t="shared" si="13"/>
        <v>100</v>
      </c>
      <c r="V46" s="1507" t="s">
        <v>10</v>
      </c>
      <c r="W46" s="1508">
        <f t="shared" si="14"/>
        <v>100</v>
      </c>
      <c r="X46" s="1501"/>
      <c r="Y46" s="3680"/>
      <c r="Z46" s="1509">
        <f t="shared" si="15"/>
        <v>111</v>
      </c>
      <c r="AA46" s="1510">
        <f t="shared" si="3"/>
        <v>1</v>
      </c>
      <c r="AB46" s="1510">
        <f t="shared" si="4"/>
        <v>1</v>
      </c>
      <c r="AC46" s="1510">
        <f t="shared" si="5"/>
        <v>1</v>
      </c>
    </row>
    <row r="47" spans="1:29" ht="15">
      <c r="A47" s="601" t="s">
        <v>728</v>
      </c>
      <c r="B47" s="876"/>
      <c r="C47" s="2470" t="s">
        <v>9</v>
      </c>
      <c r="D47" s="2471"/>
      <c r="E47" s="2472"/>
      <c r="F47" s="2473"/>
      <c r="G47" s="2474"/>
      <c r="H47" s="2475"/>
      <c r="I47" s="2472"/>
      <c r="J47" s="2475"/>
      <c r="K47" s="1536"/>
      <c r="L47" s="2026"/>
      <c r="M47" s="2027"/>
      <c r="N47" s="2016"/>
      <c r="O47" s="2027"/>
      <c r="P47" s="3574" t="str">
        <f>A47</f>
        <v>成交单价（元/平方米）</v>
      </c>
      <c r="Q47" s="3574"/>
      <c r="R47" s="3679">
        <f>E47</f>
        <v>0</v>
      </c>
      <c r="S47" s="3679"/>
      <c r="T47" s="3679">
        <f>G47</f>
        <v>0</v>
      </c>
      <c r="U47" s="3679"/>
      <c r="V47" s="3679">
        <f>I47</f>
        <v>0</v>
      </c>
      <c r="W47" s="3679"/>
      <c r="X47" s="1496"/>
      <c r="Y47" s="1515"/>
      <c r="Z47" s="1496"/>
      <c r="AA47" s="1496"/>
      <c r="AB47" s="1496"/>
      <c r="AC47" s="1496"/>
    </row>
    <row r="48" spans="1:29" ht="15.75" thickBot="1">
      <c r="A48" s="609" t="s">
        <v>2735</v>
      </c>
      <c r="B48" s="877"/>
      <c r="C48" s="2476" t="e">
        <f>R49</f>
        <v>#DIV/0!</v>
      </c>
      <c r="D48" s="3013" t="s">
        <v>2960</v>
      </c>
      <c r="E48" s="2477" t="e">
        <f>R48</f>
        <v>#DIV/0!</v>
      </c>
      <c r="F48" s="3014"/>
      <c r="G48" s="2476" t="e">
        <f>T48</f>
        <v>#DIV/0!</v>
      </c>
      <c r="H48" s="3014"/>
      <c r="I48" s="2477" t="e">
        <f>V48</f>
        <v>#DIV/0!</v>
      </c>
      <c r="J48" s="3014"/>
      <c r="K48" s="3022">
        <f>F48+H48+J48</f>
        <v>0</v>
      </c>
      <c r="L48" s="2026"/>
      <c r="M48" s="2027"/>
      <c r="N48" s="2027"/>
      <c r="O48" s="2027"/>
      <c r="P48" s="3574" t="str">
        <f>A48</f>
        <v>比较价格（元/平方米）</v>
      </c>
      <c r="Q48" s="3574"/>
      <c r="R48" s="3679" t="e">
        <f>IF(F1="售价",ROUND(PRODUCT(R47,AA7:AA46),0),ROUND(PRODUCT(R47,AA7:AA46),1))</f>
        <v>#DIV/0!</v>
      </c>
      <c r="S48" s="3679"/>
      <c r="T48" s="3679" t="e">
        <f>IF(F1="售价",ROUND(PRODUCT(T47,AB7:AB46),0),ROUND(PRODUCT(T47,AB7:AB46),1))</f>
        <v>#DIV/0!</v>
      </c>
      <c r="U48" s="3679"/>
      <c r="V48" s="3679" t="e">
        <f>IF(F1="售价",ROUND(PRODUCT(V47,AC7:AC46),0),ROUND(PRODUCT(V47,AC7:AC46),1))</f>
        <v>#DIV/0!</v>
      </c>
      <c r="W48" s="3679"/>
      <c r="X48" s="1496"/>
      <c r="Y48" s="1496"/>
      <c r="Z48" s="1496"/>
      <c r="AA48" s="1496"/>
      <c r="AB48" s="1496"/>
      <c r="AC48" s="1496"/>
    </row>
    <row r="49" spans="1:29" ht="15.75" thickBot="1">
      <c r="A49" s="613" t="s">
        <v>2893</v>
      </c>
      <c r="B49" s="614"/>
      <c r="C49" s="2478" t="e">
        <f>R49</f>
        <v>#DIV/0!</v>
      </c>
      <c r="D49" s="2478"/>
      <c r="E49" s="2478"/>
      <c r="F49" s="2478"/>
      <c r="G49" s="2478"/>
      <c r="H49" s="2478"/>
      <c r="I49" s="2478"/>
      <c r="J49" s="2478"/>
      <c r="K49" s="1537"/>
      <c r="L49" s="2026"/>
      <c r="M49" s="2027"/>
      <c r="N49" s="2027"/>
      <c r="O49" s="2027"/>
      <c r="P49" s="3595" t="str">
        <f>A49</f>
        <v>估价对象XX用房的比较价格（楼面单价，元/平方米）</v>
      </c>
      <c r="Q49" s="3596"/>
      <c r="R49" s="3678" t="e">
        <f>IF(F1="售价",ROUND(IF(D48="简单平均",AVERAGE(R48:V48),R48*F48+T48*H48+V48*J48),0),ROUND(IF(D48="简单平均",AVERAGE(R48:V48),R48*F48+T48*H48+V48*J48),1))</f>
        <v>#DIV/0!</v>
      </c>
      <c r="S49" s="3678"/>
      <c r="T49" s="3678"/>
      <c r="U49" s="3678"/>
      <c r="V49" s="3678"/>
      <c r="W49" s="3678"/>
      <c r="X49" s="1496"/>
      <c r="Y49" s="1496"/>
      <c r="Z49" s="1496"/>
      <c r="AA49" s="1496"/>
      <c r="AB49" s="1496"/>
      <c r="AC49" s="1496"/>
    </row>
    <row r="50" spans="1:29">
      <c r="A50" s="3210"/>
      <c r="B50" s="3210"/>
      <c r="C50" s="3210"/>
      <c r="D50" s="3210"/>
      <c r="E50" s="3210"/>
      <c r="F50" s="3210"/>
      <c r="G50" s="3212"/>
      <c r="H50" s="3210"/>
      <c r="I50" s="3210"/>
      <c r="J50" s="3210"/>
      <c r="K50" s="3213"/>
      <c r="L50" s="2031"/>
      <c r="M50" s="2027"/>
      <c r="N50" s="2027"/>
      <c r="O50" s="2027"/>
      <c r="P50" s="2027"/>
      <c r="Q50" s="2027"/>
      <c r="R50" s="2027"/>
      <c r="S50" s="2027"/>
      <c r="T50" s="2027"/>
      <c r="U50" s="2027"/>
      <c r="V50" s="2027"/>
      <c r="W50" s="2027"/>
      <c r="X50" s="2027"/>
      <c r="Y50" s="2027"/>
      <c r="Z50" s="2027"/>
      <c r="AA50" s="2027"/>
      <c r="AB50" s="2027"/>
      <c r="AC50" s="2027"/>
    </row>
    <row r="51" spans="1:29">
      <c r="A51" s="3210"/>
      <c r="B51" s="3210"/>
      <c r="C51" s="3210"/>
      <c r="D51" s="3210"/>
      <c r="E51" s="3210"/>
      <c r="F51" s="3210"/>
      <c r="G51" s="3210"/>
      <c r="H51" s="3210"/>
      <c r="I51" s="3210"/>
      <c r="J51" s="3210"/>
      <c r="K51" s="3213"/>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0"/>
      <c r="B52" s="3210"/>
      <c r="C52" s="616" t="s">
        <v>549</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3"/>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0"/>
      <c r="B53" s="3210"/>
      <c r="C53" s="616" t="s">
        <v>550</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3"/>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1"/>
      <c r="B54" s="3211"/>
      <c r="C54" s="616" t="s">
        <v>551</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4"/>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566</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521</v>
      </c>
      <c r="B58" s="638"/>
      <c r="C58" s="2521" t="str">
        <f>YEAR(C7)&amp;"-"&amp;MONTH(C7)</f>
        <v>2021-9</v>
      </c>
      <c r="D58" s="2521">
        <f>EDATE(C58,-1)</f>
        <v>44409</v>
      </c>
      <c r="E58" s="2521">
        <f t="shared" ref="E58:O58" si="16">EDATE(D58,-1)</f>
        <v>44378</v>
      </c>
      <c r="F58" s="2521">
        <f t="shared" si="16"/>
        <v>44348</v>
      </c>
      <c r="G58" s="2521">
        <f t="shared" si="16"/>
        <v>44317</v>
      </c>
      <c r="H58" s="2521">
        <f t="shared" si="16"/>
        <v>44287</v>
      </c>
      <c r="I58" s="2521">
        <f t="shared" si="16"/>
        <v>44256</v>
      </c>
      <c r="J58" s="2521">
        <f t="shared" si="16"/>
        <v>44228</v>
      </c>
      <c r="K58" s="2521">
        <f t="shared" si="16"/>
        <v>44197</v>
      </c>
      <c r="L58" s="2521">
        <f t="shared" si="16"/>
        <v>44166</v>
      </c>
      <c r="M58" s="2521">
        <f t="shared" si="16"/>
        <v>44136</v>
      </c>
      <c r="N58" s="2521">
        <f t="shared" si="16"/>
        <v>44105</v>
      </c>
      <c r="O58" s="2521">
        <f t="shared" si="16"/>
        <v>44075</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2" customFormat="1" ht="15.75" thickBot="1">
      <c r="A60" s="645" t="s">
        <v>567</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523</v>
      </c>
      <c r="B61" s="640"/>
      <c r="C61" s="652" t="s">
        <v>568</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569</v>
      </c>
      <c r="B63" s="657" t="s">
        <v>526</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1"/>
      <c r="B65" s="665" t="s">
        <v>529</v>
      </c>
      <c r="C65" s="666" t="s">
        <v>729</v>
      </c>
      <c r="D65" s="666" t="s">
        <v>730</v>
      </c>
      <c r="E65" s="666" t="s">
        <v>731</v>
      </c>
      <c r="F65" s="666" t="s">
        <v>732</v>
      </c>
      <c r="G65" s="666" t="s">
        <v>733</v>
      </c>
      <c r="H65" s="666" t="s">
        <v>734</v>
      </c>
      <c r="I65" s="666" t="s">
        <v>735</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530</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531</v>
      </c>
      <c r="B76" s="657" t="s">
        <v>570</v>
      </c>
      <c r="C76" s="695" t="s">
        <v>571</v>
      </c>
      <c r="D76" s="695" t="s">
        <v>572</v>
      </c>
      <c r="E76" s="695" t="s">
        <v>573</v>
      </c>
      <c r="F76" s="695" t="s">
        <v>574</v>
      </c>
      <c r="G76" s="695" t="s">
        <v>575</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578</v>
      </c>
      <c r="C78" s="700" t="s">
        <v>571</v>
      </c>
      <c r="D78" s="700" t="s">
        <v>572</v>
      </c>
      <c r="E78" s="700" t="s">
        <v>573</v>
      </c>
      <c r="F78" s="700" t="s">
        <v>574</v>
      </c>
      <c r="G78" s="700" t="s">
        <v>575</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2533</v>
      </c>
      <c r="C80" s="700" t="s">
        <v>571</v>
      </c>
      <c r="D80" s="700" t="s">
        <v>572</v>
      </c>
      <c r="E80" s="700" t="s">
        <v>573</v>
      </c>
      <c r="F80" s="700" t="s">
        <v>574</v>
      </c>
      <c r="G80" s="700" t="s">
        <v>575</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2534</v>
      </c>
      <c r="C82" s="2442" t="s">
        <v>2535</v>
      </c>
      <c r="D82" s="2442" t="s">
        <v>2536</v>
      </c>
      <c r="E82" s="2442" t="s">
        <v>2537</v>
      </c>
      <c r="F82" s="2442" t="s">
        <v>2538</v>
      </c>
      <c r="G82" s="2442" t="s">
        <v>2539</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736</v>
      </c>
      <c r="C84" s="700" t="s">
        <v>571</v>
      </c>
      <c r="D84" s="700" t="s">
        <v>572</v>
      </c>
      <c r="E84" s="700" t="s">
        <v>573</v>
      </c>
      <c r="F84" s="700" t="s">
        <v>574</v>
      </c>
      <c r="G84" s="700" t="s">
        <v>575</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1810" t="s">
        <v>2241</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
        <v>738</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543</v>
      </c>
      <c r="B100" s="657" t="s">
        <v>739</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740</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741</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742</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743</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2" customFormat="1" ht="15" thickTop="1">
      <c r="A111" s="720"/>
      <c r="B111" s="665" t="s">
        <v>744</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2"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745</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2532</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746</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2" customFormat="1" ht="28.5" thickTop="1">
      <c r="A120" s="720"/>
      <c r="B120" s="665" t="s">
        <v>725</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747</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748</v>
      </c>
      <c r="C124" s="700" t="s">
        <v>571</v>
      </c>
      <c r="D124" s="700" t="s">
        <v>572</v>
      </c>
      <c r="E124" s="700" t="s">
        <v>573</v>
      </c>
      <c r="F124" s="700" t="s">
        <v>574</v>
      </c>
      <c r="G124" s="700" t="s">
        <v>575</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2242</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2243</v>
      </c>
      <c r="C137" s="1833"/>
      <c r="D137" s="1833"/>
      <c r="E137" s="1833"/>
      <c r="F137" s="1833"/>
      <c r="G137" s="1834"/>
      <c r="H137" s="1835"/>
      <c r="I137" s="1836" t="s">
        <v>2244</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2245</v>
      </c>
      <c r="D138" s="1839" t="s">
        <v>2246</v>
      </c>
      <c r="E138" s="1840" t="s">
        <v>2247</v>
      </c>
      <c r="F138" s="1841" t="s">
        <v>2248</v>
      </c>
      <c r="G138" s="1839" t="s">
        <v>2249</v>
      </c>
      <c r="H138" s="1842" t="s">
        <v>2250</v>
      </c>
      <c r="I138" s="1843"/>
      <c r="J138" s="1839" t="s">
        <v>2251</v>
      </c>
      <c r="K138" s="1842" t="s">
        <v>2252</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2253</v>
      </c>
      <c r="E139" s="1813">
        <v>100</v>
      </c>
      <c r="F139" s="1814">
        <v>102.5</v>
      </c>
      <c r="G139" s="1844" t="s">
        <v>2254</v>
      </c>
      <c r="H139" s="1815">
        <v>105</v>
      </c>
      <c r="I139" s="1845" t="s">
        <v>2255</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2256</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2257</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2258</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2259</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2260</v>
      </c>
      <c r="E144" s="1819">
        <v>102</v>
      </c>
      <c r="F144" s="1825">
        <v>100</v>
      </c>
      <c r="G144" s="1848" t="s">
        <v>2260</v>
      </c>
      <c r="H144" s="1821">
        <v>105</v>
      </c>
      <c r="I144" s="1847" t="s">
        <v>2259</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2261</v>
      </c>
      <c r="C145" s="1826">
        <f>ROUND(MAX(C139:C144)/MIN(C139:C144)-1,3)</f>
        <v>7.2999999999999995E-2</v>
      </c>
      <c r="D145" s="1850"/>
      <c r="E145" s="1850"/>
      <c r="F145" s="1851" t="s">
        <v>2262</v>
      </c>
      <c r="G145" s="1852"/>
      <c r="H145" s="1853"/>
      <c r="I145" s="1854" t="s">
        <v>2259</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2270</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2271</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2">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C10 E10 G10 I10" xr:uid="{00000000-0002-0000-2200-000011000000}">
      <formula1>土地年限区间</formula1>
    </dataValidation>
    <dataValidation type="list" allowBlank="1" showInputMessage="1" showErrorMessage="1" sqref="E9 G9 I9" xr:uid="{00000000-0002-0000-2200-000012000000}">
      <formula1>住宅用途</formula1>
    </dataValidation>
    <dataValidation type="list" allowBlank="1" showInputMessage="1" showErrorMessage="1" sqref="C22 E22 G22 I22" xr:uid="{00000000-0002-0000-2200-000013000000}">
      <formula1>基础设施水平</formula1>
    </dataValidation>
    <dataValidation type="list" allowBlank="1" showInputMessage="1" showErrorMessage="1" sqref="F1" xr:uid="{00000000-0002-0000-2200-000014000000}">
      <formula1>"售价,租金"</formula1>
    </dataValidation>
    <dataValidation type="list" allowBlank="1" showInputMessage="1" showErrorMessage="1" sqref="D48" xr:uid="{00000000-0002-0000-22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1" zoomScale="80" zoomScaleNormal="60" zoomScaleSheetLayoutView="80" workbookViewId="0">
      <selection activeCell="K15" sqref="K15"/>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710</v>
      </c>
      <c r="B1" s="497" t="s">
        <v>749</v>
      </c>
      <c r="C1" s="498" t="s">
        <v>712</v>
      </c>
      <c r="D1" s="2225"/>
      <c r="E1" s="500"/>
      <c r="F1" s="2524"/>
      <c r="G1" s="1531" t="s">
        <v>713</v>
      </c>
      <c r="H1" s="500"/>
      <c r="I1" s="500"/>
      <c r="J1" s="500"/>
      <c r="K1" s="501"/>
      <c r="L1" s="3206"/>
      <c r="M1" s="3207"/>
      <c r="N1" s="3207"/>
      <c r="O1" s="3207"/>
      <c r="P1" s="2014"/>
      <c r="Q1" s="2014"/>
      <c r="R1" s="2014"/>
      <c r="S1" s="2014"/>
      <c r="T1" s="2014"/>
      <c r="U1" s="2014"/>
      <c r="V1" s="2014"/>
      <c r="W1" s="2014"/>
      <c r="X1" s="2014"/>
      <c r="Y1" s="2014"/>
      <c r="Z1" s="2014"/>
      <c r="AA1" s="2014"/>
      <c r="AB1" s="2014"/>
      <c r="AC1" s="3208"/>
    </row>
    <row r="2" spans="1:29" s="1289" customFormat="1" ht="28.5" customHeight="1">
      <c r="A2" s="417" t="s">
        <v>459</v>
      </c>
      <c r="B2" s="839">
        <f>ROUND(B3*D3/10000,0)</f>
        <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08"/>
    </row>
    <row r="3" spans="1:29" s="1289" customFormat="1" ht="28.5" customHeight="1" thickBot="1">
      <c r="A3" s="503" t="s">
        <v>511</v>
      </c>
      <c r="B3" s="504">
        <f>C49</f>
        <v>5</v>
      </c>
      <c r="C3" s="841" t="s">
        <v>714</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513</v>
      </c>
      <c r="B4" s="507"/>
      <c r="C4" s="3580" t="s">
        <v>514</v>
      </c>
      <c r="D4" s="3581"/>
      <c r="E4" s="3605" t="s">
        <v>515</v>
      </c>
      <c r="F4" s="3606"/>
      <c r="G4" s="3580" t="s">
        <v>516</v>
      </c>
      <c r="H4" s="3581"/>
      <c r="I4" s="3580" t="s">
        <v>517</v>
      </c>
      <c r="J4" s="3581"/>
      <c r="K4" s="508" t="s">
        <v>518</v>
      </c>
      <c r="L4" s="2015"/>
      <c r="M4" s="2016"/>
      <c r="N4" s="2016"/>
      <c r="O4" s="2016"/>
      <c r="P4" s="3582" t="s">
        <v>519</v>
      </c>
      <c r="Q4" s="3583"/>
      <c r="R4" s="3568" t="s">
        <v>515</v>
      </c>
      <c r="S4" s="3569"/>
      <c r="T4" s="3568" t="s">
        <v>516</v>
      </c>
      <c r="U4" s="3569"/>
      <c r="V4" s="3588" t="s">
        <v>517</v>
      </c>
      <c r="W4" s="3588"/>
      <c r="X4" s="1501"/>
      <c r="Y4" s="3568" t="s">
        <v>519</v>
      </c>
      <c r="Z4" s="3569"/>
      <c r="AA4" s="3563" t="s">
        <v>515</v>
      </c>
      <c r="AB4" s="3588" t="s">
        <v>516</v>
      </c>
      <c r="AC4" s="3563" t="s">
        <v>517</v>
      </c>
    </row>
    <row r="5" spans="1:29" ht="15">
      <c r="A5" s="509"/>
      <c r="B5" s="510"/>
      <c r="C5" s="3591" t="s">
        <v>2887</v>
      </c>
      <c r="D5" s="3592"/>
      <c r="E5" s="3607" t="str">
        <f>商业案例截图及地图!H1</f>
        <v>群芳三园</v>
      </c>
      <c r="F5" s="3608"/>
      <c r="G5" s="3591" t="str">
        <f>商业案例截图及地图!H16</f>
        <v>华远铭悦</v>
      </c>
      <c r="H5" s="3592"/>
      <c r="I5" s="3591" t="str">
        <f>商业案例截图及地图!H32</f>
        <v>华远好天地</v>
      </c>
      <c r="J5" s="3592"/>
      <c r="K5" s="508"/>
      <c r="L5" s="2015"/>
      <c r="M5" s="2016"/>
      <c r="N5" s="2016"/>
      <c r="O5" s="2016"/>
      <c r="P5" s="3584"/>
      <c r="Q5" s="3585"/>
      <c r="R5" s="3570"/>
      <c r="S5" s="3571"/>
      <c r="T5" s="3570"/>
      <c r="U5" s="3571"/>
      <c r="V5" s="3588"/>
      <c r="W5" s="3588"/>
      <c r="X5" s="1501"/>
      <c r="Y5" s="3570"/>
      <c r="Z5" s="3571"/>
      <c r="AA5" s="3564"/>
      <c r="AB5" s="3588"/>
      <c r="AC5" s="3564"/>
    </row>
    <row r="6" spans="1:29" ht="15.75" thickBot="1">
      <c r="A6" s="511"/>
      <c r="B6" s="512"/>
      <c r="C6" s="3589" t="s">
        <v>2891</v>
      </c>
      <c r="D6" s="3590"/>
      <c r="E6" s="3609" t="s">
        <v>2891</v>
      </c>
      <c r="F6" s="3610"/>
      <c r="G6" s="3589" t="s">
        <v>2891</v>
      </c>
      <c r="H6" s="3590"/>
      <c r="I6" s="3589" t="s">
        <v>2891</v>
      </c>
      <c r="J6" s="3590"/>
      <c r="K6" s="508" t="s">
        <v>520</v>
      </c>
      <c r="L6" s="2015"/>
      <c r="M6" s="2016"/>
      <c r="N6" s="2016"/>
      <c r="O6" s="2016"/>
      <c r="P6" s="3586"/>
      <c r="Q6" s="3587"/>
      <c r="R6" s="3570"/>
      <c r="S6" s="3571"/>
      <c r="T6" s="3572"/>
      <c r="U6" s="3573"/>
      <c r="V6" s="3588"/>
      <c r="W6" s="3588"/>
      <c r="X6" s="1501"/>
      <c r="Y6" s="3572"/>
      <c r="Z6" s="3573"/>
      <c r="AA6" s="3565"/>
      <c r="AB6" s="3588"/>
      <c r="AC6" s="3565"/>
    </row>
    <row r="7" spans="1:29" s="1202" customFormat="1" ht="15.75" thickBot="1">
      <c r="A7" s="2629"/>
      <c r="B7" s="2636" t="s">
        <v>521</v>
      </c>
      <c r="C7" s="513">
        <f>'数据-取费表'!B2</f>
        <v>44463</v>
      </c>
      <c r="D7" s="514">
        <v>100</v>
      </c>
      <c r="E7" s="515">
        <v>44256</v>
      </c>
      <c r="F7" s="516">
        <f>SUMIF(58:58,YEAR(E7)&amp;"-"&amp;MONTH(E7),59:59)</f>
        <v>100</v>
      </c>
      <c r="G7" s="515">
        <v>44287</v>
      </c>
      <c r="H7" s="514">
        <f>SUMIF(58:58,YEAR(G7)&amp;"-"&amp;MONTH(G7),59:59)</f>
        <v>100</v>
      </c>
      <c r="I7" s="515">
        <v>44197</v>
      </c>
      <c r="J7" s="514">
        <f>SUMIF(58:58,YEAR(I7)&amp;"-"&amp;MONTH(I7),59:59)</f>
        <v>100</v>
      </c>
      <c r="K7" s="518"/>
      <c r="L7" s="2017"/>
      <c r="M7" s="2018"/>
      <c r="N7" s="2018"/>
      <c r="O7" s="2018"/>
      <c r="P7" s="3566" t="s">
        <v>522</v>
      </c>
      <c r="Q7" s="3575"/>
      <c r="R7" s="1502" t="s">
        <v>8</v>
      </c>
      <c r="S7" s="1503">
        <f t="shared" ref="S7:S15" si="0">F7</f>
        <v>100</v>
      </c>
      <c r="T7" s="1502" t="s">
        <v>8</v>
      </c>
      <c r="U7" s="1503">
        <f t="shared" ref="U7:U15" si="1">H7</f>
        <v>100</v>
      </c>
      <c r="V7" s="1502" t="s">
        <v>8</v>
      </c>
      <c r="W7" s="1503">
        <f t="shared" ref="W7:W15" si="2">J7</f>
        <v>100</v>
      </c>
      <c r="X7" s="1504"/>
      <c r="Y7" s="3566" t="s">
        <v>522</v>
      </c>
      <c r="Z7" s="3567"/>
      <c r="AA7" s="1505">
        <f>D7/F7</f>
        <v>1</v>
      </c>
      <c r="AB7" s="1505">
        <f>D7/H7</f>
        <v>1</v>
      </c>
      <c r="AC7" s="1505">
        <f>D7/J7</f>
        <v>1</v>
      </c>
    </row>
    <row r="8" spans="1:29" s="1202" customFormat="1" ht="15.75" thickBot="1">
      <c r="A8" s="2630"/>
      <c r="B8" s="2637" t="s">
        <v>523</v>
      </c>
      <c r="C8" s="519" t="s">
        <v>568</v>
      </c>
      <c r="D8" s="514">
        <v>100</v>
      </c>
      <c r="E8" s="519" t="s">
        <v>3039</v>
      </c>
      <c r="F8" s="516">
        <f>SUMIF(61:61,E8,62:62)-SUMIF(61:61,C8,62:62)+100</f>
        <v>100</v>
      </c>
      <c r="G8" s="519" t="s">
        <v>3039</v>
      </c>
      <c r="H8" s="514">
        <f>SUMIF(61:61,G8,62:62)-SUMIF(61:61,C8,62:62)+100</f>
        <v>100</v>
      </c>
      <c r="I8" s="519" t="s">
        <v>3039</v>
      </c>
      <c r="J8" s="514">
        <f>SUMIF(61:61,I8,62:62)-SUMIF(61:61,C8,62:62)+100</f>
        <v>100</v>
      </c>
      <c r="K8" s="518"/>
      <c r="L8" s="2017"/>
      <c r="M8" s="2018"/>
      <c r="N8" s="2018"/>
      <c r="O8" s="2018"/>
      <c r="P8" s="3566" t="s">
        <v>525</v>
      </c>
      <c r="Q8" s="3567"/>
      <c r="R8" s="1502" t="s">
        <v>8</v>
      </c>
      <c r="S8" s="1503">
        <f t="shared" si="0"/>
        <v>100</v>
      </c>
      <c r="T8" s="1502" t="s">
        <v>8</v>
      </c>
      <c r="U8" s="1503">
        <f t="shared" si="1"/>
        <v>100</v>
      </c>
      <c r="V8" s="1502" t="s">
        <v>8</v>
      </c>
      <c r="W8" s="1503">
        <f t="shared" si="2"/>
        <v>100</v>
      </c>
      <c r="X8" s="1504"/>
      <c r="Y8" s="3566" t="s">
        <v>525</v>
      </c>
      <c r="Z8" s="3567"/>
      <c r="AA8" s="1505">
        <f t="shared" ref="AA8:AA46" si="3">D8/F8</f>
        <v>1</v>
      </c>
      <c r="AB8" s="1505">
        <f t="shared" ref="AB8:AB46" si="4">D8/H8</f>
        <v>1</v>
      </c>
      <c r="AC8" s="1505">
        <f t="shared" ref="AC8:AC46" si="5">D8/J8</f>
        <v>1</v>
      </c>
    </row>
    <row r="9" spans="1:29" s="1202" customFormat="1" ht="15">
      <c r="A9" s="2631"/>
      <c r="B9" s="2638" t="s">
        <v>2731</v>
      </c>
      <c r="C9" s="3301" t="s">
        <v>3038</v>
      </c>
      <c r="D9" s="252">
        <v>100</v>
      </c>
      <c r="E9" s="849" t="s">
        <v>2996</v>
      </c>
      <c r="F9" s="252">
        <f>SUMIF(63:63,E9,64:64)-SUMIF(63:63,C9,64:64)+100</f>
        <v>100</v>
      </c>
      <c r="G9" s="847" t="s">
        <v>2996</v>
      </c>
      <c r="H9" s="252">
        <f>SUMIF(63:63,G9,64:64)-SUMIF(63:63,C9,64:64)+100</f>
        <v>100</v>
      </c>
      <c r="I9" s="847" t="s">
        <v>2996</v>
      </c>
      <c r="J9" s="252">
        <f>SUMIF(63:63,I9,64:64)-SUMIF(63:63,C9,64:64)+100</f>
        <v>100</v>
      </c>
      <c r="K9" s="518"/>
      <c r="L9" s="2017"/>
      <c r="M9" s="2018"/>
      <c r="N9" s="2018"/>
      <c r="O9" s="2019"/>
      <c r="P9" s="3574" t="s">
        <v>527</v>
      </c>
      <c r="Q9" s="1133" t="str">
        <f t="shared" ref="Q9:Q15" si="6">B9</f>
        <v>用途</v>
      </c>
      <c r="R9" s="1502" t="s">
        <v>8</v>
      </c>
      <c r="S9" s="1503">
        <f t="shared" si="0"/>
        <v>100</v>
      </c>
      <c r="T9" s="1502" t="s">
        <v>8</v>
      </c>
      <c r="U9" s="1503">
        <f t="shared" si="1"/>
        <v>100</v>
      </c>
      <c r="V9" s="1502" t="s">
        <v>8</v>
      </c>
      <c r="W9" s="1503">
        <f t="shared" si="2"/>
        <v>100</v>
      </c>
      <c r="X9" s="1504"/>
      <c r="Y9" s="3525" t="s">
        <v>528</v>
      </c>
      <c r="Z9" s="1132" t="str">
        <f t="shared" ref="Z9:Z15" si="7">Q9</f>
        <v>用途</v>
      </c>
      <c r="AA9" s="1505">
        <f t="shared" si="3"/>
        <v>1</v>
      </c>
      <c r="AB9" s="1505">
        <f t="shared" si="4"/>
        <v>1</v>
      </c>
      <c r="AC9" s="1505">
        <f t="shared" si="5"/>
        <v>1</v>
      </c>
    </row>
    <row r="10" spans="1:29" s="1291" customFormat="1" ht="27.75" thickBot="1">
      <c r="A10" s="2632"/>
      <c r="B10" s="2637" t="s">
        <v>2732</v>
      </c>
      <c r="C10" s="850" t="s">
        <v>3040</v>
      </c>
      <c r="D10" s="253">
        <v>100</v>
      </c>
      <c r="E10" s="850" t="s">
        <v>3041</v>
      </c>
      <c r="F10" s="253">
        <f>SUMIF(65:65,E10,66:66)-SUMIF(65:65,C10,66:66)+100</f>
        <v>98</v>
      </c>
      <c r="G10" s="851" t="s">
        <v>3040</v>
      </c>
      <c r="H10" s="253">
        <f>SUMIF(65:65,G10,66:66)-SUMIF(65:65,C10,66:66)+100</f>
        <v>100</v>
      </c>
      <c r="I10" s="850" t="s">
        <v>3040</v>
      </c>
      <c r="J10" s="253">
        <f>SUMIF(65:65,I10,66:66)-SUMIF(65:65,C10,66:66)+100</f>
        <v>100</v>
      </c>
      <c r="K10" s="578">
        <v>2</v>
      </c>
      <c r="L10" s="2020"/>
      <c r="M10" s="2059"/>
      <c r="N10" s="2059"/>
      <c r="O10" s="2021"/>
      <c r="P10" s="3574"/>
      <c r="Q10" s="1133" t="str">
        <f t="shared" si="6"/>
        <v>土地使用年限（年）</v>
      </c>
      <c r="R10" s="1502" t="s">
        <v>8</v>
      </c>
      <c r="S10" s="1503">
        <f t="shared" si="0"/>
        <v>98</v>
      </c>
      <c r="T10" s="1502" t="s">
        <v>8</v>
      </c>
      <c r="U10" s="1503">
        <f t="shared" si="1"/>
        <v>100</v>
      </c>
      <c r="V10" s="1502" t="s">
        <v>8</v>
      </c>
      <c r="W10" s="1503">
        <f t="shared" si="2"/>
        <v>100</v>
      </c>
      <c r="X10" s="1504"/>
      <c r="Y10" s="3525"/>
      <c r="Z10" s="1132" t="str">
        <f t="shared" si="7"/>
        <v>土地使用年限（年）</v>
      </c>
      <c r="AA10" s="1505">
        <f t="shared" si="3"/>
        <v>1.0204081632653061</v>
      </c>
      <c r="AB10" s="1505">
        <f t="shared" si="4"/>
        <v>1</v>
      </c>
      <c r="AC10" s="1505">
        <f t="shared" si="5"/>
        <v>1</v>
      </c>
    </row>
    <row r="11" spans="1:29" ht="15" hidden="1">
      <c r="A11" s="2633"/>
      <c r="B11" s="2637" t="s">
        <v>2733</v>
      </c>
      <c r="C11" s="527">
        <v>1</v>
      </c>
      <c r="D11" s="253">
        <v>100</v>
      </c>
      <c r="E11" s="527">
        <v>1</v>
      </c>
      <c r="F11" s="253">
        <f>LOOKUP(E11,68:68,69:69)-LOOKUP(C11,68:68,69:69)+100</f>
        <v>100</v>
      </c>
      <c r="G11" s="528">
        <v>1</v>
      </c>
      <c r="H11" s="253">
        <f>LOOKUP(G11,68:68,69:69)-LOOKUP(C11,68:68,69:69)+100</f>
        <v>100</v>
      </c>
      <c r="I11" s="527">
        <v>1</v>
      </c>
      <c r="J11" s="253">
        <f>LOOKUP(I11,68:68,69:69)-LOOKUP(C11,68:68,69:69)+100</f>
        <v>100</v>
      </c>
      <c r="K11" s="578"/>
      <c r="L11" s="2022"/>
      <c r="M11" s="2016"/>
      <c r="N11" s="2016"/>
      <c r="O11" s="2023"/>
      <c r="P11" s="3574"/>
      <c r="Q11" s="1133" t="str">
        <f t="shared" si="6"/>
        <v>容积率</v>
      </c>
      <c r="R11" s="1502" t="s">
        <v>8</v>
      </c>
      <c r="S11" s="1503">
        <f t="shared" si="0"/>
        <v>100</v>
      </c>
      <c r="T11" s="1502" t="s">
        <v>8</v>
      </c>
      <c r="U11" s="1503">
        <f t="shared" si="1"/>
        <v>100</v>
      </c>
      <c r="V11" s="1502" t="s">
        <v>8</v>
      </c>
      <c r="W11" s="1503">
        <f t="shared" si="2"/>
        <v>100</v>
      </c>
      <c r="X11" s="1504"/>
      <c r="Y11" s="3525"/>
      <c r="Z11" s="1132" t="str">
        <f t="shared" si="7"/>
        <v>容积率</v>
      </c>
      <c r="AA11" s="1505">
        <f t="shared" si="3"/>
        <v>1</v>
      </c>
      <c r="AB11" s="1505">
        <f t="shared" si="4"/>
        <v>1</v>
      </c>
      <c r="AC11" s="1505">
        <f t="shared" si="5"/>
        <v>1</v>
      </c>
    </row>
    <row r="12" spans="1:29" s="1202" customFormat="1" ht="15" hidden="1">
      <c r="A12" s="2634"/>
      <c r="B12" s="2640">
        <v>111</v>
      </c>
      <c r="C12" s="522">
        <v>1</v>
      </c>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574"/>
      <c r="Q12" s="1133">
        <f t="shared" si="6"/>
        <v>111</v>
      </c>
      <c r="R12" s="1502" t="s">
        <v>8</v>
      </c>
      <c r="S12" s="1503">
        <f t="shared" si="0"/>
        <v>100</v>
      </c>
      <c r="T12" s="1502" t="s">
        <v>8</v>
      </c>
      <c r="U12" s="1503">
        <f t="shared" si="1"/>
        <v>100</v>
      </c>
      <c r="V12" s="1502" t="s">
        <v>8</v>
      </c>
      <c r="W12" s="1503">
        <f t="shared" si="2"/>
        <v>100</v>
      </c>
      <c r="X12" s="1504"/>
      <c r="Y12" s="3525"/>
      <c r="Z12" s="1132">
        <f t="shared" si="7"/>
        <v>111</v>
      </c>
      <c r="AA12" s="1505">
        <f>D12/F12</f>
        <v>1</v>
      </c>
      <c r="AB12" s="1505">
        <f>D12/H12</f>
        <v>1</v>
      </c>
      <c r="AC12" s="1505">
        <f>D12/J12</f>
        <v>1</v>
      </c>
    </row>
    <row r="13" spans="1:29" ht="15" hidden="1">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574"/>
      <c r="Q13" s="1133">
        <f t="shared" si="6"/>
        <v>111</v>
      </c>
      <c r="R13" s="1502" t="s">
        <v>8</v>
      </c>
      <c r="S13" s="1503">
        <f t="shared" si="0"/>
        <v>100</v>
      </c>
      <c r="T13" s="1502" t="s">
        <v>8</v>
      </c>
      <c r="U13" s="1503">
        <f t="shared" si="1"/>
        <v>100</v>
      </c>
      <c r="V13" s="1502" t="s">
        <v>8</v>
      </c>
      <c r="W13" s="1503">
        <f t="shared" si="2"/>
        <v>100</v>
      </c>
      <c r="X13" s="1504"/>
      <c r="Y13" s="3525"/>
      <c r="Z13" s="1132">
        <f t="shared" si="7"/>
        <v>111</v>
      </c>
      <c r="AA13" s="1505">
        <f t="shared" si="3"/>
        <v>1</v>
      </c>
      <c r="AB13" s="1505">
        <f t="shared" si="4"/>
        <v>1</v>
      </c>
      <c r="AC13" s="1505">
        <f t="shared" si="5"/>
        <v>1</v>
      </c>
    </row>
    <row r="14" spans="1:29" ht="15.75" hidden="1"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574"/>
      <c r="Q14" s="1133">
        <f t="shared" si="6"/>
        <v>111</v>
      </c>
      <c r="R14" s="1502" t="s">
        <v>8</v>
      </c>
      <c r="S14" s="1503">
        <f t="shared" si="0"/>
        <v>100</v>
      </c>
      <c r="T14" s="1502" t="s">
        <v>8</v>
      </c>
      <c r="U14" s="1503">
        <f t="shared" si="1"/>
        <v>100</v>
      </c>
      <c r="V14" s="1502" t="s">
        <v>8</v>
      </c>
      <c r="W14" s="1503">
        <f t="shared" si="2"/>
        <v>100</v>
      </c>
      <c r="X14" s="1504"/>
      <c r="Y14" s="3525"/>
      <c r="Z14" s="1132">
        <f t="shared" si="7"/>
        <v>111</v>
      </c>
      <c r="AA14" s="1505">
        <f t="shared" si="3"/>
        <v>1</v>
      </c>
      <c r="AB14" s="1505">
        <f t="shared" si="4"/>
        <v>1</v>
      </c>
      <c r="AC14" s="1505">
        <f t="shared" si="5"/>
        <v>1</v>
      </c>
    </row>
    <row r="15" spans="1:29" ht="199.5">
      <c r="A15" s="2627" t="s">
        <v>2729</v>
      </c>
      <c r="B15" s="164" t="s">
        <v>533</v>
      </c>
      <c r="C15" s="856" t="str">
        <f>估价对象房地状况!C4</f>
        <v>估价对象位于通州区经济开发区西区南扩区，估价对象周边有世纪华联超市、福联美超市、美乐购超市、新世纪大卖场等商业服务设施，距离均在2公里范围外，且分布较为分散，综合考虑商业繁华度一般。</v>
      </c>
      <c r="D15" s="543">
        <v>100</v>
      </c>
      <c r="E15" s="544"/>
      <c r="F15" s="545">
        <f>SUMIF(76:76,E16,77:77)-SUMIF(76:76,C16,77:77)+100</f>
        <v>105</v>
      </c>
      <c r="G15" s="546"/>
      <c r="H15" s="543">
        <f>SUMIF(76:76,G16,77:77)-SUMIF(76:76,C16,77:77)+100</f>
        <v>105</v>
      </c>
      <c r="I15" s="544"/>
      <c r="J15" s="543">
        <f>SUMIF(76:76,I16,77:77)-SUMIF(76:76,C16,77:77)+100</f>
        <v>105</v>
      </c>
      <c r="K15" s="887">
        <v>5</v>
      </c>
      <c r="L15" s="2024"/>
      <c r="M15" s="2016"/>
      <c r="N15" s="2016"/>
      <c r="O15" s="2023"/>
      <c r="P15" s="3576" t="s">
        <v>532</v>
      </c>
      <c r="Q15" s="1506" t="str">
        <f t="shared" si="6"/>
        <v>商业繁华度</v>
      </c>
      <c r="R15" s="1507" t="s">
        <v>8</v>
      </c>
      <c r="S15" s="1508">
        <f t="shared" si="0"/>
        <v>105</v>
      </c>
      <c r="T15" s="1507" t="s">
        <v>8</v>
      </c>
      <c r="U15" s="1508">
        <f t="shared" si="1"/>
        <v>105</v>
      </c>
      <c r="V15" s="1507" t="s">
        <v>8</v>
      </c>
      <c r="W15" s="1508">
        <f t="shared" si="2"/>
        <v>105</v>
      </c>
      <c r="X15" s="1501"/>
      <c r="Y15" s="3576" t="s">
        <v>532</v>
      </c>
      <c r="Z15" s="1509" t="str">
        <f t="shared" si="7"/>
        <v>商业繁华度</v>
      </c>
      <c r="AA15" s="1510">
        <f t="shared" si="3"/>
        <v>0.95238095238095233</v>
      </c>
      <c r="AB15" s="1510">
        <f t="shared" si="4"/>
        <v>0.95238095238095233</v>
      </c>
      <c r="AC15" s="1510">
        <f t="shared" si="5"/>
        <v>0.95238095238095233</v>
      </c>
    </row>
    <row r="16" spans="1:29" ht="15">
      <c r="A16" s="526"/>
      <c r="B16" s="858"/>
      <c r="C16" s="570" t="s">
        <v>3017</v>
      </c>
      <c r="D16" s="549"/>
      <c r="E16" s="570" t="s">
        <v>3018</v>
      </c>
      <c r="F16" s="551"/>
      <c r="G16" s="570" t="s">
        <v>3018</v>
      </c>
      <c r="H16" s="553"/>
      <c r="I16" s="570" t="s">
        <v>3018</v>
      </c>
      <c r="J16" s="549"/>
      <c r="K16" s="888"/>
      <c r="L16" s="2024"/>
      <c r="M16" s="2016"/>
      <c r="N16" s="2016"/>
      <c r="O16" s="2023"/>
      <c r="P16" s="3577"/>
      <c r="Q16" s="1506"/>
      <c r="R16" s="1507"/>
      <c r="S16" s="1508"/>
      <c r="T16" s="1507"/>
      <c r="U16" s="1508"/>
      <c r="V16" s="1507"/>
      <c r="W16" s="1508"/>
      <c r="X16" s="1501"/>
      <c r="Y16" s="3577"/>
      <c r="Z16" s="1509"/>
      <c r="AA16" s="1510">
        <v>1</v>
      </c>
      <c r="AB16" s="1510">
        <v>1</v>
      </c>
      <c r="AC16" s="1510">
        <v>1</v>
      </c>
    </row>
    <row r="17" spans="1:29" ht="99.75">
      <c r="A17" s="526"/>
      <c r="B17" s="860" t="s">
        <v>294</v>
      </c>
      <c r="C17" s="861" t="str">
        <f>估价对象房地状况!C6</f>
        <v>估价对象周边有通14路、通50路、通64路等公交线路；距地铁7号线（花庄站）约2公里，交通便捷度一般</v>
      </c>
      <c r="D17" s="553">
        <v>100</v>
      </c>
      <c r="E17" s="556"/>
      <c r="F17" s="557">
        <f>SUMIF(78:78,E18,79:79)-SUMIF(78:78,C18,79:79)+100</f>
        <v>105</v>
      </c>
      <c r="G17" s="558"/>
      <c r="H17" s="559">
        <f>SUMIF(78:78,G18,79:79)-SUMIF(78:78,C18,79:79)+100</f>
        <v>105</v>
      </c>
      <c r="I17" s="556"/>
      <c r="J17" s="559">
        <f>SUMIF(78:78,I18,79:79)-SUMIF(78:78,C18,79:79)+100</f>
        <v>105</v>
      </c>
      <c r="K17" s="887">
        <v>5</v>
      </c>
      <c r="L17" s="2024"/>
      <c r="M17" s="2016"/>
      <c r="N17" s="2016"/>
      <c r="O17" s="2023"/>
      <c r="P17" s="3577"/>
      <c r="Q17" s="1506" t="str">
        <f>B17</f>
        <v>交通便捷度</v>
      </c>
      <c r="R17" s="1507" t="s">
        <v>8</v>
      </c>
      <c r="S17" s="1508">
        <f>F17</f>
        <v>105</v>
      </c>
      <c r="T17" s="1507" t="s">
        <v>8</v>
      </c>
      <c r="U17" s="1508">
        <f>H17</f>
        <v>105</v>
      </c>
      <c r="V17" s="1507" t="s">
        <v>8</v>
      </c>
      <c r="W17" s="1508">
        <f>J17</f>
        <v>105</v>
      </c>
      <c r="X17" s="1501"/>
      <c r="Y17" s="3577"/>
      <c r="Z17" s="1509" t="str">
        <f>Q17</f>
        <v>交通便捷度</v>
      </c>
      <c r="AA17" s="1510">
        <f t="shared" si="3"/>
        <v>0.95238095238095233</v>
      </c>
      <c r="AB17" s="1510">
        <f t="shared" si="4"/>
        <v>0.95238095238095233</v>
      </c>
      <c r="AC17" s="1510">
        <f t="shared" si="5"/>
        <v>0.95238095238095233</v>
      </c>
    </row>
    <row r="18" spans="1:29" ht="15">
      <c r="A18" s="526"/>
      <c r="B18" s="589"/>
      <c r="C18" s="862" t="s">
        <v>3017</v>
      </c>
      <c r="D18" s="553"/>
      <c r="E18" s="562" t="s">
        <v>3018</v>
      </c>
      <c r="F18" s="557"/>
      <c r="G18" s="563" t="s">
        <v>3018</v>
      </c>
      <c r="H18" s="549"/>
      <c r="I18" s="562" t="s">
        <v>3018</v>
      </c>
      <c r="J18" s="549"/>
      <c r="K18" s="888"/>
      <c r="L18" s="2024"/>
      <c r="M18" s="2016"/>
      <c r="N18" s="2016"/>
      <c r="O18" s="2023"/>
      <c r="P18" s="3577"/>
      <c r="Q18" s="1506"/>
      <c r="R18" s="1507"/>
      <c r="S18" s="1508"/>
      <c r="T18" s="1507"/>
      <c r="U18" s="1508"/>
      <c r="V18" s="1507"/>
      <c r="W18" s="1508"/>
      <c r="X18" s="1501"/>
      <c r="Y18" s="3577"/>
      <c r="Z18" s="1509"/>
      <c r="AA18" s="1510">
        <v>1</v>
      </c>
      <c r="AB18" s="1510">
        <v>1</v>
      </c>
      <c r="AC18" s="1510">
        <v>1</v>
      </c>
    </row>
    <row r="19" spans="1:29" ht="73.5" customHeight="1">
      <c r="A19" s="526"/>
      <c r="B19" s="2444" t="s">
        <v>2522</v>
      </c>
      <c r="C19" s="861" t="str">
        <f>估价对象房地状况!C7</f>
        <v>估价对象所在区域有张家湾中心幼儿园、张家湾中心小学、张家湾中学等教育资源，有中国建设银行、北京市农村商业银行等金融机构，有世纪华联超市等商业服务设施，有北京运通中医医院等医疗设施，公共服务设施齐备度一般</v>
      </c>
      <c r="D19" s="559">
        <v>100</v>
      </c>
      <c r="E19" s="564"/>
      <c r="F19" s="565">
        <f>SUMIF(80:80,E20,81:81)-SUMIF(80:80,C20,81:81)+100</f>
        <v>105</v>
      </c>
      <c r="G19" s="566"/>
      <c r="H19" s="553">
        <f>SUMIF(80:80,G20,81:81)-SUMIF(80:80,C20,81:81)+100</f>
        <v>105</v>
      </c>
      <c r="I19" s="564"/>
      <c r="J19" s="553">
        <f>SUMIF(80:80,I20,81:81)-SUMIF(80:80,C20,81:81)+100</f>
        <v>105</v>
      </c>
      <c r="K19" s="887">
        <v>5</v>
      </c>
      <c r="L19" s="2024"/>
      <c r="M19" s="2016"/>
      <c r="N19" s="2016"/>
      <c r="O19" s="2023"/>
      <c r="P19" s="3577"/>
      <c r="Q19" s="1506" t="str">
        <f>B19</f>
        <v>公共配套设施</v>
      </c>
      <c r="R19" s="1507" t="s">
        <v>8</v>
      </c>
      <c r="S19" s="1508">
        <f>F19</f>
        <v>105</v>
      </c>
      <c r="T19" s="1507" t="s">
        <v>8</v>
      </c>
      <c r="U19" s="1508">
        <f>H19</f>
        <v>105</v>
      </c>
      <c r="V19" s="1507" t="s">
        <v>8</v>
      </c>
      <c r="W19" s="1508">
        <f>J19</f>
        <v>105</v>
      </c>
      <c r="X19" s="1501"/>
      <c r="Y19" s="3577"/>
      <c r="Z19" s="1509" t="str">
        <f>Q19</f>
        <v>公共配套设施</v>
      </c>
      <c r="AA19" s="1510">
        <f t="shared" si="3"/>
        <v>0.95238095238095233</v>
      </c>
      <c r="AB19" s="1510">
        <f t="shared" si="4"/>
        <v>0.95238095238095233</v>
      </c>
      <c r="AC19" s="1510">
        <f t="shared" si="5"/>
        <v>0.95238095238095233</v>
      </c>
    </row>
    <row r="20" spans="1:29" ht="15">
      <c r="A20" s="526"/>
      <c r="B20" s="589"/>
      <c r="C20" s="570" t="s">
        <v>3017</v>
      </c>
      <c r="D20" s="549"/>
      <c r="E20" s="550" t="s">
        <v>3018</v>
      </c>
      <c r="F20" s="551"/>
      <c r="G20" s="552" t="s">
        <v>3018</v>
      </c>
      <c r="H20" s="549"/>
      <c r="I20" s="550" t="s">
        <v>3018</v>
      </c>
      <c r="J20" s="549"/>
      <c r="K20" s="888"/>
      <c r="L20" s="2024"/>
      <c r="M20" s="2016"/>
      <c r="N20" s="2016"/>
      <c r="O20" s="2023"/>
      <c r="P20" s="3577"/>
      <c r="Q20" s="1506"/>
      <c r="R20" s="1507"/>
      <c r="S20" s="1508"/>
      <c r="T20" s="1507"/>
      <c r="U20" s="1508"/>
      <c r="V20" s="1507"/>
      <c r="W20" s="1508"/>
      <c r="X20" s="1501"/>
      <c r="Y20" s="3577"/>
      <c r="Z20" s="1509"/>
      <c r="AA20" s="1510">
        <v>1</v>
      </c>
      <c r="AB20" s="1510">
        <v>1</v>
      </c>
      <c r="AC20" s="1510">
        <v>1</v>
      </c>
    </row>
    <row r="21" spans="1:29" ht="15">
      <c r="A21" s="526"/>
      <c r="B21" s="2437" t="s">
        <v>2534</v>
      </c>
      <c r="C21" s="861" t="str">
        <f>估价对象房地状况!C8</f>
        <v>七通</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577"/>
      <c r="Q21" s="2429" t="str">
        <f>B21</f>
        <v>基础设施水平</v>
      </c>
      <c r="R21" s="1507" t="s">
        <v>8</v>
      </c>
      <c r="S21" s="1508">
        <f>F21</f>
        <v>100</v>
      </c>
      <c r="T21" s="1507" t="s">
        <v>8</v>
      </c>
      <c r="U21" s="1508">
        <f>H21</f>
        <v>100</v>
      </c>
      <c r="V21" s="1507" t="s">
        <v>8</v>
      </c>
      <c r="W21" s="1508">
        <f>J21</f>
        <v>100</v>
      </c>
      <c r="X21" s="2431"/>
      <c r="Y21" s="3577"/>
      <c r="Z21" s="2430" t="str">
        <f>Q21</f>
        <v>基础设施水平</v>
      </c>
      <c r="AA21" s="1510">
        <f t="shared" ref="AA21" si="8">D21/F21</f>
        <v>1</v>
      </c>
      <c r="AB21" s="1510">
        <f t="shared" ref="AB21" si="9">D21/H21</f>
        <v>1</v>
      </c>
      <c r="AC21" s="1510">
        <f t="shared" ref="AC21" si="10">D21/J21</f>
        <v>1</v>
      </c>
    </row>
    <row r="22" spans="1:29" ht="15">
      <c r="A22" s="526"/>
      <c r="B22" s="911"/>
      <c r="C22" s="862" t="s">
        <v>3043</v>
      </c>
      <c r="D22" s="549"/>
      <c r="E22" s="570" t="s">
        <v>3043</v>
      </c>
      <c r="F22" s="551"/>
      <c r="G22" s="570" t="s">
        <v>3043</v>
      </c>
      <c r="H22" s="549"/>
      <c r="I22" s="570" t="s">
        <v>3043</v>
      </c>
      <c r="J22" s="549"/>
      <c r="K22" s="2446"/>
      <c r="L22" s="2024"/>
      <c r="M22" s="2016"/>
      <c r="N22" s="2016"/>
      <c r="O22" s="2023"/>
      <c r="P22" s="3577"/>
      <c r="Q22" s="2429"/>
      <c r="R22" s="1507"/>
      <c r="S22" s="1508"/>
      <c r="T22" s="1507"/>
      <c r="U22" s="1508"/>
      <c r="V22" s="1507"/>
      <c r="W22" s="1508"/>
      <c r="X22" s="2431"/>
      <c r="Y22" s="3577"/>
      <c r="Z22" s="2430"/>
      <c r="AA22" s="1510">
        <v>1</v>
      </c>
      <c r="AB22" s="1510">
        <v>1</v>
      </c>
      <c r="AC22" s="1510">
        <v>1</v>
      </c>
    </row>
    <row r="23" spans="1:29" ht="69" customHeight="1">
      <c r="A23" s="526"/>
      <c r="B23" s="860" t="s">
        <v>295</v>
      </c>
      <c r="C23" s="889" t="str">
        <f>估价对象房地状况!C9</f>
        <v>区域自然环境：通州大运河森林公园、凉水河；人文环境：北京环球度假区；综合评价环境状况较好</v>
      </c>
      <c r="D23" s="553">
        <v>100</v>
      </c>
      <c r="E23" s="556"/>
      <c r="F23" s="557">
        <f>SUMIF(84:84,E24,85:85)-SUMIF(84:84,C24,85:85)+100</f>
        <v>98</v>
      </c>
      <c r="G23" s="558"/>
      <c r="H23" s="553">
        <f>SUMIF(84:84,G24,85:85)-SUMIF(84:84,C24,85:85)+100</f>
        <v>98</v>
      </c>
      <c r="I23" s="556"/>
      <c r="J23" s="553">
        <f>SUMIF(84:84,I24,85:85)-SUMIF(84:84,C24,85:85)+100</f>
        <v>98</v>
      </c>
      <c r="K23" s="887">
        <v>2</v>
      </c>
      <c r="L23" s="2024"/>
      <c r="M23" s="2016"/>
      <c r="N23" s="2016"/>
      <c r="O23" s="2023"/>
      <c r="P23" s="3577"/>
      <c r="Q23" s="1506" t="str">
        <f>B23</f>
        <v>自然及人文环境</v>
      </c>
      <c r="R23" s="1507" t="s">
        <v>8</v>
      </c>
      <c r="S23" s="1508">
        <f>F23</f>
        <v>98</v>
      </c>
      <c r="T23" s="1507" t="s">
        <v>8</v>
      </c>
      <c r="U23" s="1508">
        <f>H23</f>
        <v>98</v>
      </c>
      <c r="V23" s="1507" t="s">
        <v>8</v>
      </c>
      <c r="W23" s="1508">
        <f>J23</f>
        <v>98</v>
      </c>
      <c r="X23" s="1501"/>
      <c r="Y23" s="3577"/>
      <c r="Z23" s="1509" t="str">
        <f>Q23</f>
        <v>自然及人文环境</v>
      </c>
      <c r="AA23" s="1510">
        <f t="shared" si="3"/>
        <v>1.0204081632653061</v>
      </c>
      <c r="AB23" s="1510">
        <f t="shared" si="4"/>
        <v>1.0204081632653061</v>
      </c>
      <c r="AC23" s="1510">
        <f t="shared" si="5"/>
        <v>1.0204081632653061</v>
      </c>
    </row>
    <row r="24" spans="1:29" ht="15">
      <c r="A24" s="526"/>
      <c r="B24" s="589"/>
      <c r="C24" s="570" t="s">
        <v>3018</v>
      </c>
      <c r="D24" s="549"/>
      <c r="E24" s="550" t="s">
        <v>3017</v>
      </c>
      <c r="F24" s="551"/>
      <c r="G24" s="552" t="s">
        <v>3017</v>
      </c>
      <c r="H24" s="549"/>
      <c r="I24" s="550" t="s">
        <v>3017</v>
      </c>
      <c r="J24" s="549"/>
      <c r="K24" s="888"/>
      <c r="L24" s="2024"/>
      <c r="M24" s="2016"/>
      <c r="N24" s="2016"/>
      <c r="O24" s="2023"/>
      <c r="P24" s="3577"/>
      <c r="Q24" s="1506"/>
      <c r="R24" s="1507"/>
      <c r="S24" s="1508"/>
      <c r="T24" s="1507"/>
      <c r="U24" s="1508"/>
      <c r="V24" s="1507"/>
      <c r="W24" s="1508"/>
      <c r="X24" s="1501"/>
      <c r="Y24" s="3577"/>
      <c r="Z24" s="1509"/>
      <c r="AA24" s="1510">
        <v>1</v>
      </c>
      <c r="AB24" s="1510">
        <v>1</v>
      </c>
      <c r="AC24" s="1510">
        <v>1</v>
      </c>
    </row>
    <row r="25" spans="1:29" ht="15">
      <c r="A25" s="526"/>
      <c r="B25" s="521" t="s">
        <v>539</v>
      </c>
      <c r="C25" s="577" t="s">
        <v>3070</v>
      </c>
      <c r="D25" s="534">
        <v>100</v>
      </c>
      <c r="E25" s="577" t="s">
        <v>3070</v>
      </c>
      <c r="F25" s="569">
        <f>SUMIF(86:86,E25,87:87)-SUMIF(86:86,C25,87:87)+100</f>
        <v>100</v>
      </c>
      <c r="G25" s="577" t="s">
        <v>3070</v>
      </c>
      <c r="H25" s="534">
        <f>SUMIF(86:86,G25,87:87)-SUMIF(86:86,C25,87:87)+100</f>
        <v>100</v>
      </c>
      <c r="I25" s="577" t="s">
        <v>3070</v>
      </c>
      <c r="J25" s="534">
        <f>SUMIF(86:86,I25,87:87)-SUMIF(86:86,C25,87:87)+100</f>
        <v>100</v>
      </c>
      <c r="K25" s="578"/>
      <c r="L25" s="2024"/>
      <c r="M25" s="2016"/>
      <c r="N25" s="2016"/>
      <c r="O25" s="2023"/>
      <c r="P25" s="3577"/>
      <c r="Q25" s="1506" t="str">
        <f t="shared" ref="Q25:Q46" si="11">B25</f>
        <v>临街状况</v>
      </c>
      <c r="R25" s="1507" t="s">
        <v>8</v>
      </c>
      <c r="S25" s="1508">
        <f>F25</f>
        <v>100</v>
      </c>
      <c r="T25" s="1507" t="s">
        <v>8</v>
      </c>
      <c r="U25" s="1508">
        <f>H25</f>
        <v>100</v>
      </c>
      <c r="V25" s="1507" t="s">
        <v>8</v>
      </c>
      <c r="W25" s="1508">
        <f>J25</f>
        <v>100</v>
      </c>
      <c r="X25" s="1501"/>
      <c r="Y25" s="3577"/>
      <c r="Z25" s="1509" t="str">
        <f>Q25</f>
        <v>临街状况</v>
      </c>
      <c r="AA25" s="1510">
        <f t="shared" si="3"/>
        <v>1</v>
      </c>
      <c r="AB25" s="1510">
        <f t="shared" si="4"/>
        <v>1</v>
      </c>
      <c r="AC25" s="1510">
        <f t="shared" si="5"/>
        <v>1</v>
      </c>
    </row>
    <row r="26" spans="1:29" ht="15">
      <c r="A26" s="526"/>
      <c r="B26" s="866" t="s">
        <v>750</v>
      </c>
      <c r="C26" s="3309" t="s">
        <v>3072</v>
      </c>
      <c r="D26" s="534">
        <v>100</v>
      </c>
      <c r="E26" s="533" t="str">
        <f>C26</f>
        <v>好</v>
      </c>
      <c r="F26" s="569">
        <f>SUMIF(88:88,E26,89:89)-SUMIF(88:88,C26,89:89)+100</f>
        <v>100</v>
      </c>
      <c r="G26" s="533" t="str">
        <f>C26</f>
        <v>好</v>
      </c>
      <c r="H26" s="534">
        <f>SUMIF(88:88,G26,89:89)-SUMIF(88:88,C26,89:89)+100</f>
        <v>100</v>
      </c>
      <c r="I26" s="533" t="str">
        <f>C26</f>
        <v>好</v>
      </c>
      <c r="J26" s="534">
        <f>SUMIF(88:88,I26,89:89)-SUMIF(88:88,C26,89:89)+100</f>
        <v>100</v>
      </c>
      <c r="K26" s="575"/>
      <c r="L26" s="2024"/>
      <c r="M26" s="2016"/>
      <c r="N26" s="2016"/>
      <c r="O26" s="2023"/>
      <c r="P26" s="3577"/>
      <c r="Q26" s="1506" t="str">
        <f t="shared" si="11"/>
        <v>平面位置/可视性</v>
      </c>
      <c r="R26" s="1507" t="s">
        <v>8</v>
      </c>
      <c r="S26" s="1508">
        <f>F26</f>
        <v>100</v>
      </c>
      <c r="T26" s="1507" t="s">
        <v>8</v>
      </c>
      <c r="U26" s="1508">
        <f>H26</f>
        <v>100</v>
      </c>
      <c r="V26" s="1507" t="s">
        <v>8</v>
      </c>
      <c r="W26" s="1508">
        <f>J26</f>
        <v>100</v>
      </c>
      <c r="X26" s="1501"/>
      <c r="Y26" s="3577"/>
      <c r="Z26" s="1509" t="str">
        <f>Q26</f>
        <v>平面位置/可视性</v>
      </c>
      <c r="AA26" s="1510">
        <f t="shared" si="3"/>
        <v>1</v>
      </c>
      <c r="AB26" s="1510">
        <f t="shared" si="4"/>
        <v>1</v>
      </c>
      <c r="AC26" s="1510">
        <f t="shared" si="5"/>
        <v>1</v>
      </c>
    </row>
    <row r="27" spans="1:29" s="1202" customFormat="1" ht="15">
      <c r="A27" s="530"/>
      <c r="B27" s="860" t="s">
        <v>751</v>
      </c>
      <c r="C27" s="890" t="s">
        <v>3073</v>
      </c>
      <c r="D27" s="864">
        <v>100</v>
      </c>
      <c r="E27" s="890" t="s">
        <v>3073</v>
      </c>
      <c r="F27" s="865">
        <f>SUMIF(90:90,E27,91:91)-SUMIF(90:90,C27,91:91)+100</f>
        <v>100</v>
      </c>
      <c r="G27" s="890" t="s">
        <v>3073</v>
      </c>
      <c r="H27" s="864">
        <f>SUMIF(90:90,G27,91:91)-SUMIF(90:90,C27,91:91)+100</f>
        <v>100</v>
      </c>
      <c r="I27" s="890" t="s">
        <v>3073</v>
      </c>
      <c r="J27" s="864">
        <f>SUMIF(90:90,I27,91:91)-SUMIF(90:90,C27,91:91)+100</f>
        <v>100</v>
      </c>
      <c r="K27" s="578"/>
      <c r="L27" s="2017"/>
      <c r="M27" s="2018"/>
      <c r="N27" s="2018"/>
      <c r="O27" s="2019"/>
      <c r="P27" s="3577"/>
      <c r="Q27" s="1133" t="str">
        <f t="shared" si="11"/>
        <v>人流量</v>
      </c>
      <c r="R27" s="1502" t="s">
        <v>8</v>
      </c>
      <c r="S27" s="1503">
        <f>F27</f>
        <v>100</v>
      </c>
      <c r="T27" s="1502" t="s">
        <v>8</v>
      </c>
      <c r="U27" s="1503">
        <f>H27</f>
        <v>100</v>
      </c>
      <c r="V27" s="1502" t="s">
        <v>8</v>
      </c>
      <c r="W27" s="1503">
        <f>J27</f>
        <v>100</v>
      </c>
      <c r="X27" s="1504"/>
      <c r="Y27" s="3577"/>
      <c r="Z27" s="1132" t="str">
        <f>Q27</f>
        <v>人流量</v>
      </c>
      <c r="AA27" s="1510">
        <f>D27/F27</f>
        <v>1</v>
      </c>
      <c r="AB27" s="1510">
        <f>D27/H27</f>
        <v>1</v>
      </c>
      <c r="AC27" s="1510">
        <f>D27/J27</f>
        <v>1</v>
      </c>
    </row>
    <row r="28" spans="1:29" ht="15.75" thickBot="1">
      <c r="A28" s="526"/>
      <c r="B28" s="521" t="s">
        <v>753</v>
      </c>
      <c r="C28" s="577" t="s">
        <v>3074</v>
      </c>
      <c r="D28" s="534">
        <v>100</v>
      </c>
      <c r="E28" s="577" t="s">
        <v>3074</v>
      </c>
      <c r="F28" s="569">
        <f>SUMIF(92:92,E28,93:93)-SUMIF(92:92,C28,93:93)+100</f>
        <v>100</v>
      </c>
      <c r="G28" s="577" t="s">
        <v>3074</v>
      </c>
      <c r="H28" s="534">
        <f>SUMIF(92:92,G28,93:93)-SUMIF(92:92,C28,93:93)+100</f>
        <v>100</v>
      </c>
      <c r="I28" s="577" t="s">
        <v>3074</v>
      </c>
      <c r="J28" s="534">
        <f>SUMIF(92:92,I28,93:93)-SUMIF(92:92,C28,93:93)+100</f>
        <v>100</v>
      </c>
      <c r="K28" s="575"/>
      <c r="L28" s="2024"/>
      <c r="M28" s="2016"/>
      <c r="N28" s="2016"/>
      <c r="O28" s="2023"/>
      <c r="P28" s="3577"/>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577"/>
      <c r="Z28" s="1509" t="str">
        <f t="shared" ref="Z28:Z46" si="15">Q28</f>
        <v>楼层</v>
      </c>
      <c r="AA28" s="1510">
        <f t="shared" si="3"/>
        <v>1</v>
      </c>
      <c r="AB28" s="1510">
        <f t="shared" si="4"/>
        <v>1</v>
      </c>
      <c r="AC28" s="1510">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77"/>
      <c r="Q29" s="1506">
        <f t="shared" si="11"/>
        <v>111</v>
      </c>
      <c r="R29" s="1507" t="s">
        <v>8</v>
      </c>
      <c r="S29" s="1508">
        <f t="shared" si="12"/>
        <v>100</v>
      </c>
      <c r="T29" s="1507" t="s">
        <v>8</v>
      </c>
      <c r="U29" s="1508">
        <f t="shared" si="13"/>
        <v>100</v>
      </c>
      <c r="V29" s="1507" t="s">
        <v>8</v>
      </c>
      <c r="W29" s="1508">
        <f t="shared" si="14"/>
        <v>100</v>
      </c>
      <c r="X29" s="1501"/>
      <c r="Y29" s="3577"/>
      <c r="Z29" s="1509">
        <f t="shared" si="15"/>
        <v>111</v>
      </c>
      <c r="AA29" s="1510">
        <f t="shared" si="3"/>
        <v>1</v>
      </c>
      <c r="AB29" s="1510">
        <f t="shared" si="4"/>
        <v>1</v>
      </c>
      <c r="AC29" s="1510">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77"/>
      <c r="Q30" s="1506">
        <f t="shared" si="11"/>
        <v>111</v>
      </c>
      <c r="R30" s="1507" t="s">
        <v>8</v>
      </c>
      <c r="S30" s="1508">
        <f t="shared" si="12"/>
        <v>100</v>
      </c>
      <c r="T30" s="1507" t="s">
        <v>8</v>
      </c>
      <c r="U30" s="1508">
        <f t="shared" si="13"/>
        <v>100</v>
      </c>
      <c r="V30" s="1507" t="s">
        <v>8</v>
      </c>
      <c r="W30" s="1508">
        <f t="shared" si="14"/>
        <v>100</v>
      </c>
      <c r="X30" s="1501"/>
      <c r="Y30" s="3577"/>
      <c r="Z30" s="1509">
        <f t="shared" si="15"/>
        <v>111</v>
      </c>
      <c r="AA30" s="1510">
        <f t="shared" si="3"/>
        <v>1</v>
      </c>
      <c r="AB30" s="1510">
        <f t="shared" si="4"/>
        <v>1</v>
      </c>
      <c r="AC30" s="1510">
        <f t="shared" si="5"/>
        <v>1</v>
      </c>
    </row>
    <row r="31" spans="1:29" ht="15.75" hidden="1"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77"/>
      <c r="Q31" s="1506">
        <f t="shared" si="11"/>
        <v>111</v>
      </c>
      <c r="R31" s="1507" t="s">
        <v>8</v>
      </c>
      <c r="S31" s="1508">
        <f t="shared" si="12"/>
        <v>100</v>
      </c>
      <c r="T31" s="1507" t="s">
        <v>8</v>
      </c>
      <c r="U31" s="1508">
        <f t="shared" si="13"/>
        <v>100</v>
      </c>
      <c r="V31" s="1507" t="s">
        <v>8</v>
      </c>
      <c r="W31" s="1508">
        <f t="shared" si="14"/>
        <v>100</v>
      </c>
      <c r="X31" s="1501"/>
      <c r="Y31" s="3577"/>
      <c r="Z31" s="1509">
        <f t="shared" si="15"/>
        <v>111</v>
      </c>
      <c r="AA31" s="1510">
        <f t="shared" si="3"/>
        <v>1</v>
      </c>
      <c r="AB31" s="1510">
        <f t="shared" si="4"/>
        <v>1</v>
      </c>
      <c r="AC31" s="1510">
        <f t="shared" si="5"/>
        <v>1</v>
      </c>
    </row>
    <row r="32" spans="1:29" ht="15">
      <c r="A32" s="2624" t="s">
        <v>2730</v>
      </c>
      <c r="B32" s="170" t="s">
        <v>754</v>
      </c>
      <c r="C32" s="867" t="s">
        <v>3075</v>
      </c>
      <c r="D32" s="591">
        <v>100</v>
      </c>
      <c r="E32" s="867" t="s">
        <v>3076</v>
      </c>
      <c r="F32" s="569">
        <f>SUMIF(100:100,E32,101:101)-SUMIF(100:100,C32,101:101)+100</f>
        <v>98</v>
      </c>
      <c r="G32" s="867" t="s">
        <v>3076</v>
      </c>
      <c r="H32" s="534">
        <f>SUMIF(100:100,G32,101:101)-SUMIF(100:100,C32,101:101)+100</f>
        <v>98</v>
      </c>
      <c r="I32" s="867" t="s">
        <v>3075</v>
      </c>
      <c r="J32" s="591">
        <f>SUMIF(100:100,I32,101:101)-SUMIF(100:100,C32,101:101)+100</f>
        <v>100</v>
      </c>
      <c r="K32" s="578">
        <v>2</v>
      </c>
      <c r="L32" s="2024"/>
      <c r="M32" s="2016"/>
      <c r="N32" s="2016"/>
      <c r="O32" s="2023"/>
      <c r="P32" s="3578" t="s">
        <v>542</v>
      </c>
      <c r="Q32" s="1506" t="str">
        <f t="shared" si="11"/>
        <v>商业类型</v>
      </c>
      <c r="R32" s="1507" t="s">
        <v>8</v>
      </c>
      <c r="S32" s="1508">
        <f t="shared" si="12"/>
        <v>98</v>
      </c>
      <c r="T32" s="1507" t="s">
        <v>8</v>
      </c>
      <c r="U32" s="1508">
        <f t="shared" si="13"/>
        <v>98</v>
      </c>
      <c r="V32" s="1507" t="s">
        <v>8</v>
      </c>
      <c r="W32" s="1508">
        <f t="shared" si="14"/>
        <v>100</v>
      </c>
      <c r="X32" s="1501"/>
      <c r="Y32" s="3579" t="s">
        <v>542</v>
      </c>
      <c r="Z32" s="1509" t="str">
        <f t="shared" si="15"/>
        <v>商业类型</v>
      </c>
      <c r="AA32" s="1510">
        <f t="shared" si="3"/>
        <v>1.0204081632653061</v>
      </c>
      <c r="AB32" s="1510">
        <f t="shared" si="4"/>
        <v>1.0204081632653061</v>
      </c>
      <c r="AC32" s="1510">
        <f t="shared" si="5"/>
        <v>1</v>
      </c>
    </row>
    <row r="33" spans="1:29" s="1292" customFormat="1" ht="15">
      <c r="A33" s="597"/>
      <c r="B33" s="521" t="s">
        <v>718</v>
      </c>
      <c r="C33" s="869">
        <f>'数据-汇总表'!F19</f>
        <v>71189.150999999998</v>
      </c>
      <c r="D33" s="253">
        <v>100</v>
      </c>
      <c r="E33" s="528">
        <v>281</v>
      </c>
      <c r="F33" s="852">
        <f>LOOKUP(E33,103:103,104:104)-LOOKUP(C33,103:103,104:104)+100</f>
        <v>104</v>
      </c>
      <c r="G33" s="527">
        <v>380</v>
      </c>
      <c r="H33" s="253">
        <f>LOOKUP(G33,103:103,104:104)-LOOKUP(C33,103:103,104:104)+100</f>
        <v>104</v>
      </c>
      <c r="I33" s="527">
        <v>172</v>
      </c>
      <c r="J33" s="253">
        <f>LOOKUP(I33,103:103,104:104)-LOOKUP(C33,103:103,104:104)+100</f>
        <v>104</v>
      </c>
      <c r="K33" s="575"/>
      <c r="L33" s="2022"/>
      <c r="M33" s="2052"/>
      <c r="N33" s="2052"/>
      <c r="O33" s="2025"/>
      <c r="P33" s="3579"/>
      <c r="Q33" s="1535" t="str">
        <f t="shared" si="11"/>
        <v>项目建筑规模</v>
      </c>
      <c r="R33" s="1511" t="s">
        <v>8</v>
      </c>
      <c r="S33" s="1512">
        <f t="shared" si="12"/>
        <v>104</v>
      </c>
      <c r="T33" s="1511" t="s">
        <v>8</v>
      </c>
      <c r="U33" s="1512">
        <f t="shared" si="13"/>
        <v>104</v>
      </c>
      <c r="V33" s="1511" t="s">
        <v>8</v>
      </c>
      <c r="W33" s="1512">
        <f t="shared" si="14"/>
        <v>104</v>
      </c>
      <c r="X33" s="1513"/>
      <c r="Y33" s="3579"/>
      <c r="Z33" s="1514" t="str">
        <f t="shared" si="15"/>
        <v>项目建筑规模</v>
      </c>
      <c r="AA33" s="1510">
        <f t="shared" si="3"/>
        <v>0.96153846153846156</v>
      </c>
      <c r="AB33" s="1510">
        <f t="shared" si="4"/>
        <v>0.96153846153846156</v>
      </c>
      <c r="AC33" s="1510">
        <f t="shared" si="5"/>
        <v>0.96153846153846156</v>
      </c>
    </row>
    <row r="34" spans="1:29" ht="15">
      <c r="A34" s="588"/>
      <c r="B34" s="521" t="s">
        <v>719</v>
      </c>
      <c r="C34" s="870" t="s">
        <v>3079</v>
      </c>
      <c r="D34" s="534">
        <v>100</v>
      </c>
      <c r="E34" s="871" t="s">
        <v>3079</v>
      </c>
      <c r="F34" s="569">
        <f>SUMIF(105:105,E34,106:106)-SUMIF(105:105,C34,106:106)+100</f>
        <v>100</v>
      </c>
      <c r="G34" s="870" t="s">
        <v>3079</v>
      </c>
      <c r="H34" s="534">
        <f>SUMIF(105:105,G34,106:106)-SUMIF(105:105,C34,106:106)+100</f>
        <v>100</v>
      </c>
      <c r="I34" s="870" t="s">
        <v>3079</v>
      </c>
      <c r="J34" s="534">
        <f>SUMIF(105:105,I34,106:106)-SUMIF(105:105,C34,106:106)+100</f>
        <v>100</v>
      </c>
      <c r="K34" s="578"/>
      <c r="L34" s="2024"/>
      <c r="M34" s="2016"/>
      <c r="N34" s="2016"/>
      <c r="O34" s="2023"/>
      <c r="P34" s="3579"/>
      <c r="Q34" s="1506" t="str">
        <f t="shared" si="11"/>
        <v>建筑结构</v>
      </c>
      <c r="R34" s="1507" t="s">
        <v>8</v>
      </c>
      <c r="S34" s="1508">
        <f t="shared" si="12"/>
        <v>100</v>
      </c>
      <c r="T34" s="1507" t="s">
        <v>8</v>
      </c>
      <c r="U34" s="1508">
        <f t="shared" si="13"/>
        <v>100</v>
      </c>
      <c r="V34" s="1507" t="s">
        <v>8</v>
      </c>
      <c r="W34" s="1508">
        <f t="shared" si="14"/>
        <v>100</v>
      </c>
      <c r="X34" s="1501"/>
      <c r="Y34" s="3579"/>
      <c r="Z34" s="1509" t="str">
        <f t="shared" si="15"/>
        <v>建筑结构</v>
      </c>
      <c r="AA34" s="1510">
        <f t="shared" si="3"/>
        <v>1</v>
      </c>
      <c r="AB34" s="1510">
        <f t="shared" si="4"/>
        <v>1</v>
      </c>
      <c r="AC34" s="1510">
        <f t="shared" si="5"/>
        <v>1</v>
      </c>
    </row>
    <row r="35" spans="1:29" ht="15">
      <c r="A35" s="588"/>
      <c r="B35" s="521" t="s">
        <v>755</v>
      </c>
      <c r="C35" s="593" t="s">
        <v>3078</v>
      </c>
      <c r="D35" s="534">
        <v>100</v>
      </c>
      <c r="E35" s="593" t="s">
        <v>3078</v>
      </c>
      <c r="F35" s="569">
        <f>SUMIF(107:107,E35,108:108)-SUMIF(107:107,C35,108:108)+100</f>
        <v>100</v>
      </c>
      <c r="G35" s="593" t="s">
        <v>3078</v>
      </c>
      <c r="H35" s="534">
        <f>SUMIF(107:107,G35,108:108)-SUMIF(107:107,C35,108:108)+100</f>
        <v>100</v>
      </c>
      <c r="I35" s="593" t="s">
        <v>3078</v>
      </c>
      <c r="J35" s="534">
        <f>SUMIF(107:107,I35,108:108)-SUMIF(107:107,C35,108:108)+100</f>
        <v>100</v>
      </c>
      <c r="K35" s="578"/>
      <c r="L35" s="2024"/>
      <c r="M35" s="2016"/>
      <c r="N35" s="2016"/>
      <c r="O35" s="2023"/>
      <c r="P35" s="3579"/>
      <c r="Q35" s="1506" t="str">
        <f t="shared" si="11"/>
        <v>公共部分装修</v>
      </c>
      <c r="R35" s="1507" t="s">
        <v>8</v>
      </c>
      <c r="S35" s="1508">
        <f t="shared" si="12"/>
        <v>100</v>
      </c>
      <c r="T35" s="1507" t="s">
        <v>8</v>
      </c>
      <c r="U35" s="1508">
        <f t="shared" si="13"/>
        <v>100</v>
      </c>
      <c r="V35" s="1507" t="s">
        <v>8</v>
      </c>
      <c r="W35" s="1508">
        <f t="shared" si="14"/>
        <v>100</v>
      </c>
      <c r="X35" s="1501"/>
      <c r="Y35" s="3579"/>
      <c r="Z35" s="1509" t="str">
        <f t="shared" si="15"/>
        <v>公共部分装修</v>
      </c>
      <c r="AA35" s="1510">
        <f t="shared" si="3"/>
        <v>1</v>
      </c>
      <c r="AB35" s="1510">
        <f t="shared" si="4"/>
        <v>1</v>
      </c>
      <c r="AC35" s="1510">
        <f t="shared" si="5"/>
        <v>1</v>
      </c>
    </row>
    <row r="36" spans="1:29" ht="15">
      <c r="A36" s="588"/>
      <c r="B36" s="521" t="s">
        <v>756</v>
      </c>
      <c r="C36" s="872">
        <v>1</v>
      </c>
      <c r="D36" s="534">
        <v>100</v>
      </c>
      <c r="E36" s="872">
        <v>0.85</v>
      </c>
      <c r="F36" s="569">
        <f>LOOKUP(E36,110:110,111:111)-LOOKUP(C36,110:110,111:111)+100</f>
        <v>98</v>
      </c>
      <c r="G36" s="872">
        <f>E36</f>
        <v>0.85</v>
      </c>
      <c r="H36" s="569">
        <f>LOOKUP(G36,110:110,111:111)-LOOKUP(C36,110:110,111:111)+100</f>
        <v>98</v>
      </c>
      <c r="I36" s="872">
        <f>E36</f>
        <v>0.85</v>
      </c>
      <c r="J36" s="534">
        <f>LOOKUP(I36,110:110,111:111)-LOOKUP(C36,110:110,111:111)+100</f>
        <v>98</v>
      </c>
      <c r="K36" s="578">
        <v>2</v>
      </c>
      <c r="L36" s="2024"/>
      <c r="M36" s="2016"/>
      <c r="N36" s="2016"/>
      <c r="O36" s="2023"/>
      <c r="P36" s="3579"/>
      <c r="Q36" s="1506" t="str">
        <f t="shared" si="11"/>
        <v>成新度</v>
      </c>
      <c r="R36" s="1507" t="s">
        <v>8</v>
      </c>
      <c r="S36" s="1508">
        <f t="shared" si="12"/>
        <v>98</v>
      </c>
      <c r="T36" s="1507" t="s">
        <v>8</v>
      </c>
      <c r="U36" s="1508">
        <f t="shared" si="13"/>
        <v>98</v>
      </c>
      <c r="V36" s="1507" t="s">
        <v>8</v>
      </c>
      <c r="W36" s="1508">
        <f t="shared" si="14"/>
        <v>98</v>
      </c>
      <c r="X36" s="1501"/>
      <c r="Y36" s="3579"/>
      <c r="Z36" s="1509" t="str">
        <f t="shared" si="15"/>
        <v>成新度</v>
      </c>
      <c r="AA36" s="1510">
        <f t="shared" si="3"/>
        <v>1.0204081632653061</v>
      </c>
      <c r="AB36" s="1510">
        <f t="shared" si="4"/>
        <v>1.0204081632653061</v>
      </c>
      <c r="AC36" s="1510">
        <f t="shared" si="5"/>
        <v>1.0204081632653061</v>
      </c>
    </row>
    <row r="37" spans="1:29" s="1202" customFormat="1" ht="15">
      <c r="A37" s="594"/>
      <c r="B37" s="1809" t="s">
        <v>2541</v>
      </c>
      <c r="C37" s="593" t="s">
        <v>3043</v>
      </c>
      <c r="D37" s="253">
        <v>100</v>
      </c>
      <c r="E37" s="593" t="s">
        <v>3043</v>
      </c>
      <c r="F37" s="569">
        <f>SUMIF(112:112,E37,113:113)-SUMIF(112:112,C37,113:113)+100</f>
        <v>100</v>
      </c>
      <c r="G37" s="593" t="s">
        <v>3043</v>
      </c>
      <c r="H37" s="534">
        <f>SUMIF(112:112,G37,113:113)-SUMIF(112:112,C37,113:113)+100</f>
        <v>100</v>
      </c>
      <c r="I37" s="593" t="s">
        <v>3043</v>
      </c>
      <c r="J37" s="534">
        <f>SUMIF(112:112,I37,113:113)-SUMIF(112:112,C37,113:113)+100</f>
        <v>100</v>
      </c>
      <c r="K37" s="578"/>
      <c r="L37" s="2017"/>
      <c r="M37" s="2018"/>
      <c r="N37" s="2018"/>
      <c r="O37" s="2019"/>
      <c r="P37" s="3579"/>
      <c r="Q37" s="1133" t="str">
        <f t="shared" si="11"/>
        <v>市政基础设施</v>
      </c>
      <c r="R37" s="1502" t="s">
        <v>8</v>
      </c>
      <c r="S37" s="1503">
        <f t="shared" si="12"/>
        <v>100</v>
      </c>
      <c r="T37" s="1502" t="s">
        <v>8</v>
      </c>
      <c r="U37" s="1503">
        <f t="shared" si="13"/>
        <v>100</v>
      </c>
      <c r="V37" s="1502" t="s">
        <v>8</v>
      </c>
      <c r="W37" s="1503">
        <f t="shared" si="14"/>
        <v>100</v>
      </c>
      <c r="X37" s="1504"/>
      <c r="Y37" s="3579"/>
      <c r="Z37" s="1132" t="str">
        <f t="shared" si="15"/>
        <v>市政基础设施</v>
      </c>
      <c r="AA37" s="1505">
        <f t="shared" si="3"/>
        <v>1</v>
      </c>
      <c r="AB37" s="1505">
        <f t="shared" si="4"/>
        <v>1</v>
      </c>
      <c r="AC37" s="1505">
        <f t="shared" si="5"/>
        <v>1</v>
      </c>
    </row>
    <row r="38" spans="1:29" ht="15">
      <c r="A38" s="588"/>
      <c r="B38" s="521" t="s">
        <v>757</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79" t="s">
        <v>758</v>
      </c>
      <c r="Q38" s="1506" t="str">
        <f t="shared" si="11"/>
        <v>业态</v>
      </c>
      <c r="R38" s="1507" t="s">
        <v>8</v>
      </c>
      <c r="S38" s="1508">
        <f t="shared" si="12"/>
        <v>100</v>
      </c>
      <c r="T38" s="1507" t="s">
        <v>8</v>
      </c>
      <c r="U38" s="1508">
        <f t="shared" si="13"/>
        <v>100</v>
      </c>
      <c r="V38" s="1507" t="s">
        <v>8</v>
      </c>
      <c r="W38" s="1508">
        <f t="shared" si="14"/>
        <v>100</v>
      </c>
      <c r="X38" s="1501"/>
      <c r="Y38" s="3579" t="s">
        <v>758</v>
      </c>
      <c r="Z38" s="1509" t="str">
        <f t="shared" si="15"/>
        <v>业态</v>
      </c>
      <c r="AA38" s="1510">
        <f t="shared" si="3"/>
        <v>1</v>
      </c>
      <c r="AB38" s="1510">
        <f t="shared" si="4"/>
        <v>1</v>
      </c>
      <c r="AC38" s="1510">
        <f t="shared" si="5"/>
        <v>1</v>
      </c>
    </row>
    <row r="39" spans="1:29" ht="15">
      <c r="A39" s="588"/>
      <c r="B39" s="521" t="s">
        <v>759</v>
      </c>
      <c r="C39" s="593" t="s">
        <v>3080</v>
      </c>
      <c r="D39" s="534">
        <v>100</v>
      </c>
      <c r="E39" s="593" t="s">
        <v>3080</v>
      </c>
      <c r="F39" s="569">
        <f>SUMIF(116:116,E39,117:117)-SUMIF(116:116,C39,117:117)+100</f>
        <v>100</v>
      </c>
      <c r="G39" s="593" t="s">
        <v>3080</v>
      </c>
      <c r="H39" s="534">
        <f>SUMIF(116:116,G39,117:117)-SUMIF(116:116,C39,117:117)+100</f>
        <v>100</v>
      </c>
      <c r="I39" s="593" t="s">
        <v>3080</v>
      </c>
      <c r="J39" s="534">
        <f>SUMIF(116:116,I39,117:117)-SUMIF(116:116,C39,117:117)+100</f>
        <v>100</v>
      </c>
      <c r="K39" s="578"/>
      <c r="L39" s="2024"/>
      <c r="M39" s="2016"/>
      <c r="N39" s="2016"/>
      <c r="O39" s="2023"/>
      <c r="P39" s="3579"/>
      <c r="Q39" s="1506" t="str">
        <f t="shared" si="11"/>
        <v>层高</v>
      </c>
      <c r="R39" s="1507" t="s">
        <v>8</v>
      </c>
      <c r="S39" s="1508">
        <f t="shared" si="12"/>
        <v>100</v>
      </c>
      <c r="T39" s="1507" t="s">
        <v>8</v>
      </c>
      <c r="U39" s="1508">
        <f t="shared" si="13"/>
        <v>100</v>
      </c>
      <c r="V39" s="1507" t="s">
        <v>8</v>
      </c>
      <c r="W39" s="1508">
        <f t="shared" si="14"/>
        <v>100</v>
      </c>
      <c r="X39" s="1501"/>
      <c r="Y39" s="3579"/>
      <c r="Z39" s="1509" t="str">
        <f t="shared" si="15"/>
        <v>层高</v>
      </c>
      <c r="AA39" s="1510">
        <f t="shared" si="3"/>
        <v>1</v>
      </c>
      <c r="AB39" s="1510">
        <f t="shared" si="4"/>
        <v>1</v>
      </c>
      <c r="AC39" s="1510">
        <f t="shared" si="5"/>
        <v>1</v>
      </c>
    </row>
    <row r="40" spans="1:29" ht="15">
      <c r="A40" s="588"/>
      <c r="B40" s="521" t="s">
        <v>760</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579"/>
      <c r="Q40" s="1506" t="str">
        <f t="shared" si="11"/>
        <v>单套建筑面积</v>
      </c>
      <c r="R40" s="1507" t="s">
        <v>8</v>
      </c>
      <c r="S40" s="1508">
        <f t="shared" si="12"/>
        <v>100</v>
      </c>
      <c r="T40" s="1507" t="s">
        <v>8</v>
      </c>
      <c r="U40" s="1508">
        <f t="shared" si="13"/>
        <v>100</v>
      </c>
      <c r="V40" s="1507" t="s">
        <v>8</v>
      </c>
      <c r="W40" s="1508">
        <f t="shared" si="14"/>
        <v>100</v>
      </c>
      <c r="X40" s="1501"/>
      <c r="Y40" s="3579"/>
      <c r="Z40" s="1509" t="str">
        <f t="shared" si="15"/>
        <v>单套建筑面积</v>
      </c>
      <c r="AA40" s="1510">
        <f t="shared" si="3"/>
        <v>1</v>
      </c>
      <c r="AB40" s="1510">
        <f t="shared" si="4"/>
        <v>1</v>
      </c>
      <c r="AC40" s="1510">
        <f t="shared" si="5"/>
        <v>1</v>
      </c>
    </row>
    <row r="41" spans="1:29" s="1292" customFormat="1" ht="15">
      <c r="A41" s="597"/>
      <c r="B41" s="893" t="s">
        <v>761</v>
      </c>
      <c r="C41" s="577" t="s">
        <v>3018</v>
      </c>
      <c r="D41" s="534">
        <v>100</v>
      </c>
      <c r="E41" s="577" t="s">
        <v>3018</v>
      </c>
      <c r="F41" s="569">
        <f>SUMIF(120:120,E41,121:121)-SUMIF(120:120,C41,121:121)+100</f>
        <v>100</v>
      </c>
      <c r="G41" s="577" t="s">
        <v>3018</v>
      </c>
      <c r="H41" s="534">
        <f>SUMIF(120:120,G41,121:121)-SUMIF(120:120,C41,121:121)+100</f>
        <v>100</v>
      </c>
      <c r="I41" s="577" t="s">
        <v>3018</v>
      </c>
      <c r="J41" s="534">
        <f>SUMIF(120:120,I41,121:121)-SUMIF(120:120,C41,121:121)+100</f>
        <v>100</v>
      </c>
      <c r="K41" s="578"/>
      <c r="L41" s="2022"/>
      <c r="M41" s="2052"/>
      <c r="N41" s="2052"/>
      <c r="O41" s="2025"/>
      <c r="P41" s="3579"/>
      <c r="Q41" s="1535" t="str">
        <f t="shared" si="11"/>
        <v>进深比</v>
      </c>
      <c r="R41" s="1511" t="s">
        <v>8</v>
      </c>
      <c r="S41" s="1512">
        <f t="shared" si="12"/>
        <v>100</v>
      </c>
      <c r="T41" s="1511" t="s">
        <v>8</v>
      </c>
      <c r="U41" s="1512">
        <f t="shared" si="13"/>
        <v>100</v>
      </c>
      <c r="V41" s="1511" t="s">
        <v>8</v>
      </c>
      <c r="W41" s="1512">
        <f t="shared" si="14"/>
        <v>100</v>
      </c>
      <c r="X41" s="1513"/>
      <c r="Y41" s="3579"/>
      <c r="Z41" s="1514" t="str">
        <f t="shared" si="15"/>
        <v>进深比</v>
      </c>
      <c r="AA41" s="1510">
        <f t="shared" si="3"/>
        <v>1</v>
      </c>
      <c r="AB41" s="1510">
        <f t="shared" si="4"/>
        <v>1</v>
      </c>
      <c r="AC41" s="1510">
        <f t="shared" si="5"/>
        <v>1</v>
      </c>
    </row>
    <row r="42" spans="1:29" ht="15">
      <c r="A42" s="588"/>
      <c r="B42" s="521" t="s">
        <v>762</v>
      </c>
      <c r="C42" s="593" t="s">
        <v>3081</v>
      </c>
      <c r="D42" s="534">
        <v>100</v>
      </c>
      <c r="E42" s="593" t="s">
        <v>3078</v>
      </c>
      <c r="F42" s="569">
        <f>SUMIF(122:122,E42,123:123)-SUMIF(122:122,C42,123:123)+100</f>
        <v>109</v>
      </c>
      <c r="G42" s="593" t="s">
        <v>3082</v>
      </c>
      <c r="H42" s="534">
        <f>SUMIF(122:122,G42,123:123)-SUMIF(122:122,C42,123:123)+100</f>
        <v>106</v>
      </c>
      <c r="I42" s="593" t="s">
        <v>3078</v>
      </c>
      <c r="J42" s="534">
        <f>SUMIF(122:122,I42,123:123)-SUMIF(122:122,C42,123:123)+100</f>
        <v>109</v>
      </c>
      <c r="K42" s="578">
        <v>3</v>
      </c>
      <c r="L42" s="2024"/>
      <c r="M42" s="2016"/>
      <c r="N42" s="2016"/>
      <c r="O42" s="2023"/>
      <c r="P42" s="3579"/>
      <c r="Q42" s="1506" t="str">
        <f t="shared" si="11"/>
        <v>内部装修</v>
      </c>
      <c r="R42" s="1507" t="s">
        <v>8</v>
      </c>
      <c r="S42" s="1508">
        <f t="shared" si="12"/>
        <v>109</v>
      </c>
      <c r="T42" s="1507" t="s">
        <v>8</v>
      </c>
      <c r="U42" s="1508">
        <f t="shared" si="13"/>
        <v>106</v>
      </c>
      <c r="V42" s="1507" t="s">
        <v>8</v>
      </c>
      <c r="W42" s="1508">
        <f t="shared" si="14"/>
        <v>109</v>
      </c>
      <c r="X42" s="1501"/>
      <c r="Y42" s="3579"/>
      <c r="Z42" s="1509" t="str">
        <f t="shared" si="15"/>
        <v>内部装修</v>
      </c>
      <c r="AA42" s="1510">
        <f t="shared" si="3"/>
        <v>0.91743119266055051</v>
      </c>
      <c r="AB42" s="1510">
        <f t="shared" si="4"/>
        <v>0.94339622641509435</v>
      </c>
      <c r="AC42" s="1510">
        <f t="shared" si="5"/>
        <v>0.91743119266055051</v>
      </c>
    </row>
    <row r="43" spans="1:29" ht="27">
      <c r="A43" s="588"/>
      <c r="B43" s="521" t="s">
        <v>727</v>
      </c>
      <c r="C43" s="593" t="s">
        <v>3018</v>
      </c>
      <c r="D43" s="534">
        <v>100</v>
      </c>
      <c r="E43" s="593" t="s">
        <v>3018</v>
      </c>
      <c r="F43" s="569">
        <f>SUMIF(124:124,E43,125:125)-SUMIF(124:124,C43,125:125)+100</f>
        <v>100</v>
      </c>
      <c r="G43" s="593" t="s">
        <v>3018</v>
      </c>
      <c r="H43" s="534">
        <f>SUMIF(124:124,G43,125:125)-SUMIF(124:124,C43,125:125)+100</f>
        <v>100</v>
      </c>
      <c r="I43" s="593" t="s">
        <v>3018</v>
      </c>
      <c r="J43" s="534">
        <f>SUMIF(124:124,I43,125:125)-SUMIF(124:124,C43,125:125)+100</f>
        <v>100</v>
      </c>
      <c r="K43" s="578"/>
      <c r="L43" s="2024"/>
      <c r="M43" s="2016"/>
      <c r="N43" s="2016"/>
      <c r="O43" s="2023"/>
      <c r="P43" s="3579"/>
      <c r="Q43" s="1506" t="str">
        <f t="shared" si="11"/>
        <v>内部装修维护情况</v>
      </c>
      <c r="R43" s="1507" t="s">
        <v>8</v>
      </c>
      <c r="S43" s="1508">
        <f t="shared" si="12"/>
        <v>100</v>
      </c>
      <c r="T43" s="1507" t="s">
        <v>8</v>
      </c>
      <c r="U43" s="1508">
        <f t="shared" si="13"/>
        <v>100</v>
      </c>
      <c r="V43" s="1507" t="s">
        <v>8</v>
      </c>
      <c r="W43" s="1508">
        <f t="shared" si="14"/>
        <v>100</v>
      </c>
      <c r="X43" s="1501"/>
      <c r="Y43" s="3579"/>
      <c r="Z43" s="1509" t="str">
        <f t="shared" si="15"/>
        <v>内部装修维护情况</v>
      </c>
      <c r="AA43" s="1510">
        <f t="shared" si="3"/>
        <v>1</v>
      </c>
      <c r="AB43" s="1510">
        <f t="shared" si="4"/>
        <v>1</v>
      </c>
      <c r="AC43" s="1510">
        <f t="shared" si="5"/>
        <v>1</v>
      </c>
    </row>
    <row r="44" spans="1:29" s="1202"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79"/>
      <c r="Q44" s="1133">
        <f t="shared" si="11"/>
        <v>111</v>
      </c>
      <c r="R44" s="1502" t="s">
        <v>8</v>
      </c>
      <c r="S44" s="1503">
        <f t="shared" si="12"/>
        <v>100</v>
      </c>
      <c r="T44" s="1502" t="s">
        <v>8</v>
      </c>
      <c r="U44" s="1503">
        <f t="shared" si="13"/>
        <v>100</v>
      </c>
      <c r="V44" s="1502" t="s">
        <v>8</v>
      </c>
      <c r="W44" s="1503">
        <f t="shared" si="14"/>
        <v>100</v>
      </c>
      <c r="X44" s="1504"/>
      <c r="Y44" s="3579"/>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79"/>
      <c r="Q45" s="1506">
        <f t="shared" si="11"/>
        <v>111</v>
      </c>
      <c r="R45" s="1507" t="s">
        <v>8</v>
      </c>
      <c r="S45" s="1508">
        <f t="shared" si="12"/>
        <v>100</v>
      </c>
      <c r="T45" s="1507" t="s">
        <v>8</v>
      </c>
      <c r="U45" s="1508">
        <f t="shared" si="13"/>
        <v>100</v>
      </c>
      <c r="V45" s="1507" t="s">
        <v>8</v>
      </c>
      <c r="W45" s="1508">
        <f t="shared" si="14"/>
        <v>100</v>
      </c>
      <c r="X45" s="1501"/>
      <c r="Y45" s="3579"/>
      <c r="Z45" s="1509">
        <f t="shared" si="15"/>
        <v>111</v>
      </c>
      <c r="AA45" s="1510">
        <f t="shared" si="3"/>
        <v>1</v>
      </c>
      <c r="AB45" s="1510">
        <f t="shared" si="4"/>
        <v>1</v>
      </c>
      <c r="AC45" s="1510">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80"/>
      <c r="Q46" s="1506">
        <f t="shared" si="11"/>
        <v>111</v>
      </c>
      <c r="R46" s="1507" t="s">
        <v>8</v>
      </c>
      <c r="S46" s="1508">
        <f t="shared" si="12"/>
        <v>100</v>
      </c>
      <c r="T46" s="1507" t="s">
        <v>8</v>
      </c>
      <c r="U46" s="1508">
        <f t="shared" si="13"/>
        <v>100</v>
      </c>
      <c r="V46" s="1507" t="s">
        <v>8</v>
      </c>
      <c r="W46" s="1508">
        <f t="shared" si="14"/>
        <v>100</v>
      </c>
      <c r="X46" s="1501"/>
      <c r="Y46" s="3680"/>
      <c r="Z46" s="1509">
        <f t="shared" si="15"/>
        <v>111</v>
      </c>
      <c r="AA46" s="1510">
        <f t="shared" si="3"/>
        <v>1</v>
      </c>
      <c r="AB46" s="1510">
        <f t="shared" si="4"/>
        <v>1</v>
      </c>
      <c r="AC46" s="1510">
        <f t="shared" si="5"/>
        <v>1</v>
      </c>
    </row>
    <row r="47" spans="1:29" ht="15">
      <c r="A47" s="601" t="s">
        <v>728</v>
      </c>
      <c r="B47" s="876"/>
      <c r="C47" s="2470" t="s">
        <v>1</v>
      </c>
      <c r="D47" s="2471"/>
      <c r="E47" s="2472">
        <v>6.5</v>
      </c>
      <c r="F47" s="2473"/>
      <c r="G47" s="2474">
        <v>5.7</v>
      </c>
      <c r="H47" s="2475"/>
      <c r="I47" s="2472">
        <v>6</v>
      </c>
      <c r="J47" s="2475"/>
      <c r="K47" s="1540"/>
      <c r="L47" s="2026"/>
      <c r="M47" s="2027"/>
      <c r="N47" s="2016"/>
      <c r="O47" s="2027"/>
      <c r="P47" s="3574" t="str">
        <f>A47</f>
        <v>成交单价（元/平方米）</v>
      </c>
      <c r="Q47" s="3574"/>
      <c r="R47" s="3679">
        <f>E47</f>
        <v>6.5</v>
      </c>
      <c r="S47" s="3679"/>
      <c r="T47" s="3679">
        <f>G47</f>
        <v>5.7</v>
      </c>
      <c r="U47" s="3679"/>
      <c r="V47" s="3679">
        <f>I47</f>
        <v>6</v>
      </c>
      <c r="W47" s="3679"/>
      <c r="X47" s="1496"/>
      <c r="Y47" s="1515"/>
      <c r="Z47" s="1496"/>
      <c r="AA47" s="1496"/>
      <c r="AB47" s="1496"/>
      <c r="AC47" s="1496"/>
    </row>
    <row r="48" spans="1:29" ht="15.75" thickBot="1">
      <c r="A48" s="609" t="s">
        <v>2735</v>
      </c>
      <c r="B48" s="877"/>
      <c r="C48" s="2476">
        <f>R49</f>
        <v>5</v>
      </c>
      <c r="D48" s="3013" t="s">
        <v>2960</v>
      </c>
      <c r="E48" s="2477">
        <f>R48</f>
        <v>5.4</v>
      </c>
      <c r="F48" s="3014"/>
      <c r="G48" s="2476">
        <f>T48</f>
        <v>4.7</v>
      </c>
      <c r="H48" s="3014"/>
      <c r="I48" s="2477">
        <f>V48</f>
        <v>4.8</v>
      </c>
      <c r="J48" s="3014"/>
      <c r="K48" s="3022">
        <f>F48+H48+J48</f>
        <v>0</v>
      </c>
      <c r="L48" s="2026"/>
      <c r="M48" s="2027"/>
      <c r="N48" s="2016"/>
      <c r="O48" s="2027"/>
      <c r="P48" s="3574" t="str">
        <f>A48</f>
        <v>比较价格（元/平方米）</v>
      </c>
      <c r="Q48" s="3574"/>
      <c r="R48" s="3679">
        <f>IF(F1="售价",ROUND(PRODUCT(R47,AA7:AA46),0),ROUND(PRODUCT(R47,AA7:AA46),1))</f>
        <v>5.4</v>
      </c>
      <c r="S48" s="3679"/>
      <c r="T48" s="3679">
        <f>IF(F1="售价",ROUND(PRODUCT(T47,AB7:AB46),0),ROUND(PRODUCT(T47,AB7:AB46),1))</f>
        <v>4.7</v>
      </c>
      <c r="U48" s="3679"/>
      <c r="V48" s="3679">
        <f>IF(F1="售价",ROUND(PRODUCT(V47,AC7:AC46),0),ROUND(PRODUCT(V47,AC7:AC46),1))</f>
        <v>4.8</v>
      </c>
      <c r="W48" s="3679"/>
      <c r="X48" s="1496"/>
      <c r="Y48" s="1496"/>
      <c r="Z48" s="1496"/>
      <c r="AA48" s="1496"/>
      <c r="AB48" s="1496"/>
      <c r="AC48" s="1496"/>
    </row>
    <row r="49" spans="1:29" ht="15.75" thickBot="1">
      <c r="A49" s="613" t="s">
        <v>2893</v>
      </c>
      <c r="B49" s="614"/>
      <c r="C49" s="2478">
        <f>R49</f>
        <v>5</v>
      </c>
      <c r="D49" s="2478"/>
      <c r="E49" s="2478"/>
      <c r="F49" s="2478"/>
      <c r="G49" s="2478"/>
      <c r="H49" s="2478"/>
      <c r="I49" s="2478"/>
      <c r="J49" s="2478"/>
      <c r="K49" s="1541"/>
      <c r="L49" s="2026"/>
      <c r="M49" s="2027"/>
      <c r="N49" s="2016"/>
      <c r="O49" s="2027"/>
      <c r="P49" s="3595" t="str">
        <f>A49</f>
        <v>估价对象XX用房的比较价格（楼面单价，元/平方米）</v>
      </c>
      <c r="Q49" s="3596"/>
      <c r="R49" s="3678">
        <f>IF(F1="售价",ROUND(IF(D48="简单平均",AVERAGE(R48:V48),R48*F48+T48*H48+V48*J48),0),ROUND(IF(D48="简单平均",AVERAGE(R48:V48),R48*F48+T48*H48+V48*J48),1))</f>
        <v>5</v>
      </c>
      <c r="S49" s="3678"/>
      <c r="T49" s="3678"/>
      <c r="U49" s="3678"/>
      <c r="V49" s="3678"/>
      <c r="W49" s="3678"/>
      <c r="X49" s="1496"/>
      <c r="Y49" s="1496"/>
      <c r="Z49" s="1496"/>
      <c r="AA49" s="1496"/>
      <c r="AB49" s="1496"/>
      <c r="AC49" s="1496"/>
    </row>
    <row r="50" spans="1:29">
      <c r="A50" s="3210"/>
      <c r="B50" s="3210"/>
      <c r="C50" s="3210"/>
      <c r="D50" s="3210"/>
      <c r="E50" s="3210"/>
      <c r="F50" s="3210"/>
      <c r="G50" s="3212"/>
      <c r="H50" s="3210"/>
      <c r="I50" s="3210"/>
      <c r="J50" s="3210"/>
      <c r="K50" s="3213"/>
      <c r="L50" s="2031"/>
      <c r="M50" s="2027"/>
      <c r="N50" s="2027"/>
      <c r="O50" s="2027"/>
      <c r="P50" s="2027"/>
      <c r="Q50" s="2027"/>
      <c r="R50" s="2027"/>
      <c r="S50" s="2027"/>
      <c r="T50" s="2027"/>
      <c r="U50" s="2027"/>
      <c r="V50" s="2027"/>
      <c r="W50" s="2027"/>
      <c r="X50" s="2027"/>
      <c r="Y50" s="2027"/>
      <c r="Z50" s="2027"/>
      <c r="AA50" s="2027"/>
      <c r="AB50" s="2027"/>
      <c r="AC50" s="2027"/>
    </row>
    <row r="51" spans="1:29">
      <c r="A51" s="3210"/>
      <c r="B51" s="3210"/>
      <c r="C51" s="3210"/>
      <c r="D51" s="3210"/>
      <c r="E51" s="3210"/>
      <c r="F51" s="3210"/>
      <c r="G51" s="3210"/>
      <c r="H51" s="3210"/>
      <c r="I51" s="3210"/>
      <c r="J51" s="3210"/>
      <c r="K51" s="3213"/>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0"/>
      <c r="B52" s="3210"/>
      <c r="C52" s="616" t="s">
        <v>549</v>
      </c>
      <c r="D52" s="617"/>
      <c r="E52" s="618">
        <f>IF(E47&lt;E48,E48/E47-1,E47/E48-1)</f>
        <v>0.20370370370370372</v>
      </c>
      <c r="F52" s="619" t="str">
        <f>IF(OR(E52&gt;=0.3,E52&lt;=-0.3),"超过30%","")</f>
        <v/>
      </c>
      <c r="G52" s="618">
        <f>IF(G47&lt;G48,G48/G47-1,G47/G48-1)</f>
        <v>0.2127659574468086</v>
      </c>
      <c r="H52" s="619" t="str">
        <f>IF(OR(G52&gt;=0.3,G52&lt;=-0.3),"超过30%","")</f>
        <v/>
      </c>
      <c r="I52" s="618">
        <f>IF(I47&lt;I48,I48/I47-1,I47/I48-1)</f>
        <v>0.25</v>
      </c>
      <c r="J52" s="619" t="str">
        <f>IF(OR(I52&gt;=0.3,I52&lt;=-0.3),"超过30%","")</f>
        <v/>
      </c>
      <c r="K52" s="3213"/>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0"/>
      <c r="B53" s="3210"/>
      <c r="C53" s="616" t="s">
        <v>550</v>
      </c>
      <c r="D53" s="620"/>
      <c r="E53" s="618">
        <f>IF(E48&lt;G48,G48/E48-1,E48/G48-1)</f>
        <v>0.14893617021276606</v>
      </c>
      <c r="F53" s="619" t="str">
        <f>IF(OR(E53&gt;=0.2,E53&lt;=-0.2),"超过20%","")</f>
        <v/>
      </c>
      <c r="G53" s="618">
        <f>IF(G48&lt;I48,I48/G48-1,G48/I48-1)</f>
        <v>2.1276595744680771E-2</v>
      </c>
      <c r="H53" s="619" t="str">
        <f>IF(OR(G53&gt;=0.2,G53&lt;=-0.2),"超过20%","")</f>
        <v/>
      </c>
      <c r="I53" s="618">
        <f>IF(I48&lt;E48,E48/I48-1,I48/E48-1)</f>
        <v>0.12500000000000022</v>
      </c>
      <c r="J53" s="619" t="str">
        <f>IF(OR(I53&gt;=0.2,I53&lt;=-0.2),"超过20%","")</f>
        <v/>
      </c>
      <c r="K53" s="3213"/>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1"/>
      <c r="B54" s="3211"/>
      <c r="C54" s="616" t="s">
        <v>551</v>
      </c>
      <c r="D54" s="620"/>
      <c r="E54" s="618">
        <f>IF(E47&lt;G47,G47/E47-1,E47/G47-1)</f>
        <v>0.14035087719298245</v>
      </c>
      <c r="F54" s="619" t="str">
        <f>IF(OR(E54&gt;=0.3,E54&lt;=-0.3),"超过30%","")</f>
        <v/>
      </c>
      <c r="G54" s="618">
        <f>IF(G47&lt;I47,I47/G47-1,G47/I47-1)</f>
        <v>5.2631578947368363E-2</v>
      </c>
      <c r="H54" s="619" t="str">
        <f>IF(OR(G54&gt;=0.3,G54&lt;=-0.3),"超过30%","")</f>
        <v/>
      </c>
      <c r="I54" s="618">
        <f>IF(I47&lt;E47,E47/I47-1,I47/E47-1)</f>
        <v>8.3333333333333259E-2</v>
      </c>
      <c r="J54" s="619" t="str">
        <f>IF(OR(I54&gt;=0.3,I54&lt;=-0.3),"超过30%","")</f>
        <v/>
      </c>
      <c r="K54" s="3214"/>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566</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521</v>
      </c>
      <c r="B58" s="638"/>
      <c r="C58" s="2519" t="str">
        <f>YEAR(C7)&amp;"-"&amp;MONTH(C7)</f>
        <v>2021-9</v>
      </c>
      <c r="D58" s="2521">
        <f>EDATE(C58,-1)</f>
        <v>44409</v>
      </c>
      <c r="E58" s="2521">
        <f t="shared" ref="E58:O58" si="16">EDATE(D58,-1)</f>
        <v>44378</v>
      </c>
      <c r="F58" s="2521">
        <f t="shared" si="16"/>
        <v>44348</v>
      </c>
      <c r="G58" s="2521">
        <f t="shared" si="16"/>
        <v>44317</v>
      </c>
      <c r="H58" s="2521">
        <f t="shared" si="16"/>
        <v>44287</v>
      </c>
      <c r="I58" s="2521">
        <f t="shared" si="16"/>
        <v>44256</v>
      </c>
      <c r="J58" s="2521">
        <f t="shared" si="16"/>
        <v>44228</v>
      </c>
      <c r="K58" s="2521">
        <f t="shared" si="16"/>
        <v>44197</v>
      </c>
      <c r="L58" s="2521">
        <f t="shared" si="16"/>
        <v>44166</v>
      </c>
      <c r="M58" s="2521">
        <f t="shared" si="16"/>
        <v>44136</v>
      </c>
      <c r="N58" s="2521">
        <f t="shared" si="16"/>
        <v>44105</v>
      </c>
      <c r="O58" s="2521">
        <f t="shared" si="16"/>
        <v>44075</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f>C59</f>
        <v>100</v>
      </c>
      <c r="E59" s="642">
        <f>C59</f>
        <v>100</v>
      </c>
      <c r="F59" s="642">
        <f>C59</f>
        <v>100</v>
      </c>
      <c r="G59" s="642">
        <f>C59</f>
        <v>100</v>
      </c>
      <c r="H59" s="642">
        <f>C59</f>
        <v>100</v>
      </c>
      <c r="I59" s="642">
        <f>C59</f>
        <v>100</v>
      </c>
      <c r="J59" s="642">
        <f>C59</f>
        <v>100</v>
      </c>
      <c r="K59" s="642">
        <f>C59</f>
        <v>100</v>
      </c>
      <c r="L59" s="642"/>
      <c r="M59" s="643"/>
      <c r="N59" s="642"/>
      <c r="O59" s="644"/>
      <c r="P59" s="2039"/>
      <c r="Q59" s="1905"/>
      <c r="R59" s="1905"/>
      <c r="S59" s="1905"/>
      <c r="T59" s="1905"/>
      <c r="U59" s="1905"/>
      <c r="V59" s="1905"/>
      <c r="W59" s="1905"/>
      <c r="X59" s="1905"/>
      <c r="Y59" s="1905"/>
      <c r="Z59" s="1905"/>
      <c r="AA59" s="1905"/>
      <c r="AB59" s="1905"/>
      <c r="AC59" s="1905"/>
    </row>
    <row r="60" spans="1:29" s="1202" customFormat="1" ht="15.75" thickBot="1">
      <c r="A60" s="645" t="s">
        <v>567</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523</v>
      </c>
      <c r="B61" s="640"/>
      <c r="C61" s="652" t="s">
        <v>568</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7"/>
    </row>
    <row r="63" spans="1:29">
      <c r="A63" s="656" t="s">
        <v>569</v>
      </c>
      <c r="B63" s="657" t="s">
        <v>526</v>
      </c>
      <c r="C63" s="696" t="str">
        <f>C9</f>
        <v>商业</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529</v>
      </c>
      <c r="C65" s="666" t="s">
        <v>729</v>
      </c>
      <c r="D65" s="666" t="s">
        <v>730</v>
      </c>
      <c r="E65" s="666" t="s">
        <v>731</v>
      </c>
      <c r="F65" s="666" t="s">
        <v>732</v>
      </c>
      <c r="G65" s="666" t="s">
        <v>733</v>
      </c>
      <c r="H65" s="666" t="s">
        <v>734</v>
      </c>
      <c r="I65" s="666" t="s">
        <v>735</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98</v>
      </c>
      <c r="H66" s="671">
        <f>G66-$K10</f>
        <v>96</v>
      </c>
      <c r="I66" s="671">
        <f>H66-$K10</f>
        <v>94</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530</v>
      </c>
      <c r="C67" s="674" t="str">
        <f>C68&amp;"（含）"&amp;"-"&amp;D68</f>
        <v>1（含）-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v>1</v>
      </c>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531</v>
      </c>
      <c r="B76" s="657" t="s">
        <v>570</v>
      </c>
      <c r="C76" s="695" t="s">
        <v>571</v>
      </c>
      <c r="D76" s="695" t="s">
        <v>572</v>
      </c>
      <c r="E76" s="695" t="s">
        <v>573</v>
      </c>
      <c r="F76" s="695" t="s">
        <v>574</v>
      </c>
      <c r="G76" s="695" t="s">
        <v>575</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95</v>
      </c>
      <c r="E77" s="671">
        <f>D77-$K15</f>
        <v>90</v>
      </c>
      <c r="F77" s="671">
        <f>E77-$K15</f>
        <v>85</v>
      </c>
      <c r="G77" s="671">
        <f>F77-$K15</f>
        <v>80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578</v>
      </c>
      <c r="C78" s="700" t="s">
        <v>571</v>
      </c>
      <c r="D78" s="700" t="s">
        <v>572</v>
      </c>
      <c r="E78" s="700" t="s">
        <v>573</v>
      </c>
      <c r="F78" s="700" t="s">
        <v>574</v>
      </c>
      <c r="G78" s="700" t="s">
        <v>575</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95</v>
      </c>
      <c r="E79" s="671">
        <f>D79-$K17</f>
        <v>90</v>
      </c>
      <c r="F79" s="671">
        <f>E79-$K17</f>
        <v>85</v>
      </c>
      <c r="G79" s="671">
        <f>F79-$K17</f>
        <v>80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2533</v>
      </c>
      <c r="C80" s="700" t="s">
        <v>571</v>
      </c>
      <c r="D80" s="700" t="s">
        <v>572</v>
      </c>
      <c r="E80" s="700" t="s">
        <v>573</v>
      </c>
      <c r="F80" s="700" t="s">
        <v>574</v>
      </c>
      <c r="G80" s="700" t="s">
        <v>575</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95</v>
      </c>
      <c r="E81" s="671">
        <f>D81-$K19</f>
        <v>90</v>
      </c>
      <c r="F81" s="671">
        <f>E81-$K19</f>
        <v>85</v>
      </c>
      <c r="G81" s="671">
        <f>F81-$K19</f>
        <v>80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2534</v>
      </c>
      <c r="C82" s="2442" t="s">
        <v>2535</v>
      </c>
      <c r="D82" s="2442" t="s">
        <v>2536</v>
      </c>
      <c r="E82" s="2442" t="s">
        <v>2537</v>
      </c>
      <c r="F82" s="2442" t="s">
        <v>2538</v>
      </c>
      <c r="G82" s="2442" t="s">
        <v>2539</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736</v>
      </c>
      <c r="C84" s="700" t="s">
        <v>571</v>
      </c>
      <c r="D84" s="700" t="s">
        <v>572</v>
      </c>
      <c r="E84" s="700" t="s">
        <v>573</v>
      </c>
      <c r="F84" s="700" t="s">
        <v>574</v>
      </c>
      <c r="G84" s="700" t="s">
        <v>575</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98</v>
      </c>
      <c r="E85" s="671">
        <f>D85-$K23</f>
        <v>96</v>
      </c>
      <c r="F85" s="671">
        <f>E85-$K23</f>
        <v>94</v>
      </c>
      <c r="G85" s="671">
        <f>F85-$K23</f>
        <v>92</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665" t="s">
        <v>763</v>
      </c>
      <c r="C86" s="3302" t="s">
        <v>3065</v>
      </c>
      <c r="D86" s="3302" t="s">
        <v>3066</v>
      </c>
      <c r="E86" s="3302" t="s">
        <v>3067</v>
      </c>
      <c r="F86" s="3302" t="s">
        <v>3068</v>
      </c>
      <c r="G86" s="3302" t="s">
        <v>3069</v>
      </c>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tr">
        <f>B26</f>
        <v>平面位置/可视性</v>
      </c>
      <c r="C88" s="3302" t="s">
        <v>3059</v>
      </c>
      <c r="D88" s="3302" t="s">
        <v>3049</v>
      </c>
      <c r="E88" s="3302" t="s">
        <v>3060</v>
      </c>
      <c r="F88" s="3308" t="s">
        <v>3061</v>
      </c>
      <c r="G88" s="3302" t="s">
        <v>3062</v>
      </c>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3304">
        <v>100</v>
      </c>
      <c r="D89" s="3305">
        <f>100-1</f>
        <v>99</v>
      </c>
      <c r="E89" s="3305">
        <f t="shared" ref="E89:G89" si="20">100-1</f>
        <v>99</v>
      </c>
      <c r="F89" s="3305">
        <f t="shared" si="20"/>
        <v>99</v>
      </c>
      <c r="G89" s="3305">
        <f t="shared" si="20"/>
        <v>99</v>
      </c>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人流量</v>
      </c>
      <c r="C90" s="3302" t="s">
        <v>2480</v>
      </c>
      <c r="D90" s="3302" t="s">
        <v>3063</v>
      </c>
      <c r="E90" s="3302" t="s">
        <v>3060</v>
      </c>
      <c r="F90" s="3302" t="s">
        <v>3064</v>
      </c>
      <c r="G90" s="3302" t="s">
        <v>2482</v>
      </c>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704">
        <v>100</v>
      </c>
      <c r="D91" s="671">
        <f>C91-$K27</f>
        <v>100</v>
      </c>
      <c r="E91" s="671">
        <f t="shared" ref="E91:M91" si="21">D91-$K27</f>
        <v>100</v>
      </c>
      <c r="F91" s="671">
        <f t="shared" si="21"/>
        <v>100</v>
      </c>
      <c r="G91" s="671">
        <f t="shared" si="21"/>
        <v>100</v>
      </c>
      <c r="H91" s="671">
        <f t="shared" si="21"/>
        <v>100</v>
      </c>
      <c r="I91" s="671">
        <f t="shared" si="21"/>
        <v>100</v>
      </c>
      <c r="J91" s="671">
        <f t="shared" si="21"/>
        <v>100</v>
      </c>
      <c r="K91" s="671">
        <f t="shared" si="21"/>
        <v>100</v>
      </c>
      <c r="L91" s="671">
        <f t="shared" si="21"/>
        <v>100</v>
      </c>
      <c r="M91" s="671">
        <f t="shared" si="21"/>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3307" t="s">
        <v>3058</v>
      </c>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3305">
        <v>100</v>
      </c>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543</v>
      </c>
      <c r="B100" s="657" t="s">
        <v>764</v>
      </c>
      <c r="C100" s="3306" t="s">
        <v>3053</v>
      </c>
      <c r="D100" s="3306" t="s">
        <v>3054</v>
      </c>
      <c r="E100" s="3306" t="s">
        <v>3055</v>
      </c>
      <c r="F100" s="3306" t="s">
        <v>3056</v>
      </c>
      <c r="G100" s="3306" t="s">
        <v>3057</v>
      </c>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98</v>
      </c>
      <c r="E101" s="671">
        <f t="shared" si="22"/>
        <v>96</v>
      </c>
      <c r="F101" s="671">
        <f t="shared" si="22"/>
        <v>94</v>
      </c>
      <c r="G101" s="671">
        <f t="shared" si="22"/>
        <v>92</v>
      </c>
      <c r="H101" s="671">
        <f t="shared" si="22"/>
        <v>90</v>
      </c>
      <c r="I101" s="671">
        <f t="shared" si="22"/>
        <v>88</v>
      </c>
      <c r="J101" s="671">
        <f t="shared" si="22"/>
        <v>86</v>
      </c>
      <c r="K101" s="671">
        <f t="shared" si="22"/>
        <v>84</v>
      </c>
      <c r="L101" s="671">
        <f t="shared" si="22"/>
        <v>82</v>
      </c>
      <c r="M101" s="672">
        <f t="shared" si="22"/>
        <v>80</v>
      </c>
      <c r="N101" s="2047"/>
      <c r="O101" s="2047"/>
      <c r="P101" s="2046"/>
      <c r="Q101" s="2039"/>
      <c r="R101" s="2027"/>
      <c r="S101" s="2027"/>
      <c r="T101" s="2027"/>
      <c r="U101" s="2027"/>
      <c r="V101" s="2027"/>
      <c r="W101" s="2027"/>
      <c r="X101" s="2027"/>
      <c r="Y101" s="2027"/>
      <c r="Z101" s="2027"/>
      <c r="AA101" s="2027"/>
      <c r="AB101" s="2027"/>
      <c r="AC101" s="2027"/>
    </row>
    <row r="102" spans="1:29" ht="29.25" thickTop="1">
      <c r="A102" s="661"/>
      <c r="B102" s="665" t="s">
        <v>740</v>
      </c>
      <c r="C102" s="700" t="str">
        <f>C103&amp;"(含)"&amp;"-"&amp;D103</f>
        <v>0(含)-10000</v>
      </c>
      <c r="D102" s="700" t="str">
        <f t="shared" ref="D102:L102" si="23">D103&amp;"(含)"&amp;"-"&amp;E103</f>
        <v>10000(含)-50000</v>
      </c>
      <c r="E102" s="700" t="str">
        <f t="shared" si="23"/>
        <v>50000(含)-100000</v>
      </c>
      <c r="F102" s="700" t="str">
        <f t="shared" si="23"/>
        <v>100000(含)-200000</v>
      </c>
      <c r="G102" s="700" t="str">
        <f t="shared" si="23"/>
        <v>200000(含)-300000</v>
      </c>
      <c r="H102" s="700" t="str">
        <f t="shared" si="23"/>
        <v>300000(含)-400000</v>
      </c>
      <c r="I102" s="700" t="str">
        <f t="shared" si="23"/>
        <v>400000(含)-</v>
      </c>
      <c r="J102" s="700" t="str">
        <f t="shared" si="23"/>
        <v>(含)-</v>
      </c>
      <c r="K102" s="700" t="str">
        <f t="shared" si="23"/>
        <v>(含)-</v>
      </c>
      <c r="L102" s="700" t="str">
        <f t="shared" si="23"/>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84">
        <v>0</v>
      </c>
      <c r="D103" s="84">
        <v>10000</v>
      </c>
      <c r="E103" s="84">
        <v>50000</v>
      </c>
      <c r="F103" s="84">
        <v>100000</v>
      </c>
      <c r="G103" s="84">
        <v>200000</v>
      </c>
      <c r="H103" s="84">
        <v>300000</v>
      </c>
      <c r="I103" s="84">
        <v>400000</v>
      </c>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3304">
        <v>100</v>
      </c>
      <c r="D104" s="3305">
        <v>98</v>
      </c>
      <c r="E104" s="3305">
        <v>96</v>
      </c>
      <c r="F104" s="3305">
        <v>94</v>
      </c>
      <c r="G104" s="3305">
        <v>92</v>
      </c>
      <c r="H104" s="3305">
        <v>90</v>
      </c>
      <c r="I104" s="3305">
        <v>88</v>
      </c>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741</v>
      </c>
      <c r="C105" s="3302" t="s">
        <v>2351</v>
      </c>
      <c r="D105" s="3302" t="s">
        <v>3052</v>
      </c>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2">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743</v>
      </c>
      <c r="C107" s="3302" t="s">
        <v>3045</v>
      </c>
      <c r="D107" s="3302" t="s">
        <v>3046</v>
      </c>
      <c r="E107" s="3302" t="s">
        <v>3047</v>
      </c>
      <c r="F107" s="3303" t="s">
        <v>3048</v>
      </c>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2">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744</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102</v>
      </c>
      <c r="E111" s="671">
        <f t="shared" ref="E111:M111" si="26">D111+$K36</f>
        <v>104</v>
      </c>
      <c r="F111" s="671">
        <f t="shared" si="26"/>
        <v>106</v>
      </c>
      <c r="G111" s="671">
        <f t="shared" si="26"/>
        <v>108</v>
      </c>
      <c r="H111" s="671">
        <f t="shared" si="26"/>
        <v>110</v>
      </c>
      <c r="I111" s="671">
        <f t="shared" si="26"/>
        <v>112</v>
      </c>
      <c r="J111" s="671">
        <f t="shared" si="26"/>
        <v>114</v>
      </c>
      <c r="K111" s="671">
        <f t="shared" si="26"/>
        <v>116</v>
      </c>
      <c r="L111" s="671">
        <f t="shared" si="26"/>
        <v>118</v>
      </c>
      <c r="M111" s="671">
        <f t="shared" si="26"/>
        <v>120</v>
      </c>
      <c r="N111" s="2047"/>
      <c r="O111" s="2047"/>
      <c r="P111" s="2046"/>
      <c r="Q111" s="2039"/>
      <c r="R111" s="2027"/>
      <c r="S111" s="2027"/>
      <c r="T111" s="2027"/>
      <c r="U111" s="2027"/>
      <c r="V111" s="2027"/>
      <c r="W111" s="2027"/>
      <c r="X111" s="2027"/>
      <c r="Y111" s="2027"/>
      <c r="Z111" s="2027"/>
      <c r="AA111" s="2027"/>
      <c r="AB111" s="2027"/>
      <c r="AC111" s="2027"/>
    </row>
    <row r="112" spans="1:29" s="1292" customFormat="1" ht="15" thickTop="1">
      <c r="A112" s="720"/>
      <c r="B112" s="1810" t="s">
        <v>2532</v>
      </c>
      <c r="C112" s="3302" t="s">
        <v>1968</v>
      </c>
      <c r="D112" s="3302" t="s">
        <v>1967</v>
      </c>
      <c r="E112" s="3302" t="s">
        <v>1966</v>
      </c>
      <c r="F112" s="3302" t="s">
        <v>1965</v>
      </c>
      <c r="G112" s="3302" t="s">
        <v>1964</v>
      </c>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671">
        <v>100</v>
      </c>
      <c r="D113" s="671">
        <f>C113-$K37</f>
        <v>100</v>
      </c>
      <c r="E113" s="671">
        <f t="shared" ref="E113:M113" si="27">D113-$K37</f>
        <v>100</v>
      </c>
      <c r="F113" s="671">
        <f t="shared" si="27"/>
        <v>100</v>
      </c>
      <c r="G113" s="671">
        <f t="shared" si="27"/>
        <v>100</v>
      </c>
      <c r="H113" s="671">
        <f t="shared" si="27"/>
        <v>100</v>
      </c>
      <c r="I113" s="671">
        <f t="shared" si="27"/>
        <v>100</v>
      </c>
      <c r="J113" s="671">
        <f t="shared" si="27"/>
        <v>100</v>
      </c>
      <c r="K113" s="671">
        <f t="shared" si="27"/>
        <v>100</v>
      </c>
      <c r="L113" s="671">
        <f t="shared" si="27"/>
        <v>100</v>
      </c>
      <c r="M113" s="671">
        <f t="shared" si="27"/>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765</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8">C115-$K38</f>
        <v>100</v>
      </c>
      <c r="E115" s="671">
        <f t="shared" si="28"/>
        <v>100</v>
      </c>
      <c r="F115" s="671">
        <f t="shared" si="28"/>
        <v>100</v>
      </c>
      <c r="G115" s="671">
        <f t="shared" si="28"/>
        <v>100</v>
      </c>
      <c r="H115" s="671">
        <f t="shared" si="28"/>
        <v>100</v>
      </c>
      <c r="I115" s="671">
        <f t="shared" si="28"/>
        <v>100</v>
      </c>
      <c r="J115" s="671">
        <f t="shared" si="28"/>
        <v>100</v>
      </c>
      <c r="K115" s="671">
        <f t="shared" si="28"/>
        <v>100</v>
      </c>
      <c r="L115" s="671">
        <f t="shared" si="28"/>
        <v>100</v>
      </c>
      <c r="M115" s="672">
        <f t="shared" si="28"/>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766</v>
      </c>
      <c r="C116" s="3302" t="s">
        <v>3050</v>
      </c>
      <c r="D116" s="3302" t="s">
        <v>3051</v>
      </c>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767</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2" customFormat="1" ht="15" thickTop="1">
      <c r="A120" s="720"/>
      <c r="B120" s="665" t="s">
        <v>768</v>
      </c>
      <c r="C120" s="3303" t="s">
        <v>3049</v>
      </c>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704">
        <v>100</v>
      </c>
      <c r="D121" s="671">
        <f>C121-$K41</f>
        <v>100</v>
      </c>
      <c r="E121" s="671">
        <f t="shared" ref="E121:M121" si="29">D121-$K41</f>
        <v>100</v>
      </c>
      <c r="F121" s="671">
        <f t="shared" si="29"/>
        <v>100</v>
      </c>
      <c r="G121" s="671">
        <f t="shared" si="29"/>
        <v>100</v>
      </c>
      <c r="H121" s="671">
        <f t="shared" si="29"/>
        <v>100</v>
      </c>
      <c r="I121" s="671">
        <f t="shared" si="29"/>
        <v>100</v>
      </c>
      <c r="J121" s="671">
        <f t="shared" si="29"/>
        <v>100</v>
      </c>
      <c r="K121" s="671">
        <f t="shared" si="29"/>
        <v>100</v>
      </c>
      <c r="L121" s="671">
        <f t="shared" si="29"/>
        <v>100</v>
      </c>
      <c r="M121" s="672">
        <f t="shared" si="29"/>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747</v>
      </c>
      <c r="C122" s="3302" t="s">
        <v>3045</v>
      </c>
      <c r="D122" s="3302" t="s">
        <v>3046</v>
      </c>
      <c r="E122" s="3302" t="s">
        <v>3047</v>
      </c>
      <c r="F122" s="3303" t="s">
        <v>3048</v>
      </c>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30">C123-$K42</f>
        <v>97</v>
      </c>
      <c r="E123" s="671">
        <f t="shared" si="30"/>
        <v>94</v>
      </c>
      <c r="F123" s="671">
        <f t="shared" si="30"/>
        <v>91</v>
      </c>
      <c r="G123" s="671">
        <f t="shared" si="30"/>
        <v>88</v>
      </c>
      <c r="H123" s="671">
        <f t="shared" si="30"/>
        <v>85</v>
      </c>
      <c r="I123" s="671">
        <f t="shared" si="30"/>
        <v>82</v>
      </c>
      <c r="J123" s="671">
        <f t="shared" si="30"/>
        <v>79</v>
      </c>
      <c r="K123" s="671">
        <f t="shared" si="30"/>
        <v>76</v>
      </c>
      <c r="L123" s="671">
        <f t="shared" si="30"/>
        <v>73</v>
      </c>
      <c r="M123" s="672">
        <f t="shared" si="30"/>
        <v>70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748</v>
      </c>
      <c r="C124" s="700" t="s">
        <v>571</v>
      </c>
      <c r="D124" s="700" t="s">
        <v>572</v>
      </c>
      <c r="E124" s="700" t="s">
        <v>573</v>
      </c>
      <c r="F124" s="700" t="s">
        <v>574</v>
      </c>
      <c r="G124" s="700" t="s">
        <v>575</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3" priority="21" stopIfTrue="1" operator="containsText" text="超过">
      <formula>NOT(ISERROR(SEARCH("超过",F52)))</formula>
    </cfRule>
  </conditionalFormatting>
  <conditionalFormatting sqref="H54">
    <cfRule type="containsText" dxfId="102" priority="19" stopIfTrue="1" operator="containsText" text="超过">
      <formula>NOT(ISERROR(SEARCH("超过",H54)))</formula>
    </cfRule>
  </conditionalFormatting>
  <conditionalFormatting sqref="F54">
    <cfRule type="containsText" dxfId="101" priority="18" stopIfTrue="1" operator="containsText" text="超过">
      <formula>NOT(ISERROR(SEARCH("超过",F54)))</formula>
    </cfRule>
  </conditionalFormatting>
  <conditionalFormatting sqref="F53 H53">
    <cfRule type="containsText" dxfId="100" priority="17" stopIfTrue="1" operator="containsText" text="超过">
      <formula>NOT(ISERROR(SEARCH("超过",F53)))</formula>
    </cfRule>
  </conditionalFormatting>
  <conditionalFormatting sqref="E52">
    <cfRule type="expression" dxfId="99" priority="16" stopIfTrue="1">
      <formula>$F$52="超过30%"</formula>
    </cfRule>
  </conditionalFormatting>
  <conditionalFormatting sqref="E53">
    <cfRule type="expression" dxfId="98" priority="15" stopIfTrue="1">
      <formula>$F$53="超过20%"</formula>
    </cfRule>
  </conditionalFormatting>
  <conditionalFormatting sqref="E54">
    <cfRule type="expression" dxfId="97" priority="14" stopIfTrue="1">
      <formula>$F$54="超过30%"</formula>
    </cfRule>
  </conditionalFormatting>
  <conditionalFormatting sqref="G54">
    <cfRule type="expression" dxfId="96" priority="13" stopIfTrue="1">
      <formula>$H$54="超过30%"</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J52">
    <cfRule type="containsText" dxfId="93" priority="10" stopIfTrue="1" operator="containsText" text="超过">
      <formula>NOT(ISERROR(SEARCH("超过",J52)))</formula>
    </cfRule>
  </conditionalFormatting>
  <conditionalFormatting sqref="J54">
    <cfRule type="containsText" dxfId="92" priority="9" stopIfTrue="1" operator="containsText" text="超过">
      <formula>NOT(ISERROR(SEARCH("超过",J54)))</formula>
    </cfRule>
  </conditionalFormatting>
  <conditionalFormatting sqref="J53">
    <cfRule type="containsText" dxfId="91" priority="8" stopIfTrue="1" operator="containsText" text="超过">
      <formula>NOT(ISERROR(SEARCH("超过",J53)))</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F48">
    <cfRule type="expression" dxfId="87" priority="4">
      <formula>$D$48="简单平均"</formula>
    </cfRule>
  </conditionalFormatting>
  <conditionalFormatting sqref="H48">
    <cfRule type="expression" dxfId="86" priority="3">
      <formula>$D$48="简单平均"</formula>
    </cfRule>
  </conditionalFormatting>
  <conditionalFormatting sqref="J48">
    <cfRule type="expression" dxfId="85" priority="2">
      <formula>$D$48="简单平均"</formula>
    </cfRule>
  </conditionalFormatting>
  <conditionalFormatting sqref="F7:F46 H7:H46 J7:J46">
    <cfRule type="cellIs" dxfId="84" priority="1" operator="notEqual">
      <formula>100</formula>
    </cfRule>
  </conditionalFormatting>
  <dataValidations count="24">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43 E43 G43 I43" xr:uid="{00000000-0002-0000-2300-000002000000}">
      <formula1>内部装修维护情况</formula1>
    </dataValidation>
    <dataValidation type="list" allowBlank="1" showInputMessage="1" showErrorMessage="1" sqref="E34 G34 I34" xr:uid="{00000000-0002-0000-2300-000003000000}">
      <formula1>住宅建筑结构</formula1>
    </dataValidation>
    <dataValidation type="list" allowBlank="1" showInputMessage="1" showErrorMessage="1" sqref="C20 G20 I20 E20" xr:uid="{00000000-0002-0000-2300-000004000000}">
      <formula1>公共配套设施</formula1>
    </dataValidation>
    <dataValidation type="list" allowBlank="1" showInputMessage="1" showErrorMessage="1" sqref="E18 G18 I18 C18" xr:uid="{00000000-0002-0000-2300-000005000000}">
      <formula1>交通便捷度</formula1>
    </dataValidation>
    <dataValidation type="list" allowBlank="1" showInputMessage="1" showErrorMessage="1" sqref="E24 G24 I24 C24" xr:uid="{00000000-0002-0000-2300-000006000000}">
      <formula1>环境</formula1>
    </dataValidation>
    <dataValidation type="list" allowBlank="1" showInputMessage="1" showErrorMessage="1" sqref="C25 E25 G25 I25" xr:uid="{00000000-0002-0000-2300-000007000000}">
      <formula1>商业临街状况</formula1>
    </dataValidation>
    <dataValidation type="list" allowBlank="1" showInputMessage="1" showErrorMessage="1" sqref="C27 E27 G27 I27" xr:uid="{00000000-0002-0000-2300-000008000000}">
      <formula1>商业人流量</formula1>
    </dataValidation>
    <dataValidation type="list" allowBlank="1" showInputMessage="1" showErrorMessage="1" sqref="C28 E28 G28 I28" xr:uid="{00000000-0002-0000-2300-000009000000}">
      <formula1>商业楼层</formula1>
    </dataValidation>
    <dataValidation type="list" allowBlank="1" showInputMessage="1" showErrorMessage="1" sqref="C32 E32 G32 I32" xr:uid="{00000000-0002-0000-2300-00000A000000}">
      <formula1>商业类型</formula1>
    </dataValidation>
    <dataValidation type="list" allowBlank="1" showInputMessage="1" showErrorMessage="1" sqref="C34" xr:uid="{00000000-0002-0000-2300-00000B000000}">
      <formula1>商业建筑结构</formula1>
    </dataValidation>
    <dataValidation type="list" allowBlank="1" showInputMessage="1" showErrorMessage="1" sqref="C35 E35 G35 I35" xr:uid="{00000000-0002-0000-2300-00000C000000}">
      <formula1>商业公共部分装修</formula1>
    </dataValidation>
    <dataValidation type="list" allowBlank="1" showInputMessage="1" showErrorMessage="1" sqref="C37 E37 G37 I37" xr:uid="{00000000-0002-0000-2300-00000D000000}">
      <formula1>商业基础设施水平</formula1>
    </dataValidation>
    <dataValidation type="list" allowBlank="1" showInputMessage="1" showErrorMessage="1" sqref="C41 E41 G41 I41" xr:uid="{00000000-0002-0000-2300-00000E000000}">
      <formula1>商业进深比</formula1>
    </dataValidation>
    <dataValidation type="list" allowBlank="1" showInputMessage="1" showErrorMessage="1" sqref="C42 E42 G42 I42" xr:uid="{00000000-0002-0000-2300-00000F000000}">
      <formula1>商业内部装修</formula1>
    </dataValidation>
    <dataValidation type="list" allowBlank="1" showInputMessage="1" showErrorMessage="1" sqref="E9 G9 I9" xr:uid="{00000000-0002-0000-2300-000010000000}">
      <formula1>商业用途</formula1>
    </dataValidation>
    <dataValidation type="list" allowBlank="1" showInputMessage="1" showErrorMessage="1" sqref="C38 E38 G38 I38" xr:uid="{00000000-0002-0000-2300-000011000000}">
      <formula1>商业业态</formula1>
    </dataValidation>
    <dataValidation type="list" allowBlank="1" showInputMessage="1" showErrorMessage="1" sqref="C39 E39 G39 I39" xr:uid="{00000000-0002-0000-2300-000012000000}">
      <formula1>商业层高</formula1>
    </dataValidation>
    <dataValidation type="list" allowBlank="1" showInputMessage="1" showErrorMessage="1" sqref="C8 E8 G8 I8" xr:uid="{00000000-0002-0000-2300-000013000000}">
      <formula1>商业交易情况</formula1>
    </dataValidation>
    <dataValidation type="list" allowBlank="1" showInputMessage="1" showErrorMessage="1" sqref="C16 E16 G16 I16" xr:uid="{00000000-0002-0000-2300-000014000000}">
      <formula1>商业繁华度</formula1>
    </dataValidation>
    <dataValidation type="list" allowBlank="1" showInputMessage="1" showErrorMessage="1" sqref="C22 E22 G22 I22" xr:uid="{00000000-0002-0000-2300-000015000000}">
      <formula1>基础设施水平</formula1>
    </dataValidation>
    <dataValidation type="list" allowBlank="1" showInputMessage="1" showErrorMessage="1" sqref="F1" xr:uid="{00000000-0002-0000-2300-000016000000}">
      <formula1>"售价,租金"</formula1>
    </dataValidation>
    <dataValidation type="list" allowBlank="1" showInputMessage="1" showErrorMessage="1" sqref="D48" xr:uid="{00000000-0002-0000-23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H1:L32"/>
  <sheetViews>
    <sheetView topLeftCell="D40" workbookViewId="0">
      <selection activeCell="D60" sqref="D60"/>
    </sheetView>
  </sheetViews>
  <sheetFormatPr defaultRowHeight="13.5"/>
  <cols>
    <col min="1" max="16384" width="9" style="3299"/>
  </cols>
  <sheetData>
    <row r="1" spans="8:10">
      <c r="H1" s="3299" t="s">
        <v>3032</v>
      </c>
      <c r="J1" s="3299" t="s">
        <v>3033</v>
      </c>
    </row>
    <row r="16" spans="8:10">
      <c r="H16" s="3299" t="s">
        <v>3034</v>
      </c>
      <c r="J16" s="3299" t="s">
        <v>3035</v>
      </c>
    </row>
    <row r="30" spans="8:12">
      <c r="L30" s="3300">
        <f>2.85/0.5</f>
        <v>5.7</v>
      </c>
    </row>
    <row r="32" spans="8:12">
      <c r="H32" s="3299" t="s">
        <v>3036</v>
      </c>
      <c r="K32" s="3299" t="s">
        <v>3037</v>
      </c>
    </row>
  </sheetData>
  <phoneticPr fontId="228"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AE490"/>
  <sheetViews>
    <sheetView view="pageBreakPreview" zoomScale="80" zoomScaleNormal="80" zoomScaleSheetLayoutView="80" workbookViewId="0">
      <selection activeCell="F25" sqref="F25"/>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458</v>
      </c>
      <c r="B1" s="2526" t="s">
        <v>1665</v>
      </c>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31" s="1924" customFormat="1" ht="18" customHeight="1">
      <c r="A2" s="1983" t="s">
        <v>459</v>
      </c>
      <c r="B2" s="1987">
        <f ca="1">C36</f>
        <v>74392</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1670</v>
      </c>
      <c r="B3" s="1989">
        <f ca="1">ROUND(B2*10000/IF(B1="",'数据-汇总表'!E3,INDIRECT("'数据-取费表'!K"&amp;$K$1)),0)</f>
        <v>10450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460</v>
      </c>
      <c r="B4" s="421">
        <f ca="1">ROUND(B2*10000/IF(B1="",'数据-汇总表'!D3,INDIRECT("'数据-取费表'!R"&amp;$K$1)),0)</f>
        <v>45980</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3065</v>
      </c>
      <c r="C5" s="425" t="s">
        <v>461</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1828</v>
      </c>
      <c r="B6" s="2546"/>
      <c r="C6" s="2547">
        <f ca="1">SUM(C10:K10)</f>
        <v>159498</v>
      </c>
      <c r="D6" s="2546"/>
      <c r="E6" s="2546"/>
      <c r="F6" s="2546"/>
      <c r="G6" s="2546"/>
      <c r="H6" s="2546"/>
      <c r="I6" s="2546"/>
      <c r="J6" s="2546"/>
      <c r="K6" s="2548"/>
      <c r="L6" s="3193"/>
      <c r="M6" s="3193"/>
      <c r="N6" s="3193"/>
      <c r="O6" s="3193"/>
      <c r="P6" s="3193"/>
      <c r="Q6" s="3193"/>
      <c r="R6" s="3193"/>
      <c r="S6" s="3193"/>
      <c r="T6" s="3193"/>
      <c r="U6" s="3193"/>
      <c r="V6" s="3193"/>
      <c r="W6" s="3193"/>
      <c r="X6" s="3193"/>
      <c r="Y6" s="3193"/>
      <c r="Z6" s="3193"/>
    </row>
    <row r="7" spans="1:31" s="1995" customFormat="1" ht="15">
      <c r="A7" s="2549" t="s">
        <v>462</v>
      </c>
      <c r="B7" s="2550" t="s">
        <v>463</v>
      </c>
      <c r="C7" s="430" t="s">
        <v>1665</v>
      </c>
      <c r="D7" s="430"/>
      <c r="E7" s="430"/>
      <c r="F7" s="430"/>
      <c r="G7" s="430"/>
      <c r="H7" s="430"/>
      <c r="I7" s="430"/>
      <c r="J7" s="430"/>
      <c r="K7" s="431"/>
      <c r="AA7" s="1994"/>
      <c r="AB7" s="1994"/>
      <c r="AC7" s="1994"/>
      <c r="AD7" s="1994"/>
      <c r="AE7" s="1994"/>
    </row>
    <row r="8" spans="1:31" s="1997" customFormat="1" ht="13.5" customHeight="1">
      <c r="A8" s="793" t="s">
        <v>1831</v>
      </c>
      <c r="B8" s="259" t="s">
        <v>464</v>
      </c>
      <c r="C8" s="2551"/>
      <c r="D8" s="2551"/>
      <c r="E8" s="2551"/>
      <c r="F8" s="2551"/>
      <c r="G8" s="2551"/>
      <c r="H8" s="2551"/>
      <c r="I8" s="2551"/>
      <c r="J8" s="2551"/>
      <c r="K8" s="2552"/>
      <c r="AA8" s="1996"/>
      <c r="AB8" s="1996"/>
      <c r="AC8" s="1996"/>
      <c r="AD8" s="1996"/>
      <c r="AE8" s="1996"/>
    </row>
    <row r="9" spans="1:31" s="1997" customFormat="1" ht="13.5" customHeight="1">
      <c r="A9" s="793" t="s">
        <v>1832</v>
      </c>
      <c r="B9" s="259" t="s">
        <v>465</v>
      </c>
      <c r="C9" s="435">
        <f>SUMIF('数据-汇总表'!$C19:$C33,'剩余法-办'!C7,'数据-汇总表'!$E19:$E33)</f>
        <v>71189.150999999998</v>
      </c>
      <c r="D9" s="435">
        <f>SUMIF('数据-汇总表'!$C19:$C33,'剩余法-办'!D7,'数据-汇总表'!$E19:$E33)</f>
        <v>0</v>
      </c>
      <c r="E9" s="435">
        <f>SUMIF('数据-汇总表'!$C19:$C33,'剩余法-办'!E7,'数据-汇总表'!$E19:$E33)</f>
        <v>0</v>
      </c>
      <c r="F9" s="435">
        <f>SUMIF('数据-汇总表'!$C19:$C33,'剩余法-办'!F7,'数据-汇总表'!$E19:$E33)</f>
        <v>0</v>
      </c>
      <c r="G9" s="435">
        <f>SUMIF('数据-汇总表'!$C19:$C33,'剩余法-办'!G7,'数据-汇总表'!$E19:$E33)</f>
        <v>0</v>
      </c>
      <c r="H9" s="435">
        <f>SUMIF('数据-汇总表'!$C19:$C33,'剩余法-办'!H7,'数据-汇总表'!$E19:$E33)</f>
        <v>0</v>
      </c>
      <c r="I9" s="435">
        <f>SUMIF('数据-汇总表'!$C19:$C33,'剩余法-办'!I7,'数据-汇总表'!$E19:$E33)</f>
        <v>0</v>
      </c>
      <c r="J9" s="435">
        <f>SUMIF('数据-汇总表'!$C19:$C33,'剩余法-办'!J7,'数据-汇总表'!$E19:$E33)</f>
        <v>0</v>
      </c>
      <c r="K9" s="436">
        <f>SUMIF('数据-汇总表'!$C19:$C33,'剩余法-办'!K7,'数据-汇总表'!$E19:$E33)</f>
        <v>0</v>
      </c>
      <c r="AA9" s="1996"/>
      <c r="AB9" s="1996"/>
      <c r="AC9" s="1996"/>
      <c r="AD9" s="1996"/>
      <c r="AE9" s="1996"/>
    </row>
    <row r="10" spans="1:31" s="1997" customFormat="1" ht="13.5" customHeight="1" thickBot="1">
      <c r="A10" s="2553" t="s">
        <v>1833</v>
      </c>
      <c r="B10" s="2539" t="s">
        <v>466</v>
      </c>
      <c r="C10" s="2741">
        <f ca="1">'不动产收益法-办'!B2</f>
        <v>159498</v>
      </c>
      <c r="D10" s="2741"/>
      <c r="E10" s="2741"/>
      <c r="F10" s="2554"/>
      <c r="G10" s="2554"/>
      <c r="H10" s="2554"/>
      <c r="I10" s="2554"/>
      <c r="J10" s="2554"/>
      <c r="K10" s="2555"/>
      <c r="AA10" s="1996"/>
      <c r="AB10" s="1996"/>
      <c r="AC10" s="1996"/>
      <c r="AD10" s="1996"/>
      <c r="AE10" s="1996"/>
    </row>
    <row r="11" spans="1:31" s="1993" customFormat="1" ht="16.5" customHeight="1">
      <c r="A11" s="2556" t="s">
        <v>1829</v>
      </c>
      <c r="B11" s="2546"/>
      <c r="C11" s="2546"/>
      <c r="D11" s="2546"/>
      <c r="E11" s="2546"/>
      <c r="F11" s="2546"/>
      <c r="G11" s="2546"/>
      <c r="H11" s="2546"/>
      <c r="I11" s="2546"/>
      <c r="J11" s="2546"/>
      <c r="K11" s="2548"/>
      <c r="L11" s="3193"/>
      <c r="M11" s="3193"/>
      <c r="N11" s="3193"/>
      <c r="O11" s="3193"/>
      <c r="P11" s="3193"/>
      <c r="Q11" s="3193"/>
      <c r="R11" s="3193"/>
      <c r="S11" s="3193"/>
      <c r="T11" s="3193"/>
      <c r="U11" s="3193"/>
      <c r="V11" s="3193"/>
      <c r="W11" s="3193"/>
      <c r="X11" s="3193"/>
      <c r="Y11" s="3193"/>
      <c r="Z11" s="3193"/>
    </row>
    <row r="12" spans="1:31" s="1967" customFormat="1" ht="13.5" customHeight="1">
      <c r="A12" s="2557" t="s">
        <v>462</v>
      </c>
      <c r="B12" s="2529" t="s">
        <v>463</v>
      </c>
      <c r="C12" s="2558" t="s">
        <v>467</v>
      </c>
      <c r="D12" s="3283" t="s">
        <v>468</v>
      </c>
      <c r="E12" s="3283" t="s">
        <v>469</v>
      </c>
      <c r="F12" s="3283" t="s">
        <v>470</v>
      </c>
      <c r="G12" s="2529"/>
      <c r="H12" s="2530"/>
      <c r="I12" s="2530"/>
      <c r="J12" s="2530"/>
      <c r="K12" s="2531"/>
      <c r="L12" s="3194"/>
      <c r="M12" s="3194"/>
      <c r="N12" s="3194"/>
      <c r="O12" s="3194"/>
      <c r="P12" s="3194"/>
      <c r="Q12" s="3194"/>
      <c r="R12" s="3194"/>
      <c r="S12" s="3194"/>
      <c r="T12" s="3194"/>
      <c r="U12" s="3194"/>
      <c r="V12" s="3194"/>
      <c r="W12" s="3194"/>
      <c r="X12" s="3194"/>
      <c r="Y12" s="3194"/>
      <c r="Z12" s="3194"/>
    </row>
    <row r="13" spans="1:31" s="1998" customFormat="1" ht="13.5" customHeight="1">
      <c r="A13" s="2559" t="s">
        <v>1834</v>
      </c>
      <c r="B13" s="2560" t="s">
        <v>471</v>
      </c>
      <c r="C13" s="444">
        <f ca="1">IF(B1="",'数据-取费表'!P16,INDIRECT("'数据-取费表'!p"&amp;$K$1)+INDIRECT("'数据-取费表'!t"&amp;$K$1))</f>
        <v>29899</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1835</v>
      </c>
      <c r="B14" s="2560" t="s">
        <v>472</v>
      </c>
      <c r="C14" s="53">
        <f ca="1">ROUND(C13*F14,0)</f>
        <v>897</v>
      </c>
      <c r="D14" s="2561"/>
      <c r="E14" s="2562"/>
      <c r="F14" s="2564">
        <f>'数据-取费表'!B33</f>
        <v>0.03</v>
      </c>
      <c r="G14" s="2529" t="s">
        <v>473</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1836</v>
      </c>
      <c r="B15" s="2560" t="s">
        <v>474</v>
      </c>
      <c r="C15" s="53">
        <f ca="1">ROUND(IF(B1="",SUMIF('数据-取费表'!C:C,"住宅",'数据-取费表'!P:P)*F15,IF(INDIRECT("'数据-取费表'!c"&amp;$K$1)="住宅",INDIRECT("'数据-取费表'!P"&amp;$K$1)*F15,0)),0)</f>
        <v>0</v>
      </c>
      <c r="D15" s="2561"/>
      <c r="E15" s="2562"/>
      <c r="F15" s="2564">
        <f>'数据-取费表'!B34</f>
        <v>0</v>
      </c>
      <c r="G15" s="2529" t="s">
        <v>475</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1837</v>
      </c>
      <c r="B16" s="2560" t="s">
        <v>476</v>
      </c>
      <c r="C16" s="53">
        <f ca="1">ROUND(D16*E16/10000,0)</f>
        <v>2136</v>
      </c>
      <c r="D16" s="2561">
        <f ca="1">IF(B1="",'数据-汇总表'!E3,INDIRECT("'数据-取费表'!K"&amp;$K$1)+INDIRECT("'数据-取费表'!S"&amp;$K$1))</f>
        <v>71189.150999999998</v>
      </c>
      <c r="E16" s="53">
        <f>'数据-取费表'!B35</f>
        <v>300</v>
      </c>
      <c r="F16" s="2564"/>
      <c r="G16" s="2529"/>
      <c r="H16" s="2530"/>
      <c r="I16" s="2530"/>
      <c r="J16" s="2530"/>
      <c r="K16" s="2531"/>
      <c r="AA16" s="1998"/>
      <c r="AB16" s="1998"/>
      <c r="AC16" s="1998"/>
      <c r="AD16" s="1998"/>
      <c r="AE16" s="1998"/>
    </row>
    <row r="17" spans="1:26" s="1998" customFormat="1" ht="13.5" customHeight="1">
      <c r="A17" s="2559" t="s">
        <v>1838</v>
      </c>
      <c r="B17" s="2560" t="s">
        <v>477</v>
      </c>
      <c r="C17" s="2565">
        <f ca="1">ROUND(C13*F17,0)</f>
        <v>448</v>
      </c>
      <c r="D17" s="469"/>
      <c r="E17" s="2565"/>
      <c r="F17" s="2566">
        <f>'数据-取费表'!B36</f>
        <v>1.4999999999999999E-2</v>
      </c>
      <c r="G17" s="259" t="s">
        <v>478</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1839</v>
      </c>
      <c r="B18" s="2568" t="s">
        <v>479</v>
      </c>
      <c r="C18" s="2569">
        <f ca="1">SUM(C13:C17)</f>
        <v>33380</v>
      </c>
      <c r="D18" s="2570"/>
      <c r="E18" s="462"/>
      <c r="F18" s="462"/>
      <c r="G18" s="2533" t="s">
        <v>2409</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1840</v>
      </c>
      <c r="B19" s="2568" t="s">
        <v>480</v>
      </c>
      <c r="C19" s="3283">
        <f ca="1">ROUND(D19*E19/10000,0)</f>
        <v>142</v>
      </c>
      <c r="D19" s="2571">
        <f ca="1">D16</f>
        <v>71189.150999999998</v>
      </c>
      <c r="E19" s="3283">
        <f>'数据-取费表'!B32</f>
        <v>20</v>
      </c>
      <c r="F19" s="462"/>
      <c r="G19" s="2529" t="s">
        <v>481</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1841</v>
      </c>
      <c r="B20" s="2568" t="s">
        <v>482</v>
      </c>
      <c r="C20" s="3283">
        <f ca="1">C21+C22-IF(B1="",'数据-取费表'!B29,IF(G20="已全部缴纳",C21+C22,H20))</f>
        <v>1424</v>
      </c>
      <c r="D20" s="2571"/>
      <c r="E20" s="3283"/>
      <c r="F20" s="2572"/>
      <c r="G20" s="2775" t="s">
        <v>3090</v>
      </c>
      <c r="H20" s="2527"/>
      <c r="I20" s="2528" t="s">
        <v>2626</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1842</v>
      </c>
      <c r="B21" s="2560" t="s">
        <v>483</v>
      </c>
      <c r="C21" s="53">
        <f ca="1">ROUND(D21*E21/10000,0)</f>
        <v>0</v>
      </c>
      <c r="D21" s="2561">
        <f ca="1">IF(B1="",'数据-汇总表'!E5,IF(INDIRECT("'数据-取费表'!c"&amp;$K$1)="住宅",INDIRECT("'数据-取费表'!k"&amp;$K$1),0))</f>
        <v>0</v>
      </c>
      <c r="E21" s="53">
        <f>'数据-取费表'!B27</f>
        <v>170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1843</v>
      </c>
      <c r="B22" s="2560" t="s">
        <v>484</v>
      </c>
      <c r="C22" s="53">
        <f ca="1">ROUND(D22*E22/10000,0)</f>
        <v>1424</v>
      </c>
      <c r="D22" s="2561">
        <f ca="1">IF(B1="",'数据-汇总表'!E6,IF(INDIRECT("'数据-取费表'!c"&amp;$K$1)="住宅",INDIRECT("'数据-取费表'!s"&amp;$K$1),INDIRECT("'数据-取费表'!k"&amp;$K$1)+INDIRECT("'数据-取费表'!s"&amp;$K$1)))</f>
        <v>71189.150999999998</v>
      </c>
      <c r="E22" s="53">
        <f>'数据-取费表'!B28</f>
        <v>200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1844</v>
      </c>
      <c r="B23" s="2747" t="s">
        <v>2808</v>
      </c>
      <c r="C23" s="2569">
        <f ca="1">ROUND((C18+C19+C20)*F23,0)</f>
        <v>349</v>
      </c>
      <c r="D23" s="462"/>
      <c r="E23" s="462"/>
      <c r="F23" s="2573">
        <f>'数据-取费表'!B37</f>
        <v>0.01</v>
      </c>
      <c r="G23" s="2529" t="s">
        <v>2410</v>
      </c>
      <c r="H23" s="2530"/>
      <c r="I23" s="2530"/>
      <c r="J23" s="2530"/>
      <c r="K23" s="2531"/>
      <c r="L23" s="3195"/>
      <c r="M23" s="3195"/>
      <c r="N23" s="3195"/>
      <c r="O23" s="1999"/>
      <c r="P23" s="1999"/>
      <c r="Q23" s="1999"/>
      <c r="R23" s="1999"/>
      <c r="S23" s="1999"/>
      <c r="T23" s="1999"/>
      <c r="U23" s="1999"/>
      <c r="V23" s="1999"/>
      <c r="W23" s="1999"/>
      <c r="X23" s="1999"/>
      <c r="Y23" s="1999"/>
      <c r="Z23" s="1999"/>
    </row>
    <row r="24" spans="1:26" s="1998" customFormat="1" ht="13.5" customHeight="1">
      <c r="A24" s="2567" t="s">
        <v>1845</v>
      </c>
      <c r="B24" s="2747" t="s">
        <v>2811</v>
      </c>
      <c r="C24" s="2569">
        <f ca="1">ROUND(C6*F24,0)</f>
        <v>1595</v>
      </c>
      <c r="D24" s="469"/>
      <c r="E24" s="467"/>
      <c r="F24" s="3376">
        <v>0.01</v>
      </c>
      <c r="G24" s="2538" t="s">
        <v>491</v>
      </c>
      <c r="H24" s="2532"/>
      <c r="I24" s="2532"/>
      <c r="J24" s="2532"/>
      <c r="K24" s="277"/>
      <c r="L24" s="3195"/>
      <c r="M24" s="3195"/>
      <c r="N24" s="3195"/>
      <c r="O24" s="1999"/>
      <c r="P24" s="1999"/>
      <c r="Q24" s="1999"/>
      <c r="R24" s="1999"/>
      <c r="S24" s="1999"/>
      <c r="T24" s="1999"/>
      <c r="U24" s="1999"/>
      <c r="V24" s="1999"/>
      <c r="W24" s="1999"/>
      <c r="X24" s="1999"/>
      <c r="Y24" s="1999"/>
      <c r="Z24" s="1999"/>
    </row>
    <row r="25" spans="1:26" s="2001" customFormat="1" ht="13.5" customHeight="1">
      <c r="A25" s="2567" t="s">
        <v>1846</v>
      </c>
      <c r="B25" s="2747" t="s">
        <v>2809</v>
      </c>
      <c r="C25" s="3374">
        <f>F25</f>
        <v>3.0499999999999999E-2</v>
      </c>
      <c r="D25" s="456" t="s">
        <v>487</v>
      </c>
      <c r="E25" s="463"/>
      <c r="F25" s="2573">
        <f>IF(项目基本情况!B8="出让",0,'数据-取费表'!B48+'数据-取费表'!B49)</f>
        <v>3.0499999999999999E-2</v>
      </c>
      <c r="G25" s="2537" t="s">
        <v>2272</v>
      </c>
      <c r="H25" s="2530"/>
      <c r="I25" s="2530"/>
      <c r="J25" s="2530"/>
      <c r="K25" s="2531"/>
      <c r="L25" s="3196"/>
      <c r="M25" s="3196"/>
      <c r="N25" s="3196"/>
      <c r="O25" s="3196"/>
      <c r="P25" s="3196"/>
      <c r="Q25" s="3196"/>
      <c r="R25" s="3196"/>
      <c r="S25" s="3196"/>
      <c r="T25" s="3196"/>
      <c r="U25" s="3196"/>
      <c r="V25" s="3196"/>
      <c r="W25" s="3196"/>
      <c r="X25" s="3196"/>
      <c r="Y25" s="3196"/>
      <c r="Z25" s="3196"/>
    </row>
    <row r="26" spans="1:26" s="2000" customFormat="1" ht="13.5" customHeight="1">
      <c r="A26" s="2567" t="s">
        <v>1847</v>
      </c>
      <c r="B26" s="2748" t="s">
        <v>2810</v>
      </c>
      <c r="C26" s="2574">
        <f ca="1">C28</f>
        <v>1752</v>
      </c>
      <c r="D26" s="461">
        <f ca="1">C27</f>
        <v>0.1002</v>
      </c>
      <c r="E26" s="463" t="s">
        <v>487</v>
      </c>
      <c r="F26" s="465">
        <f ca="1">'数据-取费表'!B40</f>
        <v>4.7500000000000001E-2</v>
      </c>
      <c r="G26" s="2424" t="str">
        <f>IF('数据-取费表'!B22&lt;=1,"单利计息。","复利计息。")&amp;"后续开发成本、管理费用及销售费用产生的利息。"</f>
        <v>复利计息。后续开发成本、管理费用及销售费用产生的利息。</v>
      </c>
      <c r="H26" s="2534"/>
      <c r="I26" s="2534"/>
      <c r="J26" s="2534"/>
      <c r="K26" s="2535"/>
      <c r="L26" s="3195"/>
      <c r="M26" s="3195"/>
      <c r="N26" s="3195"/>
      <c r="O26" s="3195"/>
      <c r="P26" s="3195"/>
      <c r="Q26" s="3195"/>
      <c r="R26" s="3195"/>
      <c r="S26" s="3195"/>
      <c r="T26" s="3195"/>
      <c r="U26" s="3195"/>
      <c r="V26" s="3195"/>
      <c r="W26" s="3195"/>
      <c r="X26" s="3195"/>
      <c r="Y26" s="3195"/>
      <c r="Z26" s="3195"/>
    </row>
    <row r="27" spans="1:26" s="2002" customFormat="1" ht="13.5" customHeight="1">
      <c r="A27" s="793" t="s">
        <v>1842</v>
      </c>
      <c r="B27" s="2575" t="s">
        <v>488</v>
      </c>
      <c r="C27" s="2576">
        <f ca="1">ROUND(IF('数据-取费表'!B22&lt;=1,(1+C25)*F26*'数据-取费表'!B24,(1+C25)*(POWER((1+F26),'数据-取费表'!B24)-1)),4)</f>
        <v>0.1002</v>
      </c>
      <c r="D27" s="466"/>
      <c r="E27" s="467"/>
      <c r="F27" s="468"/>
      <c r="G27" s="2424" t="str">
        <f>IF('数据-取费表'!B22&lt;=1,"（1+取得税费率/(1+5%)）×年利率×建设期","（1+取得税费率）/(1+5%)×((1+年利率)^建设期-1)")</f>
        <v>（1+取得税费率）/(1+5%)×((1+年利率)^建设期-1)</v>
      </c>
      <c r="H27" s="2532"/>
      <c r="I27" s="2532"/>
      <c r="J27" s="2532"/>
      <c r="K27" s="277"/>
      <c r="L27" s="3197"/>
      <c r="M27" s="3197"/>
      <c r="N27" s="3197"/>
      <c r="O27" s="3197"/>
      <c r="P27" s="3197"/>
      <c r="Q27" s="3197"/>
      <c r="R27" s="3197"/>
      <c r="S27" s="3197"/>
      <c r="T27" s="3197"/>
      <c r="U27" s="3197"/>
      <c r="V27" s="3197"/>
      <c r="W27" s="3197"/>
      <c r="X27" s="3197"/>
      <c r="Y27" s="3197"/>
      <c r="Z27" s="3197"/>
    </row>
    <row r="28" spans="1:26" s="2002" customFormat="1" ht="13.5" customHeight="1">
      <c r="A28" s="793" t="s">
        <v>1843</v>
      </c>
      <c r="B28" s="2575" t="s">
        <v>2812</v>
      </c>
      <c r="C28" s="2577">
        <f ca="1">ROUND(IF('数据-取费表'!B22&lt;=1,(C18+C19+C20+C23+C24)*F26*'数据-取费表'!B24/2,(C18+C19+C20+C23+C24)*(POWER((1+F26),'数据-取费表'!B24/2)-1)),0)</f>
        <v>1752</v>
      </c>
      <c r="D28" s="466"/>
      <c r="E28" s="467"/>
      <c r="F28" s="468"/>
      <c r="G28" s="2424" t="str">
        <f>IF('数据-取费表'!B22&lt;=1,"（1）-（4）项×年利率×建设期÷2","（1）-（4）项×((1+年利率)^(建设期÷2)-1)")</f>
        <v>（1）-（4）项×((1+年利率)^(建设期÷2)-1)</v>
      </c>
      <c r="H28" s="2532"/>
      <c r="I28" s="2532"/>
      <c r="J28" s="2532"/>
      <c r="K28" s="277"/>
      <c r="L28" s="3197"/>
      <c r="M28" s="3197"/>
      <c r="N28" s="3197"/>
      <c r="O28" s="3197"/>
      <c r="P28" s="3197"/>
      <c r="Q28" s="3197"/>
      <c r="R28" s="3197"/>
      <c r="S28" s="3197"/>
      <c r="T28" s="3197"/>
      <c r="U28" s="3197"/>
      <c r="V28" s="3197"/>
      <c r="W28" s="3197"/>
      <c r="X28" s="3197"/>
      <c r="Y28" s="3197"/>
      <c r="Z28" s="3197"/>
    </row>
    <row r="29" spans="1:26" s="2002" customFormat="1" ht="13.5" customHeight="1">
      <c r="A29" s="2578" t="s">
        <v>1848</v>
      </c>
      <c r="B29" s="2568" t="s">
        <v>489</v>
      </c>
      <c r="C29" s="2569">
        <f ca="1">ROUND(C6*F29/(1+'数据-取费表'!C42),0)</f>
        <v>8355</v>
      </c>
      <c r="D29" s="462"/>
      <c r="E29" s="462"/>
      <c r="F29" s="2749">
        <f>'数据-取费表'!B41</f>
        <v>5.5000000000000007E-2</v>
      </c>
      <c r="G29" s="2538" t="s">
        <v>490</v>
      </c>
      <c r="H29" s="2530"/>
      <c r="I29" s="2530"/>
      <c r="J29" s="2530"/>
      <c r="K29" s="2531"/>
      <c r="L29" s="3197"/>
      <c r="M29" s="3197"/>
      <c r="N29" s="3197"/>
      <c r="O29" s="3197"/>
      <c r="P29" s="3197"/>
      <c r="Q29" s="3197"/>
      <c r="R29" s="3197"/>
      <c r="S29" s="3197"/>
      <c r="T29" s="3197"/>
      <c r="U29" s="3197"/>
      <c r="V29" s="3197"/>
      <c r="W29" s="3197"/>
      <c r="X29" s="3197"/>
      <c r="Y29" s="3197"/>
      <c r="Z29" s="3197"/>
    </row>
    <row r="30" spans="1:26" s="2003" customFormat="1" ht="13.5" customHeight="1">
      <c r="A30" s="1563" t="s">
        <v>1849</v>
      </c>
      <c r="B30" s="2579" t="s">
        <v>492</v>
      </c>
      <c r="C30" s="2574">
        <f ca="1">C31</f>
        <v>46997</v>
      </c>
      <c r="D30" s="471">
        <f ca="1">C32</f>
        <v>0.13070000000000001</v>
      </c>
      <c r="E30" s="463" t="s">
        <v>487</v>
      </c>
      <c r="F30" s="465"/>
      <c r="G30" s="2537" t="s">
        <v>2926</v>
      </c>
      <c r="H30" s="2530"/>
      <c r="I30" s="2530"/>
      <c r="J30" s="2530"/>
      <c r="K30" s="2531"/>
      <c r="L30" s="3198"/>
      <c r="M30" s="3198"/>
      <c r="N30" s="3198"/>
      <c r="O30" s="3198"/>
      <c r="P30" s="3198"/>
      <c r="Q30" s="3198"/>
      <c r="R30" s="3198"/>
      <c r="S30" s="3198"/>
      <c r="T30" s="3198"/>
      <c r="U30" s="3198"/>
      <c r="V30" s="3198"/>
      <c r="W30" s="3198"/>
      <c r="X30" s="3198"/>
      <c r="Y30" s="3198"/>
      <c r="Z30" s="3198"/>
    </row>
    <row r="31" spans="1:26" s="2002" customFormat="1" ht="13.5" customHeight="1">
      <c r="A31" s="793" t="s">
        <v>1842</v>
      </c>
      <c r="B31" s="2575"/>
      <c r="C31" s="444">
        <f ca="1">C18+C19+C20+C23+C24+C26+C29</f>
        <v>46997</v>
      </c>
      <c r="D31" s="466"/>
      <c r="E31" s="467"/>
      <c r="F31" s="468"/>
      <c r="G31" s="259"/>
      <c r="H31" s="2532"/>
      <c r="I31" s="2532"/>
      <c r="J31" s="2532"/>
      <c r="K31" s="277"/>
      <c r="L31" s="3197"/>
      <c r="M31" s="3197"/>
      <c r="N31" s="3197"/>
      <c r="O31" s="3197"/>
      <c r="P31" s="3197"/>
      <c r="Q31" s="3197"/>
      <c r="R31" s="3197"/>
      <c r="S31" s="3197"/>
      <c r="T31" s="3197"/>
      <c r="U31" s="3197"/>
      <c r="V31" s="3197"/>
      <c r="W31" s="3197"/>
      <c r="X31" s="3197"/>
      <c r="Y31" s="3197"/>
      <c r="Z31" s="3197"/>
    </row>
    <row r="32" spans="1:26" s="2002" customFormat="1" ht="13.5" customHeight="1">
      <c r="A32" s="793" t="s">
        <v>1843</v>
      </c>
      <c r="B32" s="2575"/>
      <c r="C32" s="53">
        <f ca="1">ROUND(C25+D26,4)</f>
        <v>0.13070000000000001</v>
      </c>
      <c r="D32" s="466"/>
      <c r="E32" s="467"/>
      <c r="F32" s="468"/>
      <c r="G32" s="259"/>
      <c r="H32" s="2532"/>
      <c r="I32" s="2532"/>
      <c r="J32" s="2532"/>
      <c r="K32" s="277"/>
      <c r="L32" s="3197"/>
      <c r="M32" s="3197"/>
      <c r="N32" s="3197"/>
      <c r="O32" s="3197"/>
      <c r="P32" s="3197"/>
      <c r="Q32" s="3197"/>
      <c r="R32" s="3197"/>
      <c r="S32" s="3197"/>
      <c r="T32" s="3197"/>
      <c r="U32" s="3197"/>
      <c r="V32" s="3197"/>
      <c r="W32" s="3197"/>
      <c r="X32" s="3197"/>
      <c r="Y32" s="3197"/>
      <c r="Z32" s="3197"/>
    </row>
    <row r="33" spans="1:26" s="2004" customFormat="1" ht="13.5" customHeight="1">
      <c r="A33" s="2746" t="s">
        <v>2807</v>
      </c>
      <c r="B33" s="2744" t="s">
        <v>2805</v>
      </c>
      <c r="C33" s="472">
        <f ca="1">C35</f>
        <v>9223</v>
      </c>
      <c r="D33" s="461">
        <f ca="1">C34</f>
        <v>0.2576</v>
      </c>
      <c r="E33" s="463" t="s">
        <v>487</v>
      </c>
      <c r="F33" s="473">
        <f ca="1">IF(B1="",'数据-取费表'!Q16,INDIRECT("'数据-取费表'!q"&amp;$K$1))</f>
        <v>0.25</v>
      </c>
      <c r="G33" s="2533"/>
      <c r="H33" s="2534"/>
      <c r="I33" s="2534"/>
      <c r="J33" s="2534"/>
      <c r="K33" s="2535"/>
      <c r="L33" s="3199"/>
      <c r="M33" s="3199"/>
      <c r="N33" s="3199"/>
      <c r="O33" s="3199"/>
      <c r="P33" s="3199"/>
      <c r="Q33" s="3199"/>
      <c r="R33" s="3199"/>
      <c r="S33" s="3199"/>
      <c r="T33" s="3199"/>
      <c r="U33" s="3199"/>
      <c r="V33" s="3199"/>
      <c r="W33" s="3199"/>
      <c r="X33" s="3199"/>
      <c r="Y33" s="3199"/>
      <c r="Z33" s="3199"/>
    </row>
    <row r="34" spans="1:26" s="2005" customFormat="1" ht="13.5" customHeight="1">
      <c r="A34" s="369" t="s">
        <v>1842</v>
      </c>
      <c r="B34" s="2580" t="s">
        <v>493</v>
      </c>
      <c r="C34" s="466">
        <f ca="1">ROUND((1+C25)*F33,4)</f>
        <v>0.2576</v>
      </c>
      <c r="D34" s="466"/>
      <c r="E34" s="467"/>
      <c r="F34" s="474"/>
      <c r="G34" s="259" t="s">
        <v>2273</v>
      </c>
      <c r="H34" s="2532"/>
      <c r="I34" s="2532"/>
      <c r="J34" s="2532"/>
      <c r="K34" s="277"/>
      <c r="L34" s="3200"/>
      <c r="M34" s="3200"/>
      <c r="N34" s="3200"/>
      <c r="O34" s="3200"/>
      <c r="P34" s="3200"/>
      <c r="Q34" s="3200"/>
      <c r="R34" s="3200"/>
      <c r="S34" s="3200"/>
      <c r="T34" s="3200"/>
      <c r="U34" s="3200"/>
      <c r="V34" s="3200"/>
      <c r="W34" s="3200"/>
      <c r="X34" s="3200"/>
      <c r="Y34" s="3200"/>
      <c r="Z34" s="3200"/>
    </row>
    <row r="35" spans="1:26" s="2005" customFormat="1" ht="13.5" customHeight="1" thickBot="1">
      <c r="A35" s="1564" t="s">
        <v>1843</v>
      </c>
      <c r="B35" s="2745" t="s">
        <v>2813</v>
      </c>
      <c r="C35" s="1556">
        <f ca="1">ROUND((C18+C19+C20+C23+C24)*F33,0)</f>
        <v>9223</v>
      </c>
      <c r="D35" s="1557"/>
      <c r="E35" s="2581"/>
      <c r="F35" s="1558"/>
      <c r="G35" s="2539"/>
      <c r="H35" s="2540"/>
      <c r="I35" s="2540"/>
      <c r="J35" s="2540"/>
      <c r="K35" s="2541"/>
      <c r="L35" s="3200"/>
      <c r="M35" s="3200"/>
      <c r="N35" s="3200"/>
      <c r="O35" s="3200"/>
      <c r="P35" s="3200"/>
      <c r="Q35" s="3200"/>
      <c r="R35" s="3200"/>
      <c r="S35" s="3200"/>
      <c r="T35" s="3200"/>
      <c r="U35" s="3200"/>
      <c r="V35" s="3200"/>
      <c r="W35" s="3200"/>
      <c r="X35" s="3200"/>
      <c r="Y35" s="3200"/>
      <c r="Z35" s="3200"/>
    </row>
    <row r="36" spans="1:26" s="1967" customFormat="1" ht="13.5" customHeight="1" thickBot="1">
      <c r="A36" s="282" t="s">
        <v>1830</v>
      </c>
      <c r="B36" s="2543"/>
      <c r="C36" s="2582">
        <f ca="1">ROUND((C6-C30-C33)/(1+D30+D33),0)</f>
        <v>74392</v>
      </c>
      <c r="D36" s="2543"/>
      <c r="E36" s="2543"/>
      <c r="F36" s="2543"/>
      <c r="G36" s="2542" t="s">
        <v>2814</v>
      </c>
      <c r="H36" s="2543"/>
      <c r="I36" s="2543"/>
      <c r="J36" s="2543"/>
      <c r="K36" s="2544"/>
      <c r="L36" s="3194"/>
      <c r="M36" s="3194"/>
      <c r="N36" s="3194"/>
      <c r="O36" s="3194"/>
      <c r="P36" s="3194"/>
      <c r="Q36" s="3194"/>
      <c r="R36" s="3194"/>
      <c r="S36" s="3194"/>
      <c r="T36" s="3194"/>
      <c r="U36" s="3194"/>
      <c r="V36" s="3194"/>
      <c r="W36" s="3194"/>
      <c r="X36" s="3194"/>
      <c r="Y36" s="3194"/>
      <c r="Z36" s="3194"/>
    </row>
    <row r="37" spans="1:26" s="1997" customFormat="1">
      <c r="A37" s="3201"/>
      <c r="C37" s="3202"/>
      <c r="E37" s="3201"/>
    </row>
    <row r="38" spans="1:26" s="1997" customFormat="1" ht="12.75" customHeight="1">
      <c r="A38" s="3201"/>
      <c r="C38" s="3202"/>
      <c r="E38" s="3201"/>
    </row>
    <row r="39" spans="1:26" s="1997" customFormat="1">
      <c r="A39" s="3201"/>
      <c r="C39" s="3202"/>
      <c r="E39" s="3201"/>
    </row>
    <row r="40" spans="1:26" s="1997" customFormat="1">
      <c r="A40" s="3201"/>
      <c r="C40" s="3202"/>
      <c r="E40" s="3201"/>
    </row>
    <row r="41" spans="1:26" s="1997" customFormat="1">
      <c r="A41" s="3201"/>
      <c r="C41" s="3202"/>
      <c r="E41" s="3201"/>
    </row>
    <row r="42" spans="1:26" s="1997" customFormat="1">
      <c r="A42" s="3201"/>
      <c r="C42" s="3202"/>
      <c r="E42" s="3201"/>
    </row>
    <row r="43" spans="1:26" s="1997" customFormat="1">
      <c r="A43" s="3201"/>
      <c r="C43" s="3202"/>
      <c r="E43" s="3201"/>
    </row>
    <row r="44" spans="1:26" s="1997" customFormat="1">
      <c r="A44" s="3201"/>
      <c r="C44" s="3202"/>
      <c r="E44" s="3201"/>
    </row>
    <row r="45" spans="1:26" s="1997" customFormat="1">
      <c r="A45" s="3201"/>
      <c r="C45" s="3202"/>
      <c r="E45" s="3201"/>
    </row>
    <row r="46" spans="1:26" s="1997" customFormat="1">
      <c r="A46" s="3201"/>
      <c r="C46" s="3202"/>
      <c r="E46" s="3201"/>
    </row>
    <row r="47" spans="1:26" s="1997" customFormat="1">
      <c r="A47" s="3201"/>
      <c r="C47" s="3202"/>
      <c r="E47" s="3201"/>
    </row>
    <row r="48" spans="1:26" s="1997" customFormat="1">
      <c r="A48" s="3201"/>
      <c r="C48" s="3202"/>
      <c r="E48" s="3201"/>
    </row>
    <row r="49" spans="1:5" s="1997" customFormat="1">
      <c r="A49" s="3201"/>
      <c r="C49" s="3202"/>
      <c r="E49" s="3201"/>
    </row>
    <row r="50" spans="1:5" s="1997" customFormat="1">
      <c r="A50" s="3201"/>
      <c r="C50" s="3202"/>
      <c r="E50" s="3201"/>
    </row>
    <row r="51" spans="1:5" s="1997" customFormat="1">
      <c r="A51" s="3201"/>
      <c r="C51" s="3202"/>
      <c r="E51" s="3201"/>
    </row>
    <row r="52" spans="1:5" s="1997" customFormat="1">
      <c r="A52" s="3201"/>
      <c r="C52" s="3202"/>
      <c r="E52" s="3201"/>
    </row>
    <row r="53" spans="1:5" s="1997" customFormat="1">
      <c r="A53" s="3201"/>
      <c r="C53" s="3202"/>
      <c r="E53" s="3201"/>
    </row>
    <row r="54" spans="1:5" s="1997" customFormat="1">
      <c r="A54" s="3201"/>
      <c r="C54" s="3202"/>
      <c r="E54" s="3201"/>
    </row>
    <row r="55" spans="1:5" s="1997" customFormat="1">
      <c r="A55" s="3201"/>
      <c r="C55" s="3202"/>
      <c r="E55" s="3201"/>
    </row>
    <row r="56" spans="1:5" s="1997" customFormat="1">
      <c r="A56" s="3201"/>
      <c r="C56" s="3202"/>
      <c r="E56" s="3201"/>
    </row>
    <row r="57" spans="1:5" s="1997" customFormat="1">
      <c r="A57" s="3201"/>
      <c r="C57" s="3202"/>
      <c r="E57" s="3201"/>
    </row>
    <row r="58" spans="1:5" s="1997" customFormat="1">
      <c r="A58" s="3201"/>
      <c r="C58" s="3202"/>
      <c r="E58" s="3201"/>
    </row>
    <row r="59" spans="1:5" s="1997" customFormat="1">
      <c r="A59" s="3201"/>
      <c r="C59" s="3202"/>
      <c r="E59" s="3201"/>
    </row>
    <row r="60" spans="1:5" s="1997" customFormat="1">
      <c r="A60" s="3201"/>
      <c r="C60" s="3202"/>
      <c r="E60" s="3201"/>
    </row>
    <row r="61" spans="1:5" s="1997" customFormat="1">
      <c r="A61" s="3201"/>
      <c r="C61" s="3202"/>
      <c r="E61" s="3201"/>
    </row>
    <row r="62" spans="1:5" s="1997" customFormat="1">
      <c r="A62" s="3201"/>
      <c r="C62" s="3202"/>
      <c r="E62" s="3201"/>
    </row>
    <row r="63" spans="1:5" s="1997" customFormat="1">
      <c r="A63" s="3201"/>
      <c r="C63" s="3202"/>
      <c r="E63" s="3201"/>
    </row>
    <row r="64" spans="1:5" s="1997" customFormat="1">
      <c r="A64" s="3201"/>
      <c r="C64" s="3202"/>
      <c r="E64" s="3201"/>
    </row>
    <row r="65" spans="1:5" s="1997" customFormat="1">
      <c r="A65" s="3201"/>
      <c r="C65" s="3202"/>
      <c r="E65" s="3201"/>
    </row>
    <row r="66" spans="1:5" s="1997" customFormat="1">
      <c r="A66" s="3201"/>
      <c r="C66" s="3202"/>
      <c r="E66" s="3201"/>
    </row>
    <row r="67" spans="1:5" s="1997" customFormat="1">
      <c r="A67" s="3201"/>
      <c r="C67" s="3202"/>
      <c r="E67" s="3201"/>
    </row>
    <row r="68" spans="1:5" s="1997" customFormat="1">
      <c r="A68" s="3201"/>
      <c r="C68" s="3202"/>
      <c r="E68" s="3201"/>
    </row>
    <row r="69" spans="1:5" s="1997" customFormat="1">
      <c r="A69" s="3201"/>
      <c r="C69" s="3202"/>
      <c r="E69" s="3201"/>
    </row>
    <row r="70" spans="1:5" s="1997" customFormat="1">
      <c r="A70" s="3201"/>
      <c r="C70" s="3202"/>
      <c r="E70" s="3201"/>
    </row>
    <row r="71" spans="1:5" s="1997" customFormat="1">
      <c r="A71" s="3201"/>
      <c r="C71" s="3202"/>
      <c r="E71" s="3201"/>
    </row>
    <row r="72" spans="1:5" s="1997" customFormat="1">
      <c r="A72" s="3201"/>
      <c r="C72" s="3202"/>
      <c r="E72" s="3201"/>
    </row>
    <row r="73" spans="1:5" s="1997" customFormat="1">
      <c r="A73" s="3201"/>
      <c r="C73" s="3202"/>
      <c r="E73" s="3201"/>
    </row>
    <row r="74" spans="1:5" s="1997" customFormat="1">
      <c r="A74" s="3201"/>
      <c r="C74" s="3202"/>
      <c r="E74" s="3201"/>
    </row>
    <row r="75" spans="1:5" s="1997" customFormat="1">
      <c r="A75" s="3201"/>
      <c r="C75" s="3202"/>
      <c r="E75" s="3201"/>
    </row>
    <row r="76" spans="1:5" s="1997" customFormat="1">
      <c r="A76" s="3201"/>
      <c r="C76" s="3202"/>
      <c r="E76" s="3201"/>
    </row>
    <row r="77" spans="1:5" s="1997" customFormat="1">
      <c r="A77" s="3201"/>
      <c r="C77" s="3202"/>
      <c r="E77" s="3201"/>
    </row>
    <row r="78" spans="1:5" s="1997" customFormat="1">
      <c r="A78" s="3201"/>
      <c r="C78" s="3202"/>
      <c r="E78" s="3201"/>
    </row>
    <row r="79" spans="1:5" s="1997" customFormat="1">
      <c r="A79" s="3201"/>
      <c r="C79" s="3202"/>
      <c r="E79" s="3201"/>
    </row>
    <row r="80" spans="1:5" s="1997" customFormat="1">
      <c r="A80" s="3201"/>
      <c r="C80" s="3202"/>
      <c r="E80" s="3201"/>
    </row>
    <row r="81" spans="1:5" s="1997" customFormat="1">
      <c r="A81" s="3201"/>
      <c r="C81" s="3202"/>
      <c r="E81" s="3201"/>
    </row>
    <row r="82" spans="1:5" s="1997" customFormat="1">
      <c r="A82" s="3201"/>
      <c r="C82" s="3202"/>
      <c r="E82" s="3201"/>
    </row>
    <row r="83" spans="1:5" s="1997" customFormat="1">
      <c r="A83" s="3201"/>
      <c r="C83" s="3202"/>
      <c r="E83" s="3201"/>
    </row>
    <row r="84" spans="1:5" s="1997" customFormat="1">
      <c r="A84" s="3201"/>
      <c r="C84" s="3202"/>
      <c r="E84" s="3201"/>
    </row>
    <row r="85" spans="1:5" s="1997" customFormat="1">
      <c r="A85" s="3201"/>
      <c r="C85" s="3202"/>
      <c r="E85" s="3201"/>
    </row>
    <row r="86" spans="1:5" s="1997" customFormat="1">
      <c r="A86" s="3201"/>
      <c r="C86" s="3202"/>
      <c r="E86" s="3201"/>
    </row>
    <row r="87" spans="1:5" s="1997" customFormat="1">
      <c r="A87" s="3201"/>
      <c r="C87" s="3202"/>
      <c r="E87" s="3201"/>
    </row>
    <row r="88" spans="1:5" s="1997" customFormat="1">
      <c r="A88" s="3201"/>
      <c r="C88" s="3202"/>
      <c r="E88" s="3201"/>
    </row>
    <row r="89" spans="1:5" s="1997" customFormat="1">
      <c r="A89" s="3201"/>
      <c r="C89" s="3202"/>
      <c r="E89" s="3201"/>
    </row>
    <row r="90" spans="1:5" s="1997" customFormat="1">
      <c r="A90" s="3201"/>
      <c r="C90" s="3202"/>
      <c r="E90" s="3201"/>
    </row>
    <row r="91" spans="1:5" s="1997" customFormat="1">
      <c r="A91" s="3201"/>
      <c r="C91" s="3202"/>
      <c r="E91" s="3201"/>
    </row>
    <row r="92" spans="1:5" s="1997" customFormat="1">
      <c r="A92" s="3201"/>
      <c r="C92" s="3202"/>
      <c r="E92" s="3201"/>
    </row>
    <row r="93" spans="1:5" s="1997" customFormat="1">
      <c r="A93" s="3201"/>
      <c r="C93" s="3202"/>
      <c r="E93" s="3201"/>
    </row>
    <row r="94" spans="1:5" s="1997" customFormat="1">
      <c r="A94" s="3201"/>
      <c r="C94" s="3202"/>
      <c r="E94" s="3201"/>
    </row>
    <row r="95" spans="1:5" s="1997" customFormat="1">
      <c r="A95" s="3201"/>
      <c r="C95" s="3202"/>
      <c r="E95" s="3201"/>
    </row>
    <row r="96" spans="1:5" s="1997" customFormat="1">
      <c r="A96" s="3201"/>
      <c r="C96" s="3202"/>
      <c r="E96" s="3201"/>
    </row>
    <row r="97" spans="1:5" s="1997" customFormat="1">
      <c r="A97" s="3201"/>
      <c r="C97" s="3202"/>
      <c r="E97" s="3201"/>
    </row>
    <row r="98" spans="1:5" s="1997" customFormat="1">
      <c r="A98" s="3201"/>
      <c r="C98" s="3202"/>
      <c r="E98" s="3201"/>
    </row>
    <row r="99" spans="1:5" s="1997" customFormat="1">
      <c r="A99" s="3201"/>
      <c r="C99" s="3202"/>
      <c r="E99" s="3201"/>
    </row>
    <row r="100" spans="1:5" s="1997" customFormat="1">
      <c r="A100" s="3201"/>
      <c r="C100" s="3202"/>
      <c r="E100" s="3201"/>
    </row>
    <row r="101" spans="1:5" s="1997" customFormat="1">
      <c r="A101" s="3201"/>
      <c r="C101" s="3202"/>
      <c r="E101" s="3201"/>
    </row>
    <row r="102" spans="1:5" s="1997" customFormat="1">
      <c r="A102" s="3201"/>
      <c r="C102" s="3202"/>
      <c r="E102" s="3201"/>
    </row>
    <row r="103" spans="1:5" s="1997" customFormat="1">
      <c r="A103" s="3201"/>
      <c r="C103" s="3202"/>
      <c r="E103" s="3201"/>
    </row>
    <row r="104" spans="1:5" s="1997" customFormat="1">
      <c r="A104" s="3201"/>
      <c r="C104" s="3202"/>
      <c r="E104" s="3201"/>
    </row>
    <row r="105" spans="1:5" s="1997" customFormat="1">
      <c r="A105" s="3201"/>
      <c r="C105" s="3202"/>
      <c r="E105" s="3201"/>
    </row>
    <row r="106" spans="1:5" s="1997" customFormat="1">
      <c r="A106" s="3201"/>
      <c r="C106" s="3202"/>
      <c r="E106" s="3201"/>
    </row>
    <row r="107" spans="1:5" s="1997" customFormat="1">
      <c r="A107" s="3201"/>
      <c r="C107" s="3202"/>
      <c r="E107" s="3201"/>
    </row>
    <row r="108" spans="1:5" s="1997" customFormat="1">
      <c r="A108" s="3201"/>
      <c r="C108" s="3202"/>
      <c r="E108" s="3201"/>
    </row>
    <row r="109" spans="1:5" s="1997" customFormat="1">
      <c r="A109" s="3201"/>
      <c r="C109" s="3202"/>
      <c r="E109" s="3201"/>
    </row>
    <row r="110" spans="1:5" s="1997" customFormat="1">
      <c r="A110" s="3201"/>
      <c r="C110" s="3202"/>
      <c r="E110" s="3201"/>
    </row>
    <row r="111" spans="1:5" s="1997" customFormat="1">
      <c r="A111" s="3201"/>
      <c r="C111" s="3202"/>
      <c r="E111" s="3201"/>
    </row>
    <row r="112" spans="1:5" s="1997" customFormat="1">
      <c r="A112" s="3201"/>
      <c r="C112" s="3202"/>
      <c r="E112" s="3201"/>
    </row>
    <row r="113" spans="1:5" s="1997" customFormat="1">
      <c r="A113" s="3201"/>
      <c r="C113" s="3202"/>
      <c r="E113" s="3201"/>
    </row>
    <row r="114" spans="1:5" s="1997" customFormat="1">
      <c r="A114" s="3201"/>
      <c r="C114" s="3202"/>
      <c r="E114" s="3201"/>
    </row>
    <row r="115" spans="1:5" s="1997" customFormat="1">
      <c r="A115" s="3201"/>
      <c r="C115" s="3202"/>
      <c r="E115" s="3201"/>
    </row>
    <row r="116" spans="1:5" s="1997" customFormat="1">
      <c r="A116" s="3201"/>
      <c r="C116" s="3202"/>
      <c r="E116" s="3201"/>
    </row>
    <row r="117" spans="1:5" s="1997" customFormat="1">
      <c r="A117" s="3201"/>
      <c r="C117" s="3202"/>
      <c r="E117" s="3201"/>
    </row>
    <row r="118" spans="1:5" s="1997" customFormat="1">
      <c r="A118" s="3201"/>
      <c r="C118" s="3202"/>
      <c r="E118" s="3201"/>
    </row>
    <row r="119" spans="1:5" s="1997" customFormat="1">
      <c r="A119" s="3201"/>
      <c r="C119" s="3202"/>
      <c r="E119" s="3201"/>
    </row>
    <row r="120" spans="1:5" s="1997" customFormat="1">
      <c r="A120" s="3201"/>
      <c r="C120" s="3202"/>
      <c r="E120" s="3201"/>
    </row>
    <row r="121" spans="1:5" s="1997" customFormat="1">
      <c r="A121" s="3201"/>
      <c r="C121" s="3202"/>
      <c r="E121" s="3201"/>
    </row>
    <row r="122" spans="1:5" s="1997" customFormat="1">
      <c r="A122" s="3201"/>
      <c r="C122" s="3202"/>
      <c r="E122" s="3201"/>
    </row>
    <row r="123" spans="1:5" s="1997" customFormat="1">
      <c r="A123" s="3201"/>
      <c r="C123" s="3202"/>
      <c r="E123" s="3201"/>
    </row>
    <row r="124" spans="1:5" s="1997" customFormat="1">
      <c r="A124" s="3201"/>
      <c r="C124" s="3202"/>
      <c r="E124" s="3201"/>
    </row>
    <row r="125" spans="1:5" s="1997" customFormat="1">
      <c r="A125" s="3201"/>
      <c r="C125" s="3202"/>
      <c r="E125" s="3201"/>
    </row>
    <row r="126" spans="1:5" s="1997" customFormat="1">
      <c r="A126" s="3201"/>
      <c r="C126" s="3202"/>
      <c r="E126" s="3201"/>
    </row>
    <row r="127" spans="1:5" s="1997" customFormat="1">
      <c r="A127" s="3201"/>
      <c r="C127" s="3202"/>
      <c r="E127" s="3201"/>
    </row>
    <row r="128" spans="1:5" s="1997" customFormat="1">
      <c r="A128" s="3201"/>
      <c r="C128" s="3202"/>
      <c r="E128" s="3201"/>
    </row>
    <row r="129" spans="1:5" s="1997" customFormat="1">
      <c r="A129" s="3201"/>
      <c r="C129" s="3202"/>
      <c r="E129" s="3201"/>
    </row>
    <row r="130" spans="1:5" s="1997" customFormat="1">
      <c r="A130" s="3201"/>
      <c r="C130" s="3202"/>
      <c r="E130" s="3201"/>
    </row>
    <row r="131" spans="1:5" s="1997" customFormat="1">
      <c r="A131" s="3201"/>
      <c r="C131" s="3202"/>
      <c r="E131" s="3201"/>
    </row>
    <row r="132" spans="1:5" s="1997" customFormat="1">
      <c r="A132" s="3201"/>
      <c r="C132" s="3202"/>
      <c r="E132" s="3201"/>
    </row>
    <row r="133" spans="1:5" s="1997" customFormat="1">
      <c r="A133" s="3201"/>
      <c r="C133" s="3202"/>
      <c r="E133" s="3201"/>
    </row>
    <row r="134" spans="1:5" s="1997" customFormat="1">
      <c r="A134" s="3201"/>
      <c r="C134" s="3202"/>
      <c r="E134" s="3201"/>
    </row>
    <row r="135" spans="1:5" s="1997" customFormat="1">
      <c r="A135" s="3201"/>
      <c r="C135" s="3202"/>
      <c r="E135" s="3201"/>
    </row>
    <row r="136" spans="1:5" s="1997" customFormat="1">
      <c r="A136" s="3201"/>
      <c r="C136" s="3202"/>
      <c r="E136" s="3201"/>
    </row>
    <row r="137" spans="1:5" s="1997" customFormat="1">
      <c r="A137" s="3201"/>
      <c r="C137" s="3202"/>
      <c r="E137" s="3201"/>
    </row>
    <row r="138" spans="1:5" s="1997" customFormat="1">
      <c r="A138" s="3201"/>
      <c r="C138" s="3202"/>
      <c r="E138" s="3201"/>
    </row>
    <row r="139" spans="1:5" s="1997" customFormat="1">
      <c r="A139" s="3201"/>
      <c r="C139" s="3202"/>
      <c r="E139" s="3201"/>
    </row>
    <row r="140" spans="1:5" s="1997" customFormat="1">
      <c r="A140" s="3201"/>
      <c r="C140" s="3202"/>
      <c r="E140" s="3201"/>
    </row>
    <row r="141" spans="1:5" s="1997" customFormat="1">
      <c r="A141" s="3201"/>
      <c r="C141" s="3202"/>
      <c r="E141" s="3201"/>
    </row>
    <row r="142" spans="1:5" s="1997" customFormat="1">
      <c r="A142" s="3201"/>
      <c r="C142" s="3202"/>
      <c r="E142" s="3201"/>
    </row>
    <row r="143" spans="1:5" s="1997" customFormat="1">
      <c r="A143" s="3201"/>
      <c r="C143" s="3202"/>
      <c r="E143" s="3201"/>
    </row>
    <row r="144" spans="1:5" s="1997" customFormat="1">
      <c r="A144" s="3201"/>
      <c r="C144" s="3202"/>
      <c r="E144" s="3201"/>
    </row>
    <row r="145" spans="1:5" s="1997" customFormat="1">
      <c r="A145" s="3201"/>
      <c r="C145" s="3202"/>
      <c r="E145" s="3201"/>
    </row>
    <row r="146" spans="1:5" s="1997" customFormat="1">
      <c r="A146" s="3201"/>
      <c r="C146" s="3202"/>
      <c r="E146" s="3201"/>
    </row>
    <row r="147" spans="1:5" s="1997" customFormat="1">
      <c r="A147" s="3201"/>
      <c r="C147" s="3202"/>
      <c r="E147" s="3201"/>
    </row>
    <row r="148" spans="1:5" s="1997" customFormat="1">
      <c r="A148" s="3201"/>
      <c r="C148" s="3202"/>
      <c r="E148" s="3201"/>
    </row>
    <row r="149" spans="1:5" s="1997" customFormat="1">
      <c r="A149" s="3201"/>
      <c r="C149" s="3202"/>
      <c r="E149" s="3201"/>
    </row>
    <row r="150" spans="1:5" s="1997" customFormat="1">
      <c r="A150" s="3201"/>
      <c r="C150" s="3202"/>
      <c r="E150" s="3201"/>
    </row>
    <row r="151" spans="1:5" s="1997" customFormat="1">
      <c r="A151" s="3201"/>
      <c r="C151" s="3202"/>
      <c r="E151" s="3201"/>
    </row>
    <row r="152" spans="1:5" s="1997" customFormat="1">
      <c r="A152" s="3201"/>
      <c r="C152" s="3202"/>
      <c r="E152" s="3201"/>
    </row>
    <row r="153" spans="1:5" s="1997" customFormat="1">
      <c r="A153" s="3201"/>
      <c r="C153" s="3202"/>
      <c r="E153" s="3201"/>
    </row>
    <row r="154" spans="1:5" s="1997" customFormat="1">
      <c r="A154" s="3201"/>
      <c r="C154" s="3202"/>
      <c r="E154" s="3201"/>
    </row>
    <row r="155" spans="1:5" s="1997" customFormat="1">
      <c r="A155" s="3201"/>
      <c r="C155" s="3202"/>
      <c r="E155" s="3201"/>
    </row>
    <row r="156" spans="1:5" s="1997" customFormat="1">
      <c r="A156" s="3201"/>
      <c r="C156" s="3202"/>
      <c r="E156" s="3201"/>
    </row>
    <row r="157" spans="1:5" s="1997" customFormat="1">
      <c r="A157" s="3201"/>
      <c r="C157" s="3202"/>
      <c r="E157" s="3201"/>
    </row>
    <row r="158" spans="1:5" s="1997" customFormat="1">
      <c r="A158" s="3201"/>
      <c r="C158" s="3202"/>
      <c r="E158" s="3201"/>
    </row>
    <row r="159" spans="1:5" s="1997" customFormat="1">
      <c r="A159" s="3201"/>
      <c r="C159" s="3202"/>
      <c r="E159" s="3201"/>
    </row>
    <row r="160" spans="1:5" s="1997" customFormat="1">
      <c r="A160" s="3201"/>
      <c r="C160" s="3202"/>
      <c r="E160" s="3201"/>
    </row>
    <row r="161" spans="1:5" s="1997" customFormat="1">
      <c r="A161" s="3201"/>
      <c r="C161" s="3202"/>
      <c r="E161" s="3201"/>
    </row>
    <row r="162" spans="1:5" s="1997" customFormat="1">
      <c r="A162" s="3201"/>
      <c r="C162" s="3202"/>
      <c r="E162" s="3201"/>
    </row>
    <row r="163" spans="1:5" s="1997" customFormat="1">
      <c r="A163" s="3201"/>
      <c r="C163" s="3202"/>
      <c r="E163" s="3201"/>
    </row>
    <row r="164" spans="1:5" s="1997" customFormat="1">
      <c r="A164" s="3201"/>
      <c r="C164" s="3202"/>
      <c r="E164" s="3201"/>
    </row>
    <row r="165" spans="1:5" s="1997" customFormat="1">
      <c r="A165" s="3201"/>
      <c r="C165" s="3202"/>
      <c r="E165" s="3201"/>
    </row>
    <row r="166" spans="1:5" s="1997" customFormat="1">
      <c r="A166" s="3201"/>
      <c r="C166" s="3202"/>
      <c r="E166" s="3201"/>
    </row>
    <row r="167" spans="1:5" s="1997" customFormat="1">
      <c r="A167" s="3201"/>
      <c r="C167" s="3202"/>
      <c r="E167" s="3201"/>
    </row>
    <row r="168" spans="1:5" s="1997" customFormat="1">
      <c r="A168" s="3201"/>
      <c r="C168" s="3202"/>
      <c r="E168" s="3201"/>
    </row>
    <row r="169" spans="1:5" s="1997" customFormat="1">
      <c r="A169" s="3201"/>
      <c r="C169" s="3202"/>
      <c r="E169" s="3201"/>
    </row>
    <row r="170" spans="1:5" s="1997" customFormat="1">
      <c r="A170" s="3201"/>
      <c r="C170" s="3202"/>
      <c r="E170" s="3201"/>
    </row>
    <row r="171" spans="1:5" s="1997" customFormat="1">
      <c r="A171" s="3201"/>
      <c r="C171" s="3202"/>
      <c r="E171" s="3201"/>
    </row>
    <row r="172" spans="1:5" s="1997" customFormat="1">
      <c r="A172" s="3201"/>
      <c r="C172" s="3202"/>
      <c r="E172" s="3201"/>
    </row>
    <row r="173" spans="1:5" s="1997" customFormat="1">
      <c r="A173" s="3201"/>
      <c r="C173" s="3202"/>
      <c r="E173" s="3201"/>
    </row>
    <row r="174" spans="1:5" s="1997" customFormat="1">
      <c r="A174" s="3201"/>
      <c r="C174" s="3202"/>
      <c r="E174" s="3201"/>
    </row>
    <row r="175" spans="1:5" s="1997" customFormat="1">
      <c r="A175" s="3201"/>
      <c r="C175" s="3202"/>
      <c r="E175" s="3201"/>
    </row>
    <row r="176" spans="1:5" s="1997" customFormat="1">
      <c r="A176" s="3201"/>
      <c r="C176" s="3202"/>
      <c r="E176" s="3201"/>
    </row>
    <row r="177" spans="1:5" s="1997" customFormat="1">
      <c r="A177" s="3201"/>
      <c r="C177" s="3202"/>
      <c r="E177" s="3201"/>
    </row>
    <row r="178" spans="1:5" s="1997" customFormat="1">
      <c r="A178" s="3201"/>
      <c r="C178" s="3202"/>
      <c r="E178" s="3201"/>
    </row>
    <row r="179" spans="1:5" s="1997" customFormat="1">
      <c r="A179" s="3201"/>
      <c r="C179" s="3202"/>
      <c r="E179" s="3201"/>
    </row>
    <row r="180" spans="1:5" s="1997" customFormat="1">
      <c r="A180" s="3201"/>
      <c r="C180" s="3202"/>
      <c r="E180" s="3201"/>
    </row>
    <row r="181" spans="1:5" s="1997" customFormat="1">
      <c r="A181" s="3201"/>
      <c r="C181" s="3202"/>
      <c r="E181" s="3201"/>
    </row>
    <row r="182" spans="1:5" s="1997" customFormat="1">
      <c r="A182" s="3201"/>
      <c r="C182" s="3202"/>
      <c r="E182" s="3201"/>
    </row>
    <row r="183" spans="1:5" s="1997" customFormat="1">
      <c r="A183" s="3201"/>
      <c r="C183" s="3202"/>
      <c r="E183" s="3201"/>
    </row>
    <row r="184" spans="1:5" s="1997" customFormat="1">
      <c r="A184" s="3201"/>
      <c r="C184" s="3202"/>
      <c r="E184" s="3201"/>
    </row>
    <row r="185" spans="1:5" s="1997" customFormat="1">
      <c r="A185" s="3201"/>
      <c r="C185" s="3202"/>
      <c r="E185" s="3201"/>
    </row>
    <row r="186" spans="1:5" s="1997" customFormat="1">
      <c r="A186" s="3201"/>
      <c r="C186" s="3202"/>
      <c r="E186" s="3201"/>
    </row>
    <row r="187" spans="1:5" s="1997" customFormat="1">
      <c r="A187" s="3201"/>
      <c r="C187" s="3202"/>
      <c r="E187" s="3201"/>
    </row>
    <row r="188" spans="1:5" s="1997" customFormat="1">
      <c r="A188" s="3201"/>
      <c r="C188" s="3202"/>
      <c r="E188" s="3201"/>
    </row>
    <row r="189" spans="1:5" s="1997" customFormat="1">
      <c r="A189" s="3201"/>
      <c r="C189" s="3202"/>
      <c r="E189" s="3201"/>
    </row>
    <row r="190" spans="1:5" s="1997" customFormat="1">
      <c r="A190" s="3201"/>
      <c r="C190" s="3202"/>
      <c r="E190" s="3201"/>
    </row>
    <row r="191" spans="1:5" s="1997" customFormat="1">
      <c r="A191" s="3201"/>
      <c r="C191" s="3202"/>
      <c r="E191" s="3201"/>
    </row>
    <row r="192" spans="1:5" s="1997" customFormat="1">
      <c r="A192" s="3201"/>
      <c r="C192" s="3202"/>
      <c r="E192" s="3201"/>
    </row>
    <row r="193" spans="1:5" s="1997" customFormat="1">
      <c r="A193" s="3201"/>
      <c r="C193" s="3202"/>
      <c r="E193" s="3201"/>
    </row>
    <row r="194" spans="1:5" s="1997" customFormat="1">
      <c r="A194" s="3201"/>
      <c r="C194" s="3202"/>
      <c r="E194" s="3201"/>
    </row>
    <row r="195" spans="1:5" s="1997" customFormat="1">
      <c r="A195" s="3201"/>
      <c r="C195" s="3202"/>
      <c r="E195" s="3201"/>
    </row>
    <row r="196" spans="1:5" s="1997" customFormat="1">
      <c r="A196" s="3201"/>
      <c r="C196" s="3202"/>
      <c r="E196" s="3201"/>
    </row>
    <row r="197" spans="1:5" s="1997" customFormat="1">
      <c r="A197" s="3201"/>
      <c r="C197" s="3202"/>
      <c r="E197" s="3201"/>
    </row>
    <row r="198" spans="1:5" s="1997" customFormat="1">
      <c r="A198" s="3201"/>
      <c r="C198" s="3202"/>
      <c r="E198" s="3201"/>
    </row>
    <row r="199" spans="1:5" s="1997" customFormat="1">
      <c r="A199" s="3201"/>
      <c r="C199" s="3202"/>
      <c r="E199" s="3201"/>
    </row>
    <row r="200" spans="1:5" s="1997" customFormat="1">
      <c r="A200" s="3201"/>
      <c r="C200" s="3202"/>
      <c r="E200" s="3201"/>
    </row>
    <row r="201" spans="1:5" s="1997" customFormat="1">
      <c r="A201" s="3201"/>
      <c r="C201" s="3202"/>
      <c r="E201" s="3201"/>
    </row>
    <row r="202" spans="1:5" s="1997" customFormat="1">
      <c r="A202" s="3201"/>
      <c r="C202" s="3202"/>
      <c r="E202" s="3201"/>
    </row>
    <row r="203" spans="1:5" s="1997" customFormat="1">
      <c r="A203" s="3201"/>
      <c r="C203" s="3202"/>
      <c r="E203" s="3201"/>
    </row>
    <row r="204" spans="1:5" s="1997" customFormat="1">
      <c r="A204" s="3201"/>
      <c r="C204" s="3202"/>
      <c r="E204" s="3201"/>
    </row>
    <row r="205" spans="1:5" s="1997" customFormat="1">
      <c r="A205" s="3201"/>
      <c r="C205" s="3202"/>
      <c r="E205" s="3201"/>
    </row>
    <row r="206" spans="1:5" s="1997" customFormat="1">
      <c r="A206" s="3201"/>
      <c r="C206" s="3202"/>
      <c r="E206" s="3201"/>
    </row>
    <row r="207" spans="1:5" s="1997" customFormat="1">
      <c r="A207" s="3201"/>
      <c r="C207" s="3202"/>
      <c r="E207" s="3201"/>
    </row>
    <row r="208" spans="1:5" s="1997" customFormat="1">
      <c r="A208" s="3201"/>
      <c r="C208" s="3202"/>
      <c r="E208" s="3201"/>
    </row>
    <row r="209" spans="1:5" s="1997" customFormat="1">
      <c r="A209" s="3201"/>
      <c r="C209" s="3202"/>
      <c r="E209" s="3201"/>
    </row>
    <row r="210" spans="1:5" s="1997" customFormat="1">
      <c r="A210" s="3201"/>
      <c r="C210" s="3202"/>
      <c r="E210" s="3201"/>
    </row>
    <row r="211" spans="1:5" s="1997" customFormat="1">
      <c r="A211" s="3201"/>
      <c r="C211" s="3202"/>
      <c r="E211" s="3201"/>
    </row>
    <row r="212" spans="1:5" s="1997" customFormat="1">
      <c r="A212" s="3201"/>
      <c r="C212" s="3202"/>
      <c r="E212" s="3201"/>
    </row>
    <row r="213" spans="1:5" s="1997" customFormat="1">
      <c r="A213" s="3201"/>
      <c r="C213" s="3202"/>
      <c r="E213" s="3201"/>
    </row>
    <row r="214" spans="1:5" s="1997" customFormat="1">
      <c r="A214" s="3201"/>
      <c r="C214" s="3202"/>
      <c r="E214" s="3201"/>
    </row>
    <row r="215" spans="1:5" s="1997" customFormat="1">
      <c r="A215" s="3201"/>
      <c r="C215" s="3202"/>
      <c r="E215" s="3201"/>
    </row>
    <row r="216" spans="1:5" s="1997" customFormat="1">
      <c r="A216" s="3201"/>
      <c r="C216" s="3202"/>
      <c r="E216" s="3201"/>
    </row>
    <row r="217" spans="1:5" s="1997" customFormat="1">
      <c r="A217" s="3201"/>
      <c r="C217" s="3202"/>
      <c r="E217" s="3201"/>
    </row>
    <row r="218" spans="1:5" s="1997" customFormat="1">
      <c r="A218" s="3201"/>
      <c r="C218" s="3202"/>
      <c r="E218" s="3201"/>
    </row>
    <row r="219" spans="1:5" s="1997" customFormat="1">
      <c r="A219" s="3201"/>
      <c r="C219" s="3202"/>
      <c r="E219" s="3201"/>
    </row>
    <row r="220" spans="1:5" s="1997" customFormat="1">
      <c r="A220" s="3201"/>
      <c r="C220" s="3202"/>
      <c r="E220" s="3201"/>
    </row>
    <row r="221" spans="1:5" s="1997" customFormat="1">
      <c r="A221" s="3201"/>
      <c r="C221" s="3202"/>
      <c r="E221" s="3201"/>
    </row>
    <row r="222" spans="1:5" s="1997" customFormat="1">
      <c r="A222" s="3201"/>
      <c r="C222" s="3202"/>
      <c r="E222" s="3201"/>
    </row>
    <row r="223" spans="1:5" s="1997" customFormat="1">
      <c r="A223" s="3201"/>
      <c r="C223" s="3202"/>
      <c r="E223" s="3201"/>
    </row>
    <row r="224" spans="1:5" s="1997" customFormat="1">
      <c r="A224" s="3201"/>
      <c r="C224" s="3202"/>
      <c r="E224" s="3201"/>
    </row>
    <row r="225" spans="1:5" s="1997" customFormat="1">
      <c r="A225" s="3201"/>
      <c r="C225" s="3202"/>
      <c r="E225" s="3201"/>
    </row>
    <row r="226" spans="1:5" s="1997" customFormat="1">
      <c r="A226" s="3201"/>
      <c r="C226" s="3202"/>
      <c r="E226" s="3201"/>
    </row>
    <row r="227" spans="1:5" s="1997" customFormat="1">
      <c r="A227" s="3201"/>
      <c r="C227" s="3202"/>
      <c r="E227" s="3201"/>
    </row>
    <row r="228" spans="1:5" s="1997" customFormat="1">
      <c r="A228" s="3201"/>
      <c r="C228" s="3202"/>
      <c r="E228" s="3201"/>
    </row>
    <row r="229" spans="1:5" s="1997" customFormat="1">
      <c r="A229" s="3201"/>
      <c r="C229" s="3202"/>
      <c r="E229" s="3201"/>
    </row>
    <row r="230" spans="1:5" s="1997" customFormat="1">
      <c r="A230" s="3201"/>
      <c r="C230" s="3202"/>
      <c r="E230" s="3201"/>
    </row>
    <row r="231" spans="1:5" s="1997" customFormat="1">
      <c r="A231" s="3201"/>
      <c r="C231" s="3202"/>
      <c r="E231" s="3201"/>
    </row>
    <row r="232" spans="1:5" s="1997" customFormat="1">
      <c r="A232" s="3201"/>
      <c r="C232" s="3202"/>
      <c r="E232" s="3201"/>
    </row>
    <row r="233" spans="1:5" s="1997" customFormat="1">
      <c r="A233" s="3201"/>
      <c r="C233" s="3202"/>
      <c r="E233" s="3201"/>
    </row>
    <row r="234" spans="1:5" s="1997" customFormat="1">
      <c r="A234" s="3201"/>
      <c r="C234" s="3202"/>
      <c r="E234" s="3201"/>
    </row>
    <row r="235" spans="1:5" s="1997" customFormat="1">
      <c r="A235" s="3201"/>
      <c r="C235" s="3202"/>
      <c r="E235" s="3201"/>
    </row>
    <row r="236" spans="1:5" s="1997" customFormat="1">
      <c r="A236" s="3201"/>
      <c r="C236" s="3202"/>
      <c r="E236" s="3201"/>
    </row>
    <row r="237" spans="1:5" s="1997" customFormat="1">
      <c r="A237" s="3201"/>
      <c r="C237" s="3202"/>
      <c r="E237" s="3201"/>
    </row>
    <row r="238" spans="1:5" s="1997" customFormat="1">
      <c r="A238" s="3201"/>
      <c r="C238" s="3202"/>
      <c r="E238" s="3201"/>
    </row>
    <row r="239" spans="1:5" s="1997" customFormat="1">
      <c r="A239" s="3201"/>
      <c r="C239" s="3202"/>
      <c r="E239" s="3201"/>
    </row>
    <row r="240" spans="1:5" s="1997" customFormat="1">
      <c r="A240" s="3201"/>
      <c r="C240" s="3202"/>
      <c r="E240" s="3201"/>
    </row>
    <row r="241" spans="1:5" s="1997" customFormat="1">
      <c r="A241" s="3201"/>
      <c r="C241" s="3202"/>
      <c r="E241" s="3201"/>
    </row>
    <row r="242" spans="1:5" s="1997" customFormat="1">
      <c r="A242" s="3201"/>
      <c r="C242" s="3202"/>
      <c r="E242" s="3201"/>
    </row>
    <row r="243" spans="1:5" s="1997" customFormat="1">
      <c r="A243" s="3201"/>
      <c r="C243" s="3202"/>
      <c r="E243" s="3201"/>
    </row>
    <row r="244" spans="1:5" s="1997" customFormat="1">
      <c r="A244" s="3201"/>
      <c r="C244" s="3202"/>
      <c r="E244" s="3201"/>
    </row>
    <row r="245" spans="1:5" s="1997" customFormat="1">
      <c r="A245" s="3201"/>
      <c r="C245" s="3202"/>
      <c r="E245" s="3201"/>
    </row>
    <row r="246" spans="1:5" s="1997" customFormat="1">
      <c r="A246" s="3201"/>
      <c r="C246" s="3202"/>
      <c r="E246" s="3201"/>
    </row>
    <row r="247" spans="1:5" s="1997" customFormat="1">
      <c r="A247" s="3201"/>
      <c r="C247" s="3202"/>
      <c r="E247" s="3201"/>
    </row>
    <row r="248" spans="1:5" s="1997" customFormat="1">
      <c r="A248" s="3201"/>
      <c r="C248" s="3202"/>
      <c r="E248" s="3201"/>
    </row>
    <row r="249" spans="1:5" s="1997" customFormat="1">
      <c r="A249" s="3201"/>
      <c r="C249" s="3202"/>
      <c r="E249" s="3201"/>
    </row>
    <row r="250" spans="1:5" s="1997" customFormat="1">
      <c r="A250" s="3201"/>
      <c r="C250" s="3202"/>
      <c r="E250" s="3201"/>
    </row>
    <row r="251" spans="1:5" s="1997" customFormat="1">
      <c r="A251" s="3201"/>
      <c r="C251" s="3202"/>
      <c r="E251" s="3201"/>
    </row>
    <row r="252" spans="1:5" s="1997" customFormat="1">
      <c r="A252" s="3201"/>
      <c r="C252" s="3202"/>
      <c r="E252" s="3201"/>
    </row>
    <row r="253" spans="1:5" s="1997" customFormat="1">
      <c r="A253" s="3201"/>
      <c r="C253" s="3202"/>
      <c r="E253" s="3201"/>
    </row>
    <row r="254" spans="1:5" s="1997" customFormat="1">
      <c r="A254" s="3201"/>
      <c r="C254" s="3202"/>
      <c r="E254" s="3201"/>
    </row>
    <row r="255" spans="1:5" s="1997" customFormat="1">
      <c r="A255" s="3201"/>
      <c r="C255" s="3202"/>
      <c r="E255" s="3201"/>
    </row>
    <row r="256" spans="1:5" s="1997" customFormat="1">
      <c r="A256" s="3201"/>
      <c r="C256" s="3202"/>
      <c r="E256" s="3201"/>
    </row>
    <row r="257" spans="1:5" s="1997" customFormat="1">
      <c r="A257" s="3201"/>
      <c r="C257" s="3202"/>
      <c r="E257" s="3201"/>
    </row>
    <row r="258" spans="1:5" s="1997" customFormat="1">
      <c r="A258" s="3201"/>
      <c r="C258" s="3202"/>
      <c r="E258" s="3201"/>
    </row>
    <row r="259" spans="1:5" s="1997" customFormat="1">
      <c r="A259" s="3201"/>
      <c r="C259" s="3202"/>
      <c r="E259" s="3201"/>
    </row>
    <row r="260" spans="1:5" s="1997" customFormat="1">
      <c r="A260" s="3201"/>
      <c r="C260" s="3202"/>
      <c r="E260" s="3201"/>
    </row>
    <row r="261" spans="1:5" s="1997" customFormat="1">
      <c r="A261" s="3201"/>
      <c r="C261" s="3202"/>
      <c r="E261" s="3201"/>
    </row>
    <row r="262" spans="1:5" s="1997" customFormat="1">
      <c r="A262" s="3201"/>
      <c r="C262" s="3202"/>
      <c r="E262" s="3201"/>
    </row>
    <row r="263" spans="1:5" s="1997" customFormat="1">
      <c r="A263" s="3201"/>
      <c r="C263" s="3202"/>
      <c r="E263" s="3201"/>
    </row>
    <row r="264" spans="1:5" s="1997" customFormat="1">
      <c r="A264" s="3201"/>
      <c r="C264" s="3202"/>
      <c r="E264" s="3201"/>
    </row>
    <row r="265" spans="1:5" s="1997" customFormat="1">
      <c r="A265" s="3201"/>
      <c r="C265" s="3202"/>
      <c r="E265" s="3201"/>
    </row>
    <row r="266" spans="1:5" s="1997" customFormat="1">
      <c r="A266" s="3201"/>
      <c r="C266" s="3202"/>
      <c r="E266" s="3201"/>
    </row>
    <row r="267" spans="1:5" s="1997" customFormat="1">
      <c r="A267" s="3201"/>
      <c r="C267" s="3202"/>
      <c r="E267" s="3201"/>
    </row>
    <row r="268" spans="1:5" s="1997" customFormat="1">
      <c r="A268" s="3201"/>
      <c r="C268" s="3202"/>
      <c r="E268" s="3201"/>
    </row>
    <row r="269" spans="1:5" s="1997" customFormat="1">
      <c r="A269" s="3201"/>
      <c r="C269" s="3202"/>
      <c r="E269" s="3201"/>
    </row>
    <row r="270" spans="1:5" s="1997" customFormat="1">
      <c r="A270" s="3201"/>
      <c r="C270" s="3202"/>
      <c r="E270" s="3201"/>
    </row>
    <row r="271" spans="1:5" s="1997" customFormat="1">
      <c r="A271" s="3201"/>
      <c r="C271" s="3202"/>
      <c r="E271" s="3201"/>
    </row>
    <row r="272" spans="1:5" s="1997" customFormat="1">
      <c r="A272" s="3201"/>
      <c r="C272" s="3202"/>
      <c r="E272" s="3201"/>
    </row>
    <row r="273" spans="1:5" s="1997" customFormat="1">
      <c r="A273" s="3201"/>
      <c r="C273" s="3202"/>
      <c r="E273" s="3201"/>
    </row>
    <row r="274" spans="1:5" s="1997" customFormat="1">
      <c r="A274" s="3201"/>
      <c r="C274" s="3202"/>
      <c r="E274" s="3201"/>
    </row>
    <row r="275" spans="1:5" s="1997" customFormat="1">
      <c r="A275" s="3201"/>
      <c r="C275" s="3202"/>
      <c r="E275" s="3201"/>
    </row>
    <row r="276" spans="1:5" s="1997" customFormat="1">
      <c r="A276" s="3201"/>
      <c r="C276" s="3202"/>
      <c r="E276" s="3201"/>
    </row>
    <row r="277" spans="1:5" s="1997" customFormat="1">
      <c r="A277" s="3201"/>
      <c r="C277" s="3202"/>
      <c r="E277" s="3201"/>
    </row>
    <row r="278" spans="1:5" s="1997" customFormat="1">
      <c r="A278" s="3201"/>
      <c r="C278" s="3202"/>
      <c r="E278" s="3201"/>
    </row>
    <row r="279" spans="1:5" s="1997" customFormat="1">
      <c r="A279" s="3201"/>
      <c r="C279" s="3202"/>
      <c r="E279" s="3201"/>
    </row>
    <row r="280" spans="1:5" s="1997" customFormat="1">
      <c r="A280" s="3201"/>
      <c r="C280" s="3202"/>
      <c r="E280" s="3201"/>
    </row>
    <row r="281" spans="1:5" s="1997" customFormat="1">
      <c r="A281" s="3201"/>
      <c r="C281" s="3202"/>
      <c r="E281" s="3201"/>
    </row>
    <row r="282" spans="1:5" s="1997" customFormat="1">
      <c r="A282" s="3201"/>
      <c r="C282" s="3202"/>
      <c r="E282" s="3201"/>
    </row>
    <row r="283" spans="1:5" s="1997" customFormat="1">
      <c r="A283" s="3201"/>
      <c r="C283" s="3202"/>
      <c r="E283" s="3201"/>
    </row>
    <row r="284" spans="1:5" s="1997" customFormat="1">
      <c r="A284" s="3201"/>
      <c r="C284" s="3202"/>
      <c r="E284" s="3201"/>
    </row>
    <row r="285" spans="1:5" s="1997" customFormat="1">
      <c r="A285" s="3201"/>
      <c r="C285" s="3202"/>
      <c r="E285" s="3201"/>
    </row>
    <row r="286" spans="1:5" s="1997" customFormat="1">
      <c r="A286" s="3201"/>
      <c r="C286" s="3202"/>
      <c r="E286" s="3201"/>
    </row>
    <row r="287" spans="1:5" s="1997" customFormat="1">
      <c r="A287" s="3201"/>
      <c r="C287" s="3202"/>
      <c r="E287" s="3201"/>
    </row>
    <row r="288" spans="1:5" s="1997" customFormat="1">
      <c r="A288" s="3201"/>
      <c r="C288" s="3202"/>
      <c r="E288" s="3201"/>
    </row>
    <row r="289" spans="1:5" s="1997" customFormat="1">
      <c r="A289" s="3201"/>
      <c r="C289" s="3202"/>
      <c r="E289" s="3201"/>
    </row>
    <row r="290" spans="1:5" s="1997" customFormat="1">
      <c r="A290" s="3201"/>
      <c r="C290" s="3202"/>
      <c r="E290" s="3201"/>
    </row>
    <row r="291" spans="1:5" s="1997" customFormat="1">
      <c r="A291" s="3201"/>
      <c r="C291" s="3202"/>
      <c r="E291" s="3201"/>
    </row>
    <row r="292" spans="1:5" s="1997" customFormat="1">
      <c r="A292" s="3201"/>
      <c r="C292" s="3202"/>
      <c r="E292" s="3201"/>
    </row>
    <row r="293" spans="1:5" s="1997" customFormat="1">
      <c r="A293" s="3201"/>
      <c r="C293" s="3202"/>
      <c r="E293" s="3201"/>
    </row>
    <row r="294" spans="1:5" s="1997" customFormat="1">
      <c r="A294" s="3201"/>
      <c r="C294" s="3202"/>
      <c r="E294" s="3201"/>
    </row>
    <row r="295" spans="1:5" s="1997" customFormat="1">
      <c r="A295" s="3201"/>
      <c r="C295" s="3202"/>
      <c r="E295" s="3201"/>
    </row>
    <row r="296" spans="1:5" s="1997" customFormat="1">
      <c r="A296" s="3201"/>
      <c r="C296" s="3202"/>
      <c r="E296" s="3201"/>
    </row>
    <row r="297" spans="1:5" s="1997" customFormat="1">
      <c r="A297" s="3201"/>
      <c r="C297" s="3202"/>
      <c r="E297" s="3201"/>
    </row>
    <row r="298" spans="1:5" s="1997" customFormat="1">
      <c r="A298" s="3201"/>
      <c r="C298" s="3202"/>
      <c r="E298" s="3201"/>
    </row>
    <row r="299" spans="1:5" s="1997" customFormat="1">
      <c r="A299" s="3201"/>
      <c r="C299" s="3202"/>
      <c r="E299" s="3201"/>
    </row>
    <row r="300" spans="1:5" s="1997" customFormat="1">
      <c r="A300" s="3201"/>
      <c r="C300" s="3202"/>
      <c r="E300" s="3201"/>
    </row>
    <row r="301" spans="1:5" s="1997" customFormat="1">
      <c r="A301" s="3201"/>
      <c r="C301" s="3202"/>
      <c r="E301" s="3201"/>
    </row>
    <row r="302" spans="1:5" s="1997" customFormat="1">
      <c r="A302" s="3201"/>
      <c r="C302" s="3202"/>
      <c r="E302" s="3201"/>
    </row>
    <row r="303" spans="1:5" s="1997" customFormat="1">
      <c r="A303" s="3201"/>
      <c r="C303" s="3202"/>
      <c r="E303" s="3201"/>
    </row>
    <row r="304" spans="1:5" s="1997" customFormat="1">
      <c r="A304" s="3201"/>
      <c r="C304" s="3202"/>
      <c r="E304" s="3201"/>
    </row>
    <row r="305" spans="1:5" s="1997" customFormat="1">
      <c r="A305" s="3201"/>
      <c r="C305" s="3202"/>
      <c r="E305" s="3201"/>
    </row>
    <row r="306" spans="1:5" s="1997" customFormat="1">
      <c r="A306" s="3201"/>
      <c r="C306" s="3202"/>
      <c r="E306" s="3201"/>
    </row>
    <row r="307" spans="1:5" s="1997" customFormat="1">
      <c r="A307" s="3201"/>
      <c r="C307" s="3202"/>
      <c r="E307" s="3201"/>
    </row>
    <row r="308" spans="1:5" s="1997" customFormat="1">
      <c r="A308" s="3201"/>
      <c r="C308" s="3202"/>
      <c r="E308" s="3201"/>
    </row>
    <row r="309" spans="1:5" s="1997" customFormat="1">
      <c r="A309" s="3201"/>
      <c r="C309" s="3202"/>
      <c r="E309" s="3201"/>
    </row>
    <row r="310" spans="1:5" s="1997" customFormat="1">
      <c r="A310" s="3201"/>
      <c r="C310" s="3202"/>
      <c r="E310" s="3201"/>
    </row>
    <row r="311" spans="1:5" s="1997" customFormat="1">
      <c r="A311" s="3201"/>
      <c r="C311" s="3202"/>
      <c r="E311" s="3201"/>
    </row>
    <row r="312" spans="1:5" s="1997" customFormat="1">
      <c r="A312" s="3201"/>
      <c r="C312" s="3202"/>
      <c r="E312" s="3201"/>
    </row>
    <row r="313" spans="1:5" s="1997" customFormat="1">
      <c r="A313" s="3201"/>
      <c r="C313" s="3202"/>
      <c r="E313" s="3201"/>
    </row>
    <row r="314" spans="1:5" s="1997" customFormat="1">
      <c r="A314" s="3201"/>
      <c r="C314" s="3202"/>
      <c r="E314" s="3201"/>
    </row>
    <row r="315" spans="1:5" s="1997" customFormat="1">
      <c r="A315" s="3201"/>
      <c r="C315" s="3202"/>
      <c r="E315" s="3201"/>
    </row>
    <row r="316" spans="1:5" s="1997" customFormat="1">
      <c r="A316" s="3201"/>
      <c r="C316" s="3202"/>
      <c r="E316" s="3201"/>
    </row>
    <row r="317" spans="1:5" s="1997" customFormat="1">
      <c r="A317" s="3201"/>
      <c r="C317" s="3202"/>
      <c r="E317" s="3201"/>
    </row>
    <row r="318" spans="1:5" s="1997" customFormat="1">
      <c r="A318" s="3201"/>
      <c r="C318" s="3202"/>
      <c r="E318" s="3201"/>
    </row>
    <row r="319" spans="1:5" s="1997" customFormat="1">
      <c r="A319" s="3201"/>
      <c r="C319" s="3202"/>
      <c r="E319" s="3201"/>
    </row>
    <row r="320" spans="1:5" s="1997" customFormat="1">
      <c r="A320" s="3201"/>
      <c r="C320" s="3202"/>
      <c r="E320" s="3201"/>
    </row>
    <row r="321" spans="1:5" s="1997" customFormat="1">
      <c r="A321" s="3201"/>
      <c r="C321" s="3202"/>
      <c r="E321" s="3201"/>
    </row>
    <row r="322" spans="1:5" s="1997" customFormat="1">
      <c r="A322" s="3201"/>
      <c r="C322" s="3202"/>
      <c r="E322" s="3201"/>
    </row>
    <row r="323" spans="1:5" s="1997" customFormat="1">
      <c r="A323" s="3201"/>
      <c r="C323" s="3202"/>
      <c r="E323" s="3201"/>
    </row>
    <row r="324" spans="1:5" s="1997" customFormat="1">
      <c r="A324" s="3201"/>
      <c r="C324" s="3202"/>
      <c r="E324" s="3201"/>
    </row>
    <row r="325" spans="1:5" s="1997" customFormat="1">
      <c r="A325" s="3201"/>
      <c r="C325" s="3202"/>
      <c r="E325" s="3201"/>
    </row>
    <row r="326" spans="1:5" s="1997" customFormat="1">
      <c r="A326" s="3201"/>
      <c r="C326" s="3202"/>
      <c r="E326" s="3201"/>
    </row>
    <row r="327" spans="1:5" s="1997" customFormat="1">
      <c r="A327" s="3201"/>
      <c r="C327" s="3202"/>
      <c r="E327" s="3201"/>
    </row>
    <row r="328" spans="1:5" s="1997" customFormat="1">
      <c r="A328" s="3201"/>
      <c r="C328" s="3202"/>
      <c r="E328" s="3201"/>
    </row>
    <row r="329" spans="1:5" s="1997" customFormat="1">
      <c r="A329" s="3201"/>
      <c r="C329" s="3202"/>
      <c r="E329" s="3201"/>
    </row>
    <row r="330" spans="1:5" s="1997" customFormat="1">
      <c r="A330" s="3201"/>
      <c r="C330" s="3202"/>
      <c r="E330" s="3201"/>
    </row>
    <row r="331" spans="1:5" s="1997" customFormat="1">
      <c r="A331" s="3201"/>
      <c r="C331" s="3202"/>
      <c r="E331" s="3201"/>
    </row>
    <row r="332" spans="1:5" s="1997" customFormat="1">
      <c r="A332" s="3201"/>
      <c r="C332" s="3202"/>
      <c r="E332" s="3201"/>
    </row>
    <row r="333" spans="1:5" s="1997" customFormat="1">
      <c r="A333" s="3201"/>
      <c r="C333" s="3202"/>
      <c r="E333" s="3201"/>
    </row>
    <row r="334" spans="1:5" s="1997" customFormat="1">
      <c r="A334" s="3201"/>
      <c r="C334" s="3202"/>
      <c r="E334" s="3201"/>
    </row>
    <row r="335" spans="1:5" s="1997" customFormat="1">
      <c r="A335" s="3201"/>
      <c r="C335" s="3202"/>
      <c r="E335" s="3201"/>
    </row>
    <row r="336" spans="1:5" s="1997" customFormat="1">
      <c r="A336" s="3201"/>
      <c r="C336" s="3202"/>
      <c r="E336" s="3201"/>
    </row>
    <row r="337" spans="1:5" s="1997" customFormat="1">
      <c r="A337" s="3201"/>
      <c r="C337" s="3202"/>
      <c r="E337" s="3201"/>
    </row>
    <row r="338" spans="1:5" s="1997" customFormat="1">
      <c r="A338" s="3201"/>
      <c r="C338" s="3202"/>
      <c r="E338" s="3201"/>
    </row>
    <row r="339" spans="1:5" s="1997" customFormat="1">
      <c r="A339" s="3201"/>
      <c r="C339" s="3202"/>
      <c r="E339" s="3201"/>
    </row>
    <row r="340" spans="1:5" s="1997" customFormat="1">
      <c r="A340" s="3201"/>
      <c r="C340" s="3202"/>
      <c r="E340" s="3201"/>
    </row>
    <row r="341" spans="1:5" s="1997" customFormat="1">
      <c r="A341" s="3201"/>
      <c r="C341" s="3202"/>
      <c r="E341" s="3201"/>
    </row>
    <row r="342" spans="1:5" s="1997" customFormat="1">
      <c r="A342" s="3201"/>
      <c r="C342" s="3202"/>
      <c r="E342" s="3201"/>
    </row>
    <row r="343" spans="1:5" s="1997" customFormat="1">
      <c r="A343" s="3201"/>
      <c r="C343" s="3202"/>
      <c r="E343" s="3201"/>
    </row>
    <row r="344" spans="1:5" s="1997" customFormat="1">
      <c r="A344" s="3201"/>
      <c r="C344" s="3202"/>
      <c r="E344" s="3201"/>
    </row>
    <row r="345" spans="1:5" s="1997" customFormat="1">
      <c r="A345" s="3201"/>
      <c r="C345" s="3202"/>
      <c r="E345" s="3201"/>
    </row>
    <row r="346" spans="1:5" s="1997" customFormat="1">
      <c r="A346" s="3201"/>
      <c r="C346" s="3202"/>
      <c r="E346" s="3201"/>
    </row>
    <row r="347" spans="1:5" s="1997" customFormat="1">
      <c r="A347" s="3201"/>
      <c r="C347" s="3202"/>
      <c r="E347" s="3201"/>
    </row>
    <row r="348" spans="1:5" s="1997" customFormat="1">
      <c r="A348" s="3201"/>
      <c r="C348" s="3202"/>
      <c r="E348" s="3201"/>
    </row>
    <row r="349" spans="1:5" s="1997" customFormat="1">
      <c r="A349" s="3201"/>
      <c r="C349" s="3202"/>
      <c r="E349" s="3201"/>
    </row>
    <row r="350" spans="1:5" s="1997" customFormat="1">
      <c r="A350" s="3201"/>
      <c r="C350" s="3202"/>
      <c r="E350" s="3201"/>
    </row>
    <row r="351" spans="1:5" s="1997" customFormat="1">
      <c r="A351" s="3201"/>
      <c r="C351" s="3202"/>
      <c r="E351" s="3201"/>
    </row>
    <row r="352" spans="1:5" s="1997" customFormat="1">
      <c r="A352" s="3201"/>
      <c r="C352" s="3202"/>
      <c r="E352" s="3201"/>
    </row>
    <row r="353" spans="1:5" s="1997" customFormat="1">
      <c r="A353" s="3201"/>
      <c r="C353" s="3202"/>
      <c r="E353" s="3201"/>
    </row>
    <row r="354" spans="1:5" s="1997" customFormat="1">
      <c r="A354" s="3201"/>
      <c r="C354" s="3202"/>
      <c r="E354" s="3201"/>
    </row>
    <row r="355" spans="1:5" s="1997" customFormat="1">
      <c r="A355" s="3201"/>
      <c r="C355" s="3202"/>
      <c r="E355" s="3201"/>
    </row>
    <row r="356" spans="1:5" s="1997" customFormat="1">
      <c r="A356" s="3201"/>
      <c r="C356" s="3202"/>
      <c r="E356" s="3201"/>
    </row>
    <row r="357" spans="1:5" s="1997" customFormat="1">
      <c r="A357" s="3201"/>
      <c r="C357" s="3202"/>
      <c r="E357" s="3201"/>
    </row>
    <row r="358" spans="1:5" s="1997" customFormat="1">
      <c r="A358" s="3201"/>
      <c r="C358" s="3202"/>
      <c r="E358" s="3201"/>
    </row>
    <row r="359" spans="1:5" s="1997" customFormat="1">
      <c r="A359" s="3201"/>
      <c r="C359" s="3202"/>
      <c r="E359" s="3201"/>
    </row>
    <row r="360" spans="1:5" s="1997" customFormat="1">
      <c r="A360" s="3201"/>
      <c r="C360" s="3202"/>
      <c r="E360" s="3201"/>
    </row>
    <row r="361" spans="1:5" s="1997" customFormat="1">
      <c r="A361" s="3201"/>
      <c r="C361" s="3202"/>
      <c r="E361" s="3201"/>
    </row>
    <row r="362" spans="1:5" s="1997" customFormat="1">
      <c r="A362" s="3201"/>
      <c r="C362" s="3202"/>
      <c r="E362" s="3201"/>
    </row>
    <row r="363" spans="1:5" s="1997" customFormat="1">
      <c r="A363" s="3201"/>
      <c r="C363" s="3202"/>
      <c r="E363" s="3201"/>
    </row>
    <row r="364" spans="1:5" s="1997" customFormat="1">
      <c r="A364" s="3201"/>
      <c r="C364" s="3202"/>
      <c r="E364" s="3201"/>
    </row>
    <row r="365" spans="1:5" s="1997" customFormat="1">
      <c r="A365" s="3201"/>
      <c r="C365" s="3202"/>
      <c r="E365" s="3201"/>
    </row>
    <row r="366" spans="1:5" s="1997" customFormat="1">
      <c r="A366" s="3201"/>
      <c r="C366" s="3202"/>
      <c r="E366" s="3201"/>
    </row>
    <row r="367" spans="1:5" s="1997" customFormat="1">
      <c r="A367" s="3201"/>
      <c r="C367" s="3202"/>
      <c r="E367" s="3201"/>
    </row>
    <row r="368" spans="1:5" s="1997" customFormat="1">
      <c r="A368" s="3201"/>
      <c r="C368" s="3202"/>
      <c r="E368" s="3201"/>
    </row>
    <row r="369" spans="1:5" s="1997" customFormat="1">
      <c r="A369" s="3201"/>
      <c r="C369" s="3202"/>
      <c r="E369" s="3201"/>
    </row>
    <row r="370" spans="1:5" s="1997" customFormat="1">
      <c r="A370" s="3201"/>
      <c r="C370" s="3202"/>
      <c r="E370" s="3201"/>
    </row>
    <row r="371" spans="1:5" s="1997" customFormat="1">
      <c r="A371" s="3201"/>
      <c r="C371" s="3202"/>
      <c r="E371" s="3201"/>
    </row>
    <row r="372" spans="1:5" s="1997" customFormat="1">
      <c r="A372" s="3201"/>
      <c r="C372" s="3202"/>
      <c r="E372" s="3201"/>
    </row>
    <row r="373" spans="1:5" s="1997" customFormat="1">
      <c r="A373" s="3201"/>
      <c r="C373" s="3202"/>
      <c r="E373" s="3201"/>
    </row>
    <row r="374" spans="1:5" s="1997" customFormat="1">
      <c r="A374" s="3201"/>
      <c r="C374" s="3202"/>
      <c r="E374" s="3201"/>
    </row>
    <row r="375" spans="1:5" s="1997" customFormat="1">
      <c r="A375" s="3201"/>
      <c r="C375" s="3202"/>
      <c r="E375" s="3201"/>
    </row>
    <row r="376" spans="1:5" s="1997" customFormat="1">
      <c r="A376" s="3201"/>
      <c r="C376" s="3202"/>
      <c r="E376" s="3201"/>
    </row>
    <row r="377" spans="1:5" s="1997" customFormat="1">
      <c r="A377" s="3201"/>
      <c r="C377" s="3202"/>
      <c r="E377" s="3201"/>
    </row>
    <row r="378" spans="1:5" s="1997" customFormat="1">
      <c r="A378" s="3201"/>
      <c r="C378" s="3202"/>
      <c r="E378" s="3201"/>
    </row>
    <row r="379" spans="1:5" s="1997" customFormat="1">
      <c r="A379" s="3201"/>
      <c r="C379" s="3202"/>
      <c r="E379" s="3201"/>
    </row>
    <row r="380" spans="1:5" s="1997" customFormat="1">
      <c r="A380" s="3201"/>
      <c r="C380" s="3202"/>
      <c r="E380" s="3201"/>
    </row>
    <row r="381" spans="1:5" s="1997" customFormat="1">
      <c r="A381" s="3201"/>
      <c r="C381" s="3202"/>
      <c r="E381" s="3201"/>
    </row>
    <row r="382" spans="1:5" s="1997" customFormat="1">
      <c r="A382" s="3201"/>
      <c r="C382" s="3202"/>
      <c r="E382" s="3201"/>
    </row>
    <row r="383" spans="1:5" s="1997" customFormat="1">
      <c r="A383" s="3201"/>
      <c r="C383" s="3202"/>
      <c r="E383" s="3201"/>
    </row>
    <row r="384" spans="1:5" s="1997" customFormat="1">
      <c r="A384" s="3201"/>
      <c r="C384" s="3202"/>
      <c r="E384" s="3201"/>
    </row>
    <row r="385" spans="1:5" s="1997" customFormat="1">
      <c r="A385" s="3201"/>
      <c r="C385" s="3202"/>
      <c r="E385" s="3201"/>
    </row>
    <row r="386" spans="1:5" s="1997" customFormat="1">
      <c r="A386" s="3201"/>
      <c r="C386" s="3202"/>
      <c r="E386" s="3201"/>
    </row>
    <row r="387" spans="1:5" s="1997" customFormat="1">
      <c r="A387" s="3201"/>
      <c r="C387" s="3202"/>
      <c r="E387" s="3201"/>
    </row>
    <row r="388" spans="1:5" s="1997" customFormat="1">
      <c r="A388" s="3201"/>
      <c r="C388" s="3202"/>
      <c r="E388" s="3201"/>
    </row>
    <row r="389" spans="1:5" s="1997" customFormat="1">
      <c r="A389" s="3201"/>
      <c r="C389" s="3202"/>
      <c r="E389" s="3201"/>
    </row>
    <row r="390" spans="1:5" s="1997" customFormat="1">
      <c r="A390" s="3201"/>
      <c r="C390" s="3202"/>
      <c r="E390" s="3201"/>
    </row>
    <row r="391" spans="1:5" s="1997" customFormat="1">
      <c r="A391" s="3201"/>
      <c r="C391" s="3202"/>
      <c r="E391" s="3201"/>
    </row>
    <row r="392" spans="1:5" s="1997" customFormat="1">
      <c r="A392" s="3201"/>
      <c r="C392" s="3202"/>
      <c r="E392" s="3201"/>
    </row>
    <row r="393" spans="1:5" s="1997" customFormat="1">
      <c r="A393" s="3201"/>
      <c r="C393" s="3202"/>
      <c r="E393" s="3201"/>
    </row>
    <row r="394" spans="1:5" s="1997" customFormat="1">
      <c r="A394" s="3201"/>
      <c r="C394" s="3202"/>
      <c r="E394" s="3201"/>
    </row>
    <row r="395" spans="1:5" s="1997" customFormat="1">
      <c r="A395" s="3201"/>
      <c r="C395" s="3202"/>
      <c r="E395" s="3201"/>
    </row>
    <row r="396" spans="1:5" s="1997" customFormat="1">
      <c r="A396" s="3201"/>
      <c r="C396" s="3202"/>
      <c r="E396" s="3201"/>
    </row>
    <row r="397" spans="1:5" s="1997" customFormat="1">
      <c r="A397" s="3201"/>
      <c r="C397" s="3202"/>
      <c r="E397" s="3201"/>
    </row>
    <row r="398" spans="1:5" s="1997" customFormat="1">
      <c r="A398" s="3201"/>
      <c r="C398" s="3202"/>
      <c r="E398" s="3201"/>
    </row>
    <row r="399" spans="1:5" s="1997" customFormat="1">
      <c r="A399" s="3201"/>
      <c r="C399" s="3202"/>
      <c r="E399" s="3201"/>
    </row>
    <row r="400" spans="1:5" s="1997" customFormat="1">
      <c r="A400" s="3201"/>
      <c r="C400" s="3202"/>
      <c r="E400" s="3201"/>
    </row>
    <row r="401" spans="1:5" s="1997" customFormat="1">
      <c r="A401" s="3201"/>
      <c r="C401" s="3202"/>
      <c r="E401" s="3201"/>
    </row>
    <row r="402" spans="1:5" s="1997" customFormat="1">
      <c r="A402" s="3201"/>
      <c r="C402" s="3202"/>
      <c r="E402" s="3201"/>
    </row>
    <row r="403" spans="1:5" s="1997" customFormat="1">
      <c r="A403" s="3201"/>
      <c r="C403" s="3202"/>
      <c r="E403" s="3201"/>
    </row>
    <row r="404" spans="1:5" s="1997" customFormat="1">
      <c r="A404" s="3201"/>
      <c r="C404" s="3202"/>
      <c r="E404" s="3201"/>
    </row>
    <row r="405" spans="1:5" s="1997" customFormat="1">
      <c r="A405" s="3201"/>
      <c r="C405" s="3202"/>
      <c r="E405" s="3201"/>
    </row>
    <row r="406" spans="1:5" s="1997" customFormat="1">
      <c r="A406" s="3201"/>
      <c r="C406" s="3202"/>
      <c r="E406" s="3201"/>
    </row>
    <row r="407" spans="1:5" s="1997" customFormat="1">
      <c r="A407" s="3201"/>
      <c r="C407" s="3202"/>
      <c r="E407" s="3201"/>
    </row>
    <row r="408" spans="1:5" s="1997" customFormat="1">
      <c r="A408" s="3201"/>
      <c r="C408" s="3202"/>
      <c r="E408" s="3201"/>
    </row>
    <row r="409" spans="1:5" s="1997" customFormat="1">
      <c r="A409" s="3201"/>
      <c r="C409" s="3202"/>
      <c r="E409" s="3201"/>
    </row>
    <row r="410" spans="1:5" s="1997" customFormat="1">
      <c r="A410" s="3201"/>
      <c r="C410" s="3202"/>
      <c r="E410" s="3201"/>
    </row>
    <row r="411" spans="1:5" s="1997" customFormat="1">
      <c r="A411" s="3201"/>
      <c r="C411" s="3202"/>
      <c r="E411" s="3201"/>
    </row>
    <row r="412" spans="1:5" s="1997" customFormat="1">
      <c r="A412" s="3201"/>
      <c r="C412" s="3202"/>
      <c r="E412" s="3201"/>
    </row>
    <row r="413" spans="1:5" s="1997" customFormat="1">
      <c r="A413" s="3201"/>
      <c r="C413" s="3202"/>
      <c r="E413" s="3201"/>
    </row>
    <row r="414" spans="1:5" s="1997" customFormat="1">
      <c r="A414" s="3201"/>
      <c r="C414" s="3202"/>
      <c r="E414" s="3201"/>
    </row>
    <row r="415" spans="1:5" s="1997" customFormat="1">
      <c r="A415" s="3201"/>
      <c r="C415" s="3202"/>
      <c r="E415" s="3201"/>
    </row>
    <row r="416" spans="1:5" s="1997" customFormat="1">
      <c r="A416" s="3201"/>
      <c r="C416" s="3202"/>
      <c r="E416" s="3201"/>
    </row>
    <row r="417" spans="1:5" s="1997" customFormat="1">
      <c r="A417" s="3201"/>
      <c r="C417" s="3202"/>
      <c r="E417" s="3201"/>
    </row>
    <row r="418" spans="1:5" s="1997" customFormat="1">
      <c r="A418" s="3201"/>
      <c r="C418" s="3202"/>
      <c r="E418" s="3201"/>
    </row>
    <row r="419" spans="1:5" s="1997" customFormat="1">
      <c r="A419" s="3201"/>
      <c r="C419" s="3202"/>
      <c r="E419" s="3201"/>
    </row>
    <row r="420" spans="1:5" s="1997" customFormat="1">
      <c r="A420" s="3201"/>
      <c r="C420" s="3202"/>
      <c r="E420" s="3201"/>
    </row>
    <row r="421" spans="1:5" s="1997" customFormat="1">
      <c r="A421" s="3201"/>
      <c r="C421" s="3202"/>
      <c r="E421" s="3201"/>
    </row>
    <row r="422" spans="1:5" s="1997" customFormat="1">
      <c r="A422" s="3201"/>
      <c r="C422" s="3202"/>
      <c r="E422" s="3201"/>
    </row>
    <row r="423" spans="1:5" s="1997" customFormat="1">
      <c r="A423" s="3201"/>
      <c r="C423" s="3202"/>
      <c r="E423" s="3201"/>
    </row>
    <row r="424" spans="1:5" s="1997" customFormat="1">
      <c r="A424" s="3201"/>
      <c r="C424" s="3202"/>
      <c r="E424" s="3201"/>
    </row>
    <row r="425" spans="1:5" s="1997" customFormat="1">
      <c r="A425" s="3201"/>
      <c r="C425" s="3202"/>
      <c r="E425" s="3201"/>
    </row>
    <row r="426" spans="1:5" s="1997" customFormat="1">
      <c r="A426" s="3201"/>
      <c r="C426" s="3202"/>
      <c r="E426" s="3201"/>
    </row>
    <row r="427" spans="1:5" s="1997" customFormat="1">
      <c r="A427" s="3201"/>
      <c r="C427" s="3202"/>
      <c r="E427" s="3201"/>
    </row>
    <row r="428" spans="1:5" s="1997" customFormat="1">
      <c r="A428" s="3201"/>
      <c r="C428" s="3202"/>
      <c r="E428" s="3201"/>
    </row>
    <row r="429" spans="1:5" s="1997" customFormat="1">
      <c r="A429" s="3201"/>
      <c r="C429" s="3202"/>
      <c r="E429" s="3201"/>
    </row>
    <row r="430" spans="1:5" s="1997" customFormat="1">
      <c r="A430" s="3201"/>
      <c r="C430" s="3202"/>
      <c r="E430" s="3201"/>
    </row>
    <row r="431" spans="1:5" s="1997" customFormat="1">
      <c r="A431" s="3201"/>
      <c r="C431" s="3202"/>
      <c r="E431" s="3201"/>
    </row>
    <row r="432" spans="1:5" s="1997" customFormat="1">
      <c r="A432" s="3201"/>
      <c r="C432" s="3202"/>
      <c r="E432" s="3201"/>
    </row>
    <row r="433" spans="1:5" s="1997" customFormat="1">
      <c r="A433" s="3201"/>
      <c r="C433" s="3202"/>
      <c r="E433" s="3201"/>
    </row>
    <row r="434" spans="1:5" s="1997" customFormat="1">
      <c r="A434" s="3201"/>
      <c r="C434" s="3202"/>
      <c r="E434" s="3201"/>
    </row>
    <row r="435" spans="1:5" s="1997" customFormat="1">
      <c r="A435" s="3201"/>
      <c r="C435" s="3202"/>
      <c r="E435" s="3201"/>
    </row>
    <row r="436" spans="1:5" s="1997" customFormat="1">
      <c r="A436" s="3201"/>
      <c r="C436" s="3202"/>
      <c r="E436" s="3201"/>
    </row>
    <row r="437" spans="1:5" s="1997" customFormat="1">
      <c r="A437" s="3201"/>
      <c r="C437" s="3202"/>
      <c r="E437" s="3201"/>
    </row>
    <row r="438" spans="1:5" s="1997" customFormat="1">
      <c r="A438" s="3201"/>
      <c r="C438" s="3202"/>
      <c r="E438" s="3201"/>
    </row>
    <row r="439" spans="1:5" s="1997" customFormat="1">
      <c r="A439" s="3201"/>
      <c r="C439" s="3202"/>
      <c r="E439" s="3201"/>
    </row>
    <row r="440" spans="1:5" s="1997" customFormat="1">
      <c r="A440" s="3201"/>
      <c r="C440" s="3202"/>
      <c r="E440" s="3201"/>
    </row>
    <row r="441" spans="1:5" s="1997" customFormat="1">
      <c r="A441" s="3201"/>
      <c r="C441" s="3202"/>
      <c r="E441" s="3201"/>
    </row>
    <row r="442" spans="1:5" s="1997" customFormat="1">
      <c r="A442" s="3201"/>
      <c r="C442" s="3202"/>
      <c r="E442" s="3201"/>
    </row>
    <row r="443" spans="1:5" s="1997" customFormat="1">
      <c r="A443" s="3201"/>
      <c r="C443" s="3202"/>
      <c r="E443" s="3201"/>
    </row>
    <row r="444" spans="1:5" s="1997" customFormat="1">
      <c r="A444" s="3201"/>
      <c r="C444" s="3202"/>
      <c r="E444" s="3201"/>
    </row>
    <row r="445" spans="1:5" s="1997" customFormat="1">
      <c r="A445" s="3201"/>
      <c r="C445" s="3202"/>
      <c r="E445" s="3201"/>
    </row>
    <row r="446" spans="1:5" s="1997" customFormat="1">
      <c r="A446" s="3201"/>
      <c r="C446" s="3202"/>
      <c r="E446" s="3201"/>
    </row>
    <row r="447" spans="1:5" s="1997" customFormat="1">
      <c r="A447" s="3201"/>
      <c r="C447" s="3202"/>
      <c r="E447" s="3201"/>
    </row>
    <row r="448" spans="1:5" s="1997" customFormat="1">
      <c r="A448" s="3201"/>
      <c r="C448" s="3202"/>
      <c r="E448" s="3201"/>
    </row>
    <row r="449" spans="1:5" s="1997" customFormat="1">
      <c r="A449" s="3201"/>
      <c r="C449" s="3202"/>
      <c r="E449" s="3201"/>
    </row>
    <row r="450" spans="1:5" s="1997" customFormat="1">
      <c r="A450" s="3201"/>
      <c r="C450" s="3202"/>
      <c r="E450" s="3201"/>
    </row>
    <row r="451" spans="1:5" s="1997" customFormat="1">
      <c r="A451" s="3201"/>
      <c r="C451" s="3202"/>
      <c r="E451" s="3201"/>
    </row>
    <row r="452" spans="1:5" s="1997" customFormat="1">
      <c r="A452" s="3201"/>
      <c r="C452" s="3202"/>
      <c r="E452" s="3201"/>
    </row>
    <row r="453" spans="1:5" s="1997" customFormat="1">
      <c r="A453" s="3201"/>
      <c r="C453" s="3202"/>
      <c r="E453" s="3201"/>
    </row>
    <row r="454" spans="1:5" s="1997" customFormat="1">
      <c r="A454" s="3201"/>
      <c r="C454" s="3202"/>
      <c r="E454" s="3201"/>
    </row>
    <row r="455" spans="1:5" s="1997" customFormat="1">
      <c r="A455" s="3201"/>
      <c r="C455" s="3202"/>
      <c r="E455" s="3201"/>
    </row>
    <row r="456" spans="1:5" s="1997" customFormat="1">
      <c r="A456" s="3201"/>
      <c r="C456" s="3202"/>
      <c r="E456" s="3201"/>
    </row>
    <row r="457" spans="1:5" s="1997" customFormat="1">
      <c r="A457" s="3201"/>
      <c r="C457" s="3202"/>
      <c r="E457" s="3201"/>
    </row>
    <row r="458" spans="1:5" s="1997" customFormat="1">
      <c r="A458" s="3201"/>
      <c r="C458" s="3202"/>
      <c r="E458" s="3201"/>
    </row>
    <row r="459" spans="1:5" s="1997" customFormat="1">
      <c r="A459" s="3201"/>
      <c r="C459" s="3202"/>
      <c r="E459" s="3201"/>
    </row>
    <row r="460" spans="1:5" s="1997" customFormat="1">
      <c r="A460" s="3201"/>
      <c r="C460" s="3202"/>
      <c r="E460" s="3201"/>
    </row>
    <row r="461" spans="1:5" s="1997" customFormat="1">
      <c r="A461" s="3201"/>
      <c r="C461" s="3202"/>
      <c r="E461" s="3201"/>
    </row>
    <row r="462" spans="1:5" s="1997" customFormat="1">
      <c r="A462" s="3201"/>
      <c r="C462" s="3202"/>
      <c r="E462" s="3201"/>
    </row>
    <row r="463" spans="1:5" s="1997" customFormat="1">
      <c r="A463" s="3201"/>
      <c r="C463" s="3202"/>
      <c r="E463" s="3201"/>
    </row>
    <row r="464" spans="1:5" s="1997" customFormat="1">
      <c r="A464" s="3201"/>
      <c r="C464" s="3202"/>
      <c r="E464" s="3201"/>
    </row>
    <row r="465" spans="1:5" s="1997" customFormat="1">
      <c r="A465" s="3201"/>
      <c r="C465" s="3202"/>
      <c r="E465" s="3201"/>
    </row>
    <row r="466" spans="1:5" s="1997" customFormat="1">
      <c r="A466" s="3201"/>
      <c r="C466" s="3202"/>
      <c r="E466" s="3201"/>
    </row>
    <row r="467" spans="1:5" s="1997" customFormat="1">
      <c r="A467" s="3201"/>
      <c r="C467" s="3202"/>
      <c r="E467" s="3201"/>
    </row>
    <row r="468" spans="1:5" s="1997" customFormat="1">
      <c r="A468" s="3201"/>
      <c r="C468" s="3202"/>
      <c r="E468" s="3201"/>
    </row>
    <row r="469" spans="1:5" s="1997" customFormat="1">
      <c r="A469" s="3201"/>
      <c r="C469" s="3202"/>
      <c r="E469" s="3201"/>
    </row>
    <row r="470" spans="1:5" s="1997" customFormat="1">
      <c r="A470" s="3201"/>
      <c r="C470" s="3202"/>
      <c r="E470" s="3201"/>
    </row>
    <row r="471" spans="1:5" s="1997" customFormat="1">
      <c r="A471" s="3201"/>
      <c r="C471" s="3202"/>
      <c r="E471" s="3201"/>
    </row>
    <row r="472" spans="1:5" s="1997" customFormat="1">
      <c r="A472" s="3201"/>
      <c r="C472" s="3202"/>
      <c r="E472" s="3201"/>
    </row>
    <row r="473" spans="1:5" s="1997" customFormat="1">
      <c r="A473" s="3201"/>
      <c r="C473" s="3202"/>
      <c r="E473" s="3201"/>
    </row>
    <row r="474" spans="1:5" s="1997" customFormat="1">
      <c r="A474" s="3201"/>
      <c r="C474" s="3202"/>
      <c r="E474" s="3201"/>
    </row>
    <row r="475" spans="1:5" s="1997" customFormat="1">
      <c r="A475" s="3201"/>
      <c r="C475" s="3202"/>
      <c r="E475" s="3201"/>
    </row>
    <row r="476" spans="1:5" s="1997" customFormat="1">
      <c r="A476" s="3201"/>
      <c r="C476" s="3202"/>
      <c r="E476" s="3201"/>
    </row>
    <row r="477" spans="1:5" s="1997" customFormat="1">
      <c r="A477" s="3201"/>
      <c r="C477" s="3202"/>
      <c r="E477" s="3201"/>
    </row>
    <row r="478" spans="1:5" s="1997" customFormat="1">
      <c r="A478" s="3201"/>
      <c r="C478" s="3202"/>
      <c r="E478" s="3201"/>
    </row>
    <row r="479" spans="1:5" s="1997" customFormat="1">
      <c r="A479" s="3201"/>
      <c r="C479" s="3202"/>
      <c r="E479" s="3201"/>
    </row>
    <row r="480" spans="1:5" s="1997" customFormat="1">
      <c r="A480" s="3201"/>
      <c r="C480" s="3202"/>
      <c r="E480" s="3201"/>
    </row>
    <row r="481" spans="1:5" s="1997" customFormat="1">
      <c r="A481" s="3201"/>
      <c r="C481" s="3202"/>
      <c r="E481" s="3201"/>
    </row>
    <row r="482" spans="1:5" s="1997" customFormat="1">
      <c r="A482" s="3201"/>
      <c r="C482" s="3202"/>
      <c r="E482" s="3201"/>
    </row>
    <row r="483" spans="1:5" s="1997" customFormat="1">
      <c r="A483" s="3201"/>
      <c r="C483" s="3202"/>
      <c r="E483" s="3201"/>
    </row>
    <row r="484" spans="1:5" s="1997" customFormat="1">
      <c r="A484" s="3201"/>
      <c r="C484" s="3202"/>
      <c r="E484" s="3201"/>
    </row>
    <row r="485" spans="1:5" s="1997" customFormat="1">
      <c r="A485" s="3201"/>
      <c r="C485" s="3202"/>
      <c r="E485" s="3201"/>
    </row>
    <row r="486" spans="1:5" s="1997" customFormat="1">
      <c r="A486" s="3201"/>
      <c r="C486" s="3202"/>
      <c r="E486" s="3201"/>
    </row>
    <row r="487" spans="1:5" s="1997" customFormat="1">
      <c r="A487" s="3201"/>
      <c r="C487" s="3202"/>
      <c r="E487" s="3201"/>
    </row>
    <row r="488" spans="1:5" s="1997" customFormat="1">
      <c r="A488" s="3201"/>
      <c r="C488" s="3202"/>
      <c r="E488" s="3201"/>
    </row>
    <row r="489" spans="1:5" s="1997" customFormat="1">
      <c r="A489" s="3201"/>
      <c r="C489" s="3202"/>
      <c r="E489" s="3201"/>
    </row>
    <row r="490" spans="1:5" s="1997" customFormat="1">
      <c r="A490" s="3201"/>
      <c r="C490" s="3202"/>
      <c r="E490" s="3201"/>
    </row>
  </sheetData>
  <sheetProtection formatCells="0" formatColumns="0" formatRows="0"/>
  <phoneticPr fontId="228" type="noConversion"/>
  <dataValidations count="2">
    <dataValidation type="list" allowBlank="1" showInputMessage="1" showErrorMessage="1" sqref="G20" xr:uid="{00000000-0002-0000-2500-000000000000}">
      <formula1>"已全部缴纳,已部分缴纳"</formula1>
    </dataValidation>
    <dataValidation type="list" allowBlank="1" showInputMessage="1" showErrorMessage="1" sqref="C7:K7 B1" xr:uid="{00000000-0002-0000-2500-000001000000}">
      <formula1>项目类型</formula1>
    </dataValidation>
  </dataValidations>
  <pageMargins left="0.7" right="0.7" top="0.75" bottom="0.75" header="0.3" footer="0.3"/>
  <pageSetup paperSize="9" scale="70"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1890</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受贵公司委托，我公司对北京市出让国有建设用地使用权市场价格进行了预评估。</v>
      </c>
    </row>
    <row r="5" spans="1:4" ht="18.75">
      <c r="A5" s="1709" t="s">
        <v>1891</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32358.705平方米。根据《建设工程规划许可证》[]、《出让合同》[]，估价对象规划建筑面积为142378.302平方米。</v>
      </c>
    </row>
    <row r="7" spans="1:4" ht="93.75">
      <c r="A7" s="2590" t="s">
        <v>2723</v>
      </c>
    </row>
    <row r="8" spans="1:4" ht="18.75">
      <c r="A8" s="1709" t="s">
        <v>1892</v>
      </c>
    </row>
    <row r="9" spans="1:4" ht="75">
      <c r="A9" s="171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2010</v>
      </c>
    </row>
    <row r="11" spans="1:4" ht="18.75">
      <c r="A11" s="1695" t="str">
        <f>TEXT(项目基本情况!D3,"yyyy年m月d日;;")&amp;IF(项目基本情况!B3=项目基本情况!D3,"（评估专业人员勘察现场之日）","")</f>
        <v>2021年9月24日（评估专业人员勘察现场之日）</v>
      </c>
    </row>
    <row r="12" spans="1:4" ht="18.75">
      <c r="A12" s="1712" t="s">
        <v>2009</v>
      </c>
    </row>
    <row r="13" spans="1:4" ht="18.75">
      <c r="A13" s="1706" t="s">
        <v>2055</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2056</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2057</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根据《国有土地使用证》[]，估价对象（分摊）出让国有建设用地使用权面积为32358.705平方米。根据《建设工程规划许可证》[]、《出让合同》[]，估价对象规划建筑面积为142378.302平方米。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2058</v>
      </c>
    </row>
    <row r="23" spans="1:1" ht="18.75">
      <c r="A23" s="2592" t="s">
        <v>2724</v>
      </c>
    </row>
    <row r="24" spans="1:1" ht="18.75">
      <c r="A24" s="1706" t="s">
        <v>2059</v>
      </c>
    </row>
    <row r="25" spans="1:1" ht="75">
      <c r="A25" s="1706" t="str">
        <f>定义!C53</f>
        <v>本次估价的“出让国有建设用地使用权价格”是指在估价对象土地所有权为国家所有，使用权性质为出让，在公开市场条件下、于估价期日2021年9月24日，在规划利用条件下、设定土地开发程度为红线外“七通”、宗地内场地，设定用途为，剩余土地使用年限为的出让国有建设用地使用权价格。</v>
      </c>
    </row>
    <row r="26" spans="1:1" ht="9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2011</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2012</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76"/>
  <sheetViews>
    <sheetView view="pageBreakPreview" zoomScale="80" zoomScaleNormal="60" zoomScaleSheetLayoutView="80" workbookViewId="0">
      <selection activeCell="C30" sqref="C30:C38"/>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1711</v>
      </c>
      <c r="B1" s="730"/>
      <c r="C1" s="763" t="s">
        <v>1665</v>
      </c>
      <c r="D1" s="2797" t="s">
        <v>941</v>
      </c>
      <c r="E1" s="2242" t="s">
        <v>860</v>
      </c>
      <c r="F1" s="2243">
        <f ca="1">J53</f>
        <v>50</v>
      </c>
      <c r="G1" s="3255">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459</v>
      </c>
      <c r="B2" s="765">
        <f ca="1">C40+J29+L46</f>
        <v>159498</v>
      </c>
      <c r="C2" s="3260"/>
      <c r="D2" s="3261"/>
      <c r="E2" s="3262"/>
      <c r="F2" s="3262"/>
      <c r="G2" s="3256"/>
      <c r="H2" s="1940"/>
      <c r="I2" s="1940"/>
      <c r="J2" s="1940"/>
      <c r="K2" s="1941"/>
      <c r="L2" s="1940"/>
      <c r="M2" s="1940"/>
    </row>
    <row r="3" spans="1:33" ht="18" customHeight="1" thickBot="1">
      <c r="A3" s="822" t="s">
        <v>511</v>
      </c>
      <c r="B3" s="823">
        <f ca="1">IF(ISERROR(B2*10000/F43),0,ROUND(B2*10000/F43,0))</f>
        <v>22405</v>
      </c>
      <c r="C3" s="3260"/>
      <c r="D3" s="3261"/>
      <c r="E3" s="3262"/>
      <c r="F3" s="3262"/>
      <c r="G3" s="3256"/>
      <c r="H3" s="766" t="s">
        <v>687</v>
      </c>
      <c r="I3" s="1315"/>
      <c r="J3" s="1315"/>
      <c r="K3" s="1525"/>
      <c r="L3" s="1315"/>
      <c r="M3" s="1315"/>
    </row>
    <row r="4" spans="1:33" ht="18" customHeight="1">
      <c r="A4" s="767" t="s">
        <v>622</v>
      </c>
      <c r="B4" s="768" t="s">
        <v>623</v>
      </c>
      <c r="C4" s="768" t="s">
        <v>624</v>
      </c>
      <c r="D4" s="768" t="s">
        <v>625</v>
      </c>
      <c r="E4" s="769" t="s">
        <v>626</v>
      </c>
      <c r="F4" s="770"/>
      <c r="G4" s="1945"/>
      <c r="H4" s="767" t="s">
        <v>622</v>
      </c>
      <c r="I4" s="768" t="s">
        <v>623</v>
      </c>
      <c r="J4" s="768" t="s">
        <v>624</v>
      </c>
      <c r="K4" s="768" t="s">
        <v>625</v>
      </c>
      <c r="L4" s="769" t="s">
        <v>626</v>
      </c>
      <c r="M4" s="770"/>
    </row>
    <row r="5" spans="1:33" ht="18" customHeight="1">
      <c r="A5" s="771">
        <v>1</v>
      </c>
      <c r="B5" s="772" t="s">
        <v>2434</v>
      </c>
      <c r="C5" s="55">
        <f ca="1">C6+C10+C12</f>
        <v>7909</v>
      </c>
      <c r="D5" s="2349" t="s">
        <v>2437</v>
      </c>
      <c r="E5" s="2343"/>
      <c r="F5" s="2344"/>
      <c r="G5" s="1945"/>
      <c r="H5" s="771">
        <v>1</v>
      </c>
      <c r="I5" s="772" t="s">
        <v>2434</v>
      </c>
      <c r="J5" s="55">
        <f ca="1">J6+J10+J12</f>
        <v>0</v>
      </c>
      <c r="K5" s="2349" t="s">
        <v>2437</v>
      </c>
      <c r="L5" s="2343"/>
      <c r="M5" s="2344"/>
    </row>
    <row r="6" spans="1:33" ht="18" customHeight="1">
      <c r="A6" s="1745" t="s">
        <v>1810</v>
      </c>
      <c r="B6" s="3649" t="s">
        <v>2439</v>
      </c>
      <c r="C6" s="773">
        <f ca="1">ROUND(F6*F8*F7*(1-F9)/10000,0)</f>
        <v>7899</v>
      </c>
      <c r="D6" s="2350" t="s">
        <v>2438</v>
      </c>
      <c r="E6" s="774" t="s">
        <v>629</v>
      </c>
      <c r="F6" s="775">
        <f ca="1">INDIRECT("'数据-取费表'!u"&amp;$G$1)</f>
        <v>3.2</v>
      </c>
      <c r="G6" s="1945"/>
      <c r="H6" s="2357" t="s">
        <v>1810</v>
      </c>
      <c r="I6" s="3649" t="s">
        <v>2439</v>
      </c>
      <c r="J6" s="773">
        <f ca="1">ROUND(M6*M8*M7*(1-M9)/10000,0)</f>
        <v>0</v>
      </c>
      <c r="K6" s="339" t="s">
        <v>628</v>
      </c>
      <c r="L6" s="774" t="s">
        <v>629</v>
      </c>
      <c r="M6" s="775">
        <f ca="1">INDIRECT("'数据-取费表'!z"&amp;$G$1)</f>
        <v>0</v>
      </c>
    </row>
    <row r="7" spans="1:33" ht="18" customHeight="1">
      <c r="A7" s="2353"/>
      <c r="B7" s="3650"/>
      <c r="C7" s="778"/>
      <c r="D7" s="779"/>
      <c r="E7" s="774" t="s">
        <v>630</v>
      </c>
      <c r="F7" s="775">
        <f ca="1">IF(INDIRECT("'数据-取费表'!ah"&amp;$G$1)="",INDIRECT("'数据-取费表'!k"&amp;$G$1),INDIRECT("'数据-取费表'!ah"&amp;$G$1))</f>
        <v>71189.150999999998</v>
      </c>
      <c r="G7" s="1945"/>
      <c r="H7" s="2342"/>
      <c r="I7" s="3650"/>
      <c r="J7" s="778"/>
      <c r="K7" s="779"/>
      <c r="L7" s="774" t="s">
        <v>630</v>
      </c>
      <c r="M7" s="775">
        <f ca="1">F7</f>
        <v>71189.150999999998</v>
      </c>
    </row>
    <row r="8" spans="1:33" ht="18" customHeight="1">
      <c r="A8" s="2346"/>
      <c r="B8" s="3651"/>
      <c r="C8" s="778"/>
      <c r="D8" s="779"/>
      <c r="E8" s="774" t="s">
        <v>631</v>
      </c>
      <c r="F8" s="775">
        <f ca="1">INDIRECT("'数据-取费表'!ai"&amp;$G$1)</f>
        <v>365</v>
      </c>
      <c r="G8" s="1945"/>
      <c r="H8" s="2342"/>
      <c r="I8" s="3651"/>
      <c r="J8" s="778"/>
      <c r="K8" s="779"/>
      <c r="L8" s="774" t="s">
        <v>631</v>
      </c>
      <c r="M8" s="775">
        <f ca="1">INDIRECT("'数据-取费表'!ai"&amp;$G$1)</f>
        <v>365</v>
      </c>
    </row>
    <row r="9" spans="1:33" ht="18" customHeight="1">
      <c r="A9" s="776"/>
      <c r="B9" s="3652"/>
      <c r="C9" s="778"/>
      <c r="D9" s="779"/>
      <c r="E9" s="774" t="s">
        <v>632</v>
      </c>
      <c r="F9" s="784">
        <f ca="1">INDIRECT("'数据-取费表'!w"&amp;$G$1)</f>
        <v>0.05</v>
      </c>
      <c r="G9" s="1945"/>
      <c r="H9" s="2358"/>
      <c r="I9" s="3651"/>
      <c r="J9" s="778"/>
      <c r="K9" s="779"/>
      <c r="L9" s="785" t="s">
        <v>632</v>
      </c>
      <c r="M9" s="786">
        <f ca="1">INDIRECT("'数据-取费表'!ab"&amp;$G$1)</f>
        <v>0</v>
      </c>
    </row>
    <row r="10" spans="1:33" ht="18" customHeight="1">
      <c r="A10" s="1745" t="s">
        <v>1811</v>
      </c>
      <c r="B10" s="2347" t="s">
        <v>2435</v>
      </c>
      <c r="C10" s="789">
        <f ca="1">ROUND(IF(F10="押一",C6/12*F11,IF(F10="押二",C6/12*2*F11,IF(F10="押三",C6/12*3*F11,C11*F11))),0)</f>
        <v>10</v>
      </c>
      <c r="D10" s="2354" t="s">
        <v>2928</v>
      </c>
      <c r="E10" s="2351" t="s">
        <v>2440</v>
      </c>
      <c r="F10" s="2465" t="s">
        <v>3085</v>
      </c>
      <c r="G10" s="1945"/>
      <c r="H10" s="2414" t="s">
        <v>1811</v>
      </c>
      <c r="I10" s="2419" t="s">
        <v>2435</v>
      </c>
      <c r="J10" s="773">
        <f ca="1">ROUND(IF(M10="押一",J6/12*M11,IF(M10="押二",J6/12*2*M11,IF(M10="押三",J6/12*3*M11,J11*M11))),0)</f>
        <v>0</v>
      </c>
      <c r="K10" s="2354" t="s">
        <v>2928</v>
      </c>
      <c r="L10" s="2351" t="s">
        <v>2440</v>
      </c>
      <c r="M10" s="2465"/>
    </row>
    <row r="11" spans="1:33" ht="18" customHeight="1">
      <c r="A11" s="780"/>
      <c r="B11" s="2348" t="s">
        <v>2549</v>
      </c>
      <c r="C11" s="2352"/>
      <c r="D11" s="779"/>
      <c r="E11" s="2351" t="s">
        <v>2433</v>
      </c>
      <c r="F11" s="786">
        <f ca="1">'数据-取费表'!B39</f>
        <v>1.4999999999999999E-2</v>
      </c>
      <c r="G11" s="1945"/>
      <c r="H11" s="2415"/>
      <c r="I11" s="2348" t="s">
        <v>2549</v>
      </c>
      <c r="J11" s="2352"/>
      <c r="K11" s="2416"/>
      <c r="L11" s="2351" t="s">
        <v>2433</v>
      </c>
      <c r="M11" s="2345">
        <f ca="1">'数据-取费表'!B39</f>
        <v>1.4999999999999999E-2</v>
      </c>
    </row>
    <row r="12" spans="1:33" ht="18" customHeight="1" thickBot="1">
      <c r="A12" s="2390" t="s">
        <v>2443</v>
      </c>
      <c r="B12" s="2391" t="s">
        <v>2436</v>
      </c>
      <c r="C12" s="2392"/>
      <c r="D12" s="2393"/>
      <c r="E12" s="2394"/>
      <c r="F12" s="2395"/>
      <c r="G12" s="1945"/>
      <c r="H12" s="2404" t="s">
        <v>2443</v>
      </c>
      <c r="I12" s="2417" t="s">
        <v>2436</v>
      </c>
      <c r="J12" s="2418"/>
      <c r="K12" s="2393"/>
      <c r="L12" s="2394"/>
      <c r="M12" s="2407"/>
    </row>
    <row r="13" spans="1:33" ht="18" customHeight="1" thickTop="1">
      <c r="A13" s="1744">
        <v>2</v>
      </c>
      <c r="B13" s="1742" t="s">
        <v>636</v>
      </c>
      <c r="C13" s="782">
        <f ca="1">ROUND(C29*F13,0)</f>
        <v>46805</v>
      </c>
      <c r="D13" s="1749" t="s">
        <v>2280</v>
      </c>
      <c r="E13" s="1749" t="s">
        <v>635</v>
      </c>
      <c r="F13" s="2389">
        <f ca="1">INDIRECT("'数据-取费表'!y"&amp;$G$1)</f>
        <v>1</v>
      </c>
      <c r="G13" s="1945"/>
      <c r="H13" s="1744">
        <v>2</v>
      </c>
      <c r="I13" s="1742" t="s">
        <v>636</v>
      </c>
      <c r="J13" s="1734">
        <f ca="1">ROUND(J14*J15,0)</f>
        <v>0</v>
      </c>
      <c r="K13" s="1736" t="s">
        <v>634</v>
      </c>
      <c r="L13" s="2405"/>
      <c r="M13" s="2406"/>
    </row>
    <row r="14" spans="1:33" ht="18" customHeight="1">
      <c r="A14" s="1576" t="s">
        <v>1817</v>
      </c>
      <c r="B14" s="774" t="s">
        <v>637</v>
      </c>
      <c r="C14" s="794">
        <f ca="1">INDIRECT("'数据-取费表'!m"&amp;$G$1)+INDIRECT("'数据-取费表'!t"&amp;$G$1)</f>
        <v>29899</v>
      </c>
      <c r="D14" s="3286" t="s">
        <v>638</v>
      </c>
      <c r="E14" s="3285"/>
      <c r="F14" s="795"/>
      <c r="G14" s="1945"/>
      <c r="H14" s="1577" t="s">
        <v>1810</v>
      </c>
      <c r="I14" s="2111" t="s">
        <v>2799</v>
      </c>
      <c r="J14" s="53">
        <f ca="1">C29</f>
        <v>46805</v>
      </c>
      <c r="K14" s="26"/>
      <c r="L14" s="791"/>
      <c r="M14" s="792"/>
    </row>
    <row r="15" spans="1:33" s="1947" customFormat="1" ht="18" customHeight="1" thickBot="1">
      <c r="A15" s="1576" t="s">
        <v>1818</v>
      </c>
      <c r="B15" s="774" t="s">
        <v>639</v>
      </c>
      <c r="C15" s="53">
        <f ca="1">ROUND(C14*F15,0)</f>
        <v>897</v>
      </c>
      <c r="D15" s="796" t="s">
        <v>640</v>
      </c>
      <c r="E15" s="796" t="s">
        <v>641</v>
      </c>
      <c r="F15" s="797">
        <f>'数据-取费表'!B33</f>
        <v>0.03</v>
      </c>
      <c r="G15" s="3257"/>
      <c r="H15" s="2404" t="s">
        <v>1875</v>
      </c>
      <c r="I15" s="2399" t="s">
        <v>635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1819</v>
      </c>
      <c r="B16" s="774" t="s">
        <v>642</v>
      </c>
      <c r="C16" s="53">
        <f ca="1">ROUND(INDIRECT("'数据-取费表'!m"&amp;$G$1)*F16,0)</f>
        <v>0</v>
      </c>
      <c r="D16" s="774" t="s">
        <v>640</v>
      </c>
      <c r="E16" s="774" t="s">
        <v>641</v>
      </c>
      <c r="F16" s="799">
        <f ca="1">IF(INDIRECT("'数据-取费表'!c"&amp;$G$1)="住宅",'数据-取费表'!B34,0)</f>
        <v>0</v>
      </c>
      <c r="G16" s="1945"/>
      <c r="H16" s="1744" t="s">
        <v>7</v>
      </c>
      <c r="I16" s="1742" t="s">
        <v>643</v>
      </c>
      <c r="J16" s="782">
        <f ca="1">ROUND(J17+J22+J23+J24,0)</f>
        <v>629</v>
      </c>
      <c r="K16" s="1736" t="s">
        <v>644</v>
      </c>
      <c r="L16" s="3288"/>
      <c r="M16" s="2344"/>
    </row>
    <row r="17" spans="1:33" s="1947" customFormat="1" ht="18" customHeight="1">
      <c r="A17" s="1576" t="s">
        <v>1873</v>
      </c>
      <c r="B17" s="774" t="s">
        <v>645</v>
      </c>
      <c r="C17" s="53">
        <f ca="1">ROUND(F17*(F43+INDIRECT("'数据-取费表'!S"&amp;$G$1))/10000,0)</f>
        <v>2136</v>
      </c>
      <c r="D17" s="774" t="s">
        <v>646</v>
      </c>
      <c r="E17" s="774" t="s">
        <v>647</v>
      </c>
      <c r="F17" s="56">
        <f>'数据-取费表'!B35</f>
        <v>300</v>
      </c>
      <c r="G17" s="3257"/>
      <c r="H17" s="1577" t="s">
        <v>1810</v>
      </c>
      <c r="I17" s="774" t="s">
        <v>648</v>
      </c>
      <c r="J17" s="3018">
        <f ca="1">ROUND(IF(AND(项目基本情况!B11="自然人",项目基本情况!B10="北京市"),J6*M17/(1+'数据-取费表'!C42),J18+J19+J20),0)</f>
        <v>395</v>
      </c>
      <c r="K17" s="3286" t="s">
        <v>649</v>
      </c>
      <c r="L17" s="3287" t="s">
        <v>650</v>
      </c>
      <c r="M17" s="3017"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1874</v>
      </c>
      <c r="B18" s="774" t="s">
        <v>651</v>
      </c>
      <c r="C18" s="53">
        <f ca="1">ROUND(C14*F18,0)</f>
        <v>448</v>
      </c>
      <c r="D18" s="774" t="s">
        <v>640</v>
      </c>
      <c r="E18" s="774" t="s">
        <v>641</v>
      </c>
      <c r="F18" s="799">
        <f>'数据-取费表'!B36</f>
        <v>1.4999999999999999E-2</v>
      </c>
      <c r="G18" s="3257"/>
      <c r="H18" s="1576" t="s">
        <v>1817</v>
      </c>
      <c r="I18" s="774" t="s">
        <v>652</v>
      </c>
      <c r="J18" s="53">
        <f ca="1">ROUND(J6*M18/(1+'数据-取费表'!C42),1)</f>
        <v>0</v>
      </c>
      <c r="K18" s="3287" t="s">
        <v>653</v>
      </c>
      <c r="L18" s="774" t="s">
        <v>641</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1810</v>
      </c>
      <c r="B19" s="774" t="s">
        <v>654</v>
      </c>
      <c r="C19" s="53">
        <f ca="1">SUM(C14:C18)</f>
        <v>33380</v>
      </c>
      <c r="D19" s="259" t="s">
        <v>655</v>
      </c>
      <c r="E19" s="3293"/>
      <c r="F19" s="56"/>
      <c r="G19" s="1945"/>
      <c r="H19" s="1576" t="s">
        <v>1818</v>
      </c>
      <c r="I19" s="774" t="s">
        <v>656</v>
      </c>
      <c r="J19" s="53">
        <f ca="1">IF(K19="按租金收入计税",ROUND(J6*M19/(1+'数据-取费表'!C42),1),ROUND(C29*F33*0.7,1))</f>
        <v>393.2</v>
      </c>
      <c r="K19" s="800" t="s">
        <v>657</v>
      </c>
      <c r="L19" s="774" t="s">
        <v>641</v>
      </c>
      <c r="M19" s="799">
        <f>IF(K19="按租金收入计税",'数据-取费表'!B51,'数据-取费表'!B50)</f>
        <v>1.2E-2</v>
      </c>
    </row>
    <row r="20" spans="1:33" s="1947" customFormat="1" ht="18" customHeight="1">
      <c r="A20" s="1577" t="s">
        <v>1875</v>
      </c>
      <c r="B20" s="774" t="s">
        <v>658</v>
      </c>
      <c r="C20" s="53">
        <f ca="1">ROUND(C19*F20,0)</f>
        <v>334</v>
      </c>
      <c r="D20" s="801" t="s">
        <v>659</v>
      </c>
      <c r="E20" s="774" t="s">
        <v>641</v>
      </c>
      <c r="F20" s="799">
        <f>'数据-取费表'!B37</f>
        <v>0.01</v>
      </c>
      <c r="G20" s="3257"/>
      <c r="H20" s="1579" t="s">
        <v>1819</v>
      </c>
      <c r="I20" s="339" t="s">
        <v>660</v>
      </c>
      <c r="J20" s="54">
        <f ca="1">ROUND(M20*M21/10000,0)</f>
        <v>2</v>
      </c>
      <c r="K20" s="803" t="s">
        <v>661</v>
      </c>
      <c r="L20" s="774" t="s">
        <v>662</v>
      </c>
      <c r="M20" s="632">
        <f>'数据-取费表'!B52</f>
        <v>1.5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1876</v>
      </c>
      <c r="B21" s="774" t="s">
        <v>663</v>
      </c>
      <c r="C21" s="53" t="s">
        <v>1</v>
      </c>
      <c r="D21" s="801" t="s">
        <v>2281</v>
      </c>
      <c r="E21" s="774" t="s">
        <v>665</v>
      </c>
      <c r="F21" s="3377">
        <f>'剩余法-办'!F24</f>
        <v>0.01</v>
      </c>
      <c r="G21" s="3257"/>
      <c r="H21" s="2359"/>
      <c r="I21" s="783"/>
      <c r="J21" s="69"/>
      <c r="K21" s="805"/>
      <c r="L21" s="774" t="s">
        <v>666</v>
      </c>
      <c r="M21" s="775">
        <f ca="1">INDIRECT("'数据-取费表'!r"&amp;$G$1)</f>
        <v>16179.35</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1877</v>
      </c>
      <c r="B22" s="774" t="s">
        <v>667</v>
      </c>
      <c r="C22" s="53"/>
      <c r="D22" s="2424" t="str">
        <f>IF(F23&lt;=1,"单利计息。","复利计息。")&amp;"建造成本、管理费用、销售费用产生的利息。"</f>
        <v>复利计息。建造成本、管理费用、销售费用产生的利息。</v>
      </c>
      <c r="E22" s="3293"/>
      <c r="F22" s="56"/>
      <c r="G22" s="1945"/>
      <c r="H22" s="1577" t="s">
        <v>1875</v>
      </c>
      <c r="I22" s="774" t="s">
        <v>668</v>
      </c>
      <c r="J22" s="53">
        <f ca="1">ROUND(J14*M22,0)</f>
        <v>234</v>
      </c>
      <c r="K22" s="3287" t="s">
        <v>669</v>
      </c>
      <c r="L22" s="774" t="s">
        <v>641</v>
      </c>
      <c r="M22" s="806">
        <f ca="1">INDIRECT("'数据-取费表'!Ak"&amp;$G$1)</f>
        <v>5.0000000000000001E-3</v>
      </c>
    </row>
    <row r="23" spans="1:33" s="1947" customFormat="1" ht="18" customHeight="1">
      <c r="A23" s="1576" t="s">
        <v>1817</v>
      </c>
      <c r="B23" s="774" t="s">
        <v>2416</v>
      </c>
      <c r="C23" s="53">
        <f ca="1">ROUND(IF('数据-取费表'!B22&lt;=1,(C19+C20)*F24*F23/2,(C19+C20)*(POWER((1+F24),F23/2)-1)),0)</f>
        <v>1601</v>
      </c>
      <c r="D23" s="2423" t="str">
        <f>IF(F23&lt;=1,"(建造成本+管理费用)×利率×(建设周期÷2)","(建造成本+管理费用)×((1+利率)^(建设周期÷2)-1)")</f>
        <v>(建造成本+管理费用)×((1+利率)^(建设周期÷2)-1)</v>
      </c>
      <c r="E23" s="774" t="s">
        <v>670</v>
      </c>
      <c r="F23" s="632">
        <f>'数据-取费表'!B20</f>
        <v>2</v>
      </c>
      <c r="G23" s="3257"/>
      <c r="H23" s="1577" t="s">
        <v>1876</v>
      </c>
      <c r="I23" s="774" t="s">
        <v>671</v>
      </c>
      <c r="J23" s="53">
        <f ca="1">ROUND(J13*M23,0)</f>
        <v>0</v>
      </c>
      <c r="K23" s="3287" t="s">
        <v>672</v>
      </c>
      <c r="L23" s="774" t="s">
        <v>641</v>
      </c>
      <c r="M23" s="807">
        <f ca="1">INDIRECT("'数据-取费表'!Al"&amp;$G$1)</f>
        <v>5.0000000000000001E-4</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1818</v>
      </c>
      <c r="B24" s="774" t="s">
        <v>673</v>
      </c>
      <c r="C24" s="53">
        <f ca="1">ROUND(IF('数据-取费表'!B22&lt;=1,F21*F24*F23/2,F21*(POWER((1+F24),F23/2)-1)),4)</f>
        <v>5.0000000000000001E-4</v>
      </c>
      <c r="D24" s="2423" t="str">
        <f>IF(F23&lt;=1,"销售费用×利率×(建设周期÷2)","销售费用×((1+利率)^(建设周期÷2)-1)")</f>
        <v>销售费用×((1+利率)^(建设周期÷2)-1)</v>
      </c>
      <c r="E24" s="774" t="s">
        <v>674</v>
      </c>
      <c r="F24" s="808">
        <f ca="1">'数据-取费表'!B40</f>
        <v>4.7500000000000001E-2</v>
      </c>
      <c r="G24" s="3257"/>
      <c r="H24" s="2404" t="s">
        <v>1877</v>
      </c>
      <c r="I24" s="2399" t="s">
        <v>658</v>
      </c>
      <c r="J24" s="2397">
        <f ca="1">ROUND(J5*M24,0)</f>
        <v>0</v>
      </c>
      <c r="K24" s="2398" t="s">
        <v>675</v>
      </c>
      <c r="L24" s="2399" t="s">
        <v>641</v>
      </c>
      <c r="M24" s="2395">
        <f ca="1">INDIRECT("'数据-取费表'!Am"&amp;$G$1)</f>
        <v>5.0000000000000001E-3</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1826</v>
      </c>
      <c r="B25" s="774" t="s">
        <v>676</v>
      </c>
      <c r="C25" s="53"/>
      <c r="D25" s="259" t="s">
        <v>677</v>
      </c>
      <c r="E25" s="3293"/>
      <c r="F25" s="56"/>
      <c r="G25" s="1945"/>
      <c r="H25" s="1744" t="s">
        <v>1762</v>
      </c>
      <c r="I25" s="2722" t="s">
        <v>2796</v>
      </c>
      <c r="J25" s="782">
        <f ca="1">J5-J16</f>
        <v>-629</v>
      </c>
      <c r="K25" s="2401" t="s">
        <v>692</v>
      </c>
      <c r="L25" s="2402"/>
      <c r="M25" s="2403"/>
    </row>
    <row r="26" spans="1:33" ht="18" customHeight="1">
      <c r="A26" s="1576" t="s">
        <v>1817</v>
      </c>
      <c r="B26" s="774" t="s">
        <v>2417</v>
      </c>
      <c r="C26" s="53">
        <f ca="1">ROUND((C19+C20)*F26,0)</f>
        <v>8429</v>
      </c>
      <c r="D26" s="801" t="s">
        <v>693</v>
      </c>
      <c r="E26" s="785" t="s">
        <v>694</v>
      </c>
      <c r="F26" s="784">
        <f ca="1">INDIRECT("'数据-取费表'!q"&amp;$G$1)</f>
        <v>0.25</v>
      </c>
      <c r="G26" s="1945"/>
      <c r="H26" s="2355" t="s">
        <v>1766</v>
      </c>
      <c r="I26" s="2112" t="s">
        <v>2801</v>
      </c>
      <c r="J26" s="773">
        <f ca="1">IF(J5&lt;&gt;0,ROUND(J25*(1-((1+M28)/(1+M26))^M27)/(M26-M28),0),0)</f>
        <v>0</v>
      </c>
      <c r="K26" s="803" t="s">
        <v>696</v>
      </c>
      <c r="L26" s="774" t="s">
        <v>2399</v>
      </c>
      <c r="M26" s="784">
        <f ca="1">INDIRECT("'数据-取费表'!I"&amp;$G$1)</f>
        <v>3.5000000000000003E-2</v>
      </c>
    </row>
    <row r="27" spans="1:33" ht="18" customHeight="1">
      <c r="A27" s="1576" t="s">
        <v>1818</v>
      </c>
      <c r="B27" s="774" t="s">
        <v>678</v>
      </c>
      <c r="C27" s="53">
        <f ca="1">ROUND(F21*F26,4)</f>
        <v>2.5000000000000001E-3</v>
      </c>
      <c r="D27" s="801" t="s">
        <v>698</v>
      </c>
      <c r="E27" s="796"/>
      <c r="F27" s="797"/>
      <c r="G27" s="1945"/>
      <c r="H27" s="2356"/>
      <c r="I27" s="777"/>
      <c r="J27" s="778"/>
      <c r="K27" s="810" t="s">
        <v>699</v>
      </c>
      <c r="L27" s="774" t="s">
        <v>700</v>
      </c>
      <c r="M27" s="811">
        <f ca="1">INDIRECT("'数据-取费表'!ag"&amp;$G$1)</f>
        <v>50</v>
      </c>
    </row>
    <row r="28" spans="1:33" s="1947" customFormat="1" ht="18" customHeight="1">
      <c r="A28" s="1578" t="s">
        <v>1827</v>
      </c>
      <c r="B28" s="774" t="s">
        <v>679</v>
      </c>
      <c r="C28" s="53">
        <f>ROUND(F28/(1+'数据-取费表'!C42),4)</f>
        <v>5.2400000000000002E-2</v>
      </c>
      <c r="D28" s="801" t="s">
        <v>2282</v>
      </c>
      <c r="E28" s="774" t="s">
        <v>641</v>
      </c>
      <c r="F28" s="799">
        <f>'数据-取费表'!B41</f>
        <v>5.5000000000000007E-2</v>
      </c>
      <c r="G28" s="3257"/>
      <c r="H28" s="1744"/>
      <c r="I28" s="781"/>
      <c r="J28" s="782"/>
      <c r="K28" s="805"/>
      <c r="L28" s="774" t="s">
        <v>702</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1878</v>
      </c>
      <c r="B29" s="2394" t="s">
        <v>2283</v>
      </c>
      <c r="C29" s="2397">
        <f ca="1">ROUND((C19+C20+C23+C26)/(1-F21-C24-C27-C28),0)</f>
        <v>46805</v>
      </c>
      <c r="D29" s="2398"/>
      <c r="E29" s="2399"/>
      <c r="F29" s="2400"/>
      <c r="G29" s="3257"/>
      <c r="H29" s="812" t="s">
        <v>1773</v>
      </c>
      <c r="I29" s="813" t="s">
        <v>1774</v>
      </c>
      <c r="J29" s="814">
        <f ca="1">ROUND(J26/(1+F40)^F41,0)</f>
        <v>0</v>
      </c>
      <c r="K29" s="815" t="s">
        <v>680</v>
      </c>
      <c r="L29" s="816"/>
      <c r="M29" s="817">
        <f ca="1">INDIRECT("'数据-取费表'!k"&amp;$G$1)</f>
        <v>71189.150999999998</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7</v>
      </c>
      <c r="B30" s="1742" t="s">
        <v>643</v>
      </c>
      <c r="C30" s="782">
        <f ca="1">ROUND(C31+C36+C37+C38,0)</f>
        <v>1109</v>
      </c>
      <c r="D30" s="1736" t="s">
        <v>644</v>
      </c>
      <c r="E30" s="3288"/>
      <c r="F30" s="2344"/>
      <c r="G30" s="1945"/>
      <c r="H30" s="1948"/>
      <c r="I30" s="1949"/>
      <c r="J30" s="1950"/>
      <c r="K30" s="1951"/>
      <c r="L30" s="1952"/>
      <c r="M30" s="1953"/>
    </row>
    <row r="31" spans="1:33" ht="18" customHeight="1">
      <c r="A31" s="1577" t="s">
        <v>1810</v>
      </c>
      <c r="B31" s="774" t="s">
        <v>648</v>
      </c>
      <c r="C31" s="3018">
        <f ca="1">ROUND(IF(AND(项目基本情况!B11="自然人",项目基本情况!B10="北京市"),C6*F31/(1+'数据-取费表'!C42),C32+C33+C34),0)</f>
        <v>812</v>
      </c>
      <c r="D31" s="3286" t="s">
        <v>649</v>
      </c>
      <c r="E31" s="3287" t="s">
        <v>682</v>
      </c>
      <c r="F31" s="3017" t="str">
        <f>IF(项目基本情况!B11="企业","——",IF('数据-取费表'!B10="住宅",IF(F6*F7*F8/12/(1+'数据-取费表'!F30)&gt;100000,4%,2.5%),IF(F6*F7*F8/12/(1+'数据-取费表'!F30)&gt;100000,12%,7%)))</f>
        <v>——</v>
      </c>
      <c r="G31" s="1945"/>
      <c r="H31" s="3254" t="s">
        <v>2984</v>
      </c>
      <c r="I31" s="1949"/>
      <c r="J31" s="1950"/>
      <c r="K31" s="1951"/>
      <c r="L31" s="1952"/>
      <c r="M31" s="1953"/>
    </row>
    <row r="32" spans="1:33" ht="18" customHeight="1">
      <c r="A32" s="1576" t="s">
        <v>1817</v>
      </c>
      <c r="B32" s="774" t="s">
        <v>652</v>
      </c>
      <c r="C32" s="53">
        <f ca="1">ROUND(C6*F32/(1+'数据-取费表'!C42),1)</f>
        <v>413.8</v>
      </c>
      <c r="D32" s="3287" t="s">
        <v>653</v>
      </c>
      <c r="E32" s="774" t="s">
        <v>641</v>
      </c>
      <c r="F32" s="799">
        <f>'数据-取费表'!B41</f>
        <v>5.5000000000000007E-2</v>
      </c>
      <c r="G32" s="1945"/>
      <c r="H32" s="1954"/>
      <c r="I32" s="1955"/>
      <c r="J32" s="1956"/>
      <c r="K32" s="1957"/>
      <c r="L32" s="1958"/>
      <c r="M32" s="1959"/>
    </row>
    <row r="33" spans="1:18" ht="18" customHeight="1">
      <c r="A33" s="1576" t="s">
        <v>1818</v>
      </c>
      <c r="B33" s="774" t="s">
        <v>656</v>
      </c>
      <c r="C33" s="53">
        <f ca="1">IF(D33="按租金收入计税",ROUND(C6*F33/(1+'数据-取费表'!C42),1),IF(D33="按房产原值计税",ROUND(C29*F33*0.7,1),INDIRECT("'数据-取费表'!Aj"&amp;$G$1)))</f>
        <v>393.2</v>
      </c>
      <c r="D33" s="800" t="s">
        <v>1668</v>
      </c>
      <c r="E33" s="774" t="s">
        <v>641</v>
      </c>
      <c r="F33" s="799">
        <f>IF(D33="按租金收入计税",'数据-取费表'!B51,'数据-取费表'!B50)</f>
        <v>1.2E-2</v>
      </c>
      <c r="G33" s="1945"/>
      <c r="H33" s="1960"/>
      <c r="I33" s="1960"/>
      <c r="J33" s="1960"/>
      <c r="K33" s="1961"/>
      <c r="L33" s="1960"/>
      <c r="M33" s="1960"/>
    </row>
    <row r="34" spans="1:18" ht="18" customHeight="1">
      <c r="A34" s="1579" t="s">
        <v>1819</v>
      </c>
      <c r="B34" s="339" t="s">
        <v>660</v>
      </c>
      <c r="C34" s="54">
        <f>ROUND(F34*F35/10000,1)</f>
        <v>4.9000000000000004</v>
      </c>
      <c r="D34" s="803" t="s">
        <v>661</v>
      </c>
      <c r="E34" s="774" t="s">
        <v>662</v>
      </c>
      <c r="F34" s="632">
        <f>'数据-取费表'!B52</f>
        <v>1.5</v>
      </c>
      <c r="G34" s="1945"/>
      <c r="H34" s="1948"/>
      <c r="I34" s="824" t="s">
        <v>1799</v>
      </c>
      <c r="J34" s="825"/>
      <c r="K34" s="1963"/>
      <c r="L34" s="1962"/>
      <c r="M34" s="1962"/>
    </row>
    <row r="35" spans="1:18" ht="18" customHeight="1">
      <c r="A35" s="804"/>
      <c r="B35" s="783"/>
      <c r="C35" s="69"/>
      <c r="D35" s="805"/>
      <c r="E35" s="774" t="s">
        <v>666</v>
      </c>
      <c r="F35" s="3375">
        <f>'不动产收益法-商'!F35</f>
        <v>32358.705000000002</v>
      </c>
      <c r="G35" s="1945"/>
      <c r="H35" s="1948"/>
      <c r="I35" s="826" t="s">
        <v>1800</v>
      </c>
      <c r="J35" s="827">
        <f ca="1">ROUND(C13*J36,0)</f>
        <v>0</v>
      </c>
      <c r="K35" s="1961"/>
      <c r="L35" s="1960"/>
      <c r="M35" s="1960"/>
    </row>
    <row r="36" spans="1:18" ht="18" customHeight="1">
      <c r="A36" s="1577" t="s">
        <v>1875</v>
      </c>
      <c r="B36" s="774" t="s">
        <v>668</v>
      </c>
      <c r="C36" s="53">
        <f ca="1">ROUND(C29*F36,1)</f>
        <v>234</v>
      </c>
      <c r="D36" s="3287" t="s">
        <v>683</v>
      </c>
      <c r="E36" s="774" t="s">
        <v>641</v>
      </c>
      <c r="F36" s="806">
        <f ca="1">INDIRECT("'数据-取费表'!Ak"&amp;$G$1)</f>
        <v>5.0000000000000001E-3</v>
      </c>
      <c r="G36" s="1945"/>
      <c r="H36" s="1960"/>
      <c r="I36" s="828" t="s">
        <v>1801</v>
      </c>
      <c r="J36" s="829">
        <f ca="1">INDIRECT("'数据-取费表'!j"&amp;$G$1)</f>
        <v>0</v>
      </c>
      <c r="K36" s="1964"/>
      <c r="L36" s="1960"/>
      <c r="M36" s="1960"/>
    </row>
    <row r="37" spans="1:18" ht="18" customHeight="1">
      <c r="A37" s="1577" t="s">
        <v>1876</v>
      </c>
      <c r="B37" s="774" t="s">
        <v>671</v>
      </c>
      <c r="C37" s="53">
        <f ca="1">ROUND(C13*F37,1)</f>
        <v>23.4</v>
      </c>
      <c r="D37" s="3287" t="s">
        <v>672</v>
      </c>
      <c r="E37" s="774" t="s">
        <v>641</v>
      </c>
      <c r="F37" s="807">
        <f ca="1">INDIRECT("'数据-取费表'!Al"&amp;$G$1)</f>
        <v>5.0000000000000001E-4</v>
      </c>
      <c r="G37" s="1945"/>
      <c r="H37" s="1960"/>
      <c r="I37" s="830" t="s">
        <v>1802</v>
      </c>
      <c r="J37" s="831"/>
      <c r="K37" s="1964"/>
      <c r="L37" s="1960"/>
      <c r="M37" s="1960"/>
    </row>
    <row r="38" spans="1:18" ht="18" customHeight="1" thickBot="1">
      <c r="A38" s="2404" t="s">
        <v>1877</v>
      </c>
      <c r="B38" s="2399" t="s">
        <v>658</v>
      </c>
      <c r="C38" s="2397">
        <f ca="1">ROUND(C5*F38,1)</f>
        <v>39.5</v>
      </c>
      <c r="D38" s="2398" t="s">
        <v>675</v>
      </c>
      <c r="E38" s="2399" t="s">
        <v>641</v>
      </c>
      <c r="F38" s="2395">
        <f ca="1">INDIRECT("'数据-取费表'!Am"&amp;$G$1)</f>
        <v>5.0000000000000001E-3</v>
      </c>
      <c r="G38" s="1945"/>
      <c r="H38" s="1960"/>
      <c r="I38" s="832" t="s">
        <v>1803</v>
      </c>
      <c r="J38" s="833"/>
      <c r="K38" s="1965"/>
      <c r="L38" s="1960"/>
      <c r="M38" s="1960"/>
    </row>
    <row r="39" spans="1:18" ht="24.6" customHeight="1" thickTop="1">
      <c r="A39" s="1744" t="s">
        <v>1762</v>
      </c>
      <c r="B39" s="2722" t="s">
        <v>2796</v>
      </c>
      <c r="C39" s="782">
        <f ca="1">C5-C30</f>
        <v>6800</v>
      </c>
      <c r="D39" s="2401" t="s">
        <v>692</v>
      </c>
      <c r="E39" s="2402"/>
      <c r="F39" s="2403"/>
      <c r="G39" s="1945"/>
      <c r="H39" s="1960"/>
      <c r="I39" s="826" t="s">
        <v>1804</v>
      </c>
      <c r="J39" s="834">
        <f ca="1">ROUND(J35/C39,3)</f>
        <v>0</v>
      </c>
      <c r="K39" s="1965"/>
      <c r="L39" s="1960"/>
      <c r="M39" s="1960"/>
    </row>
    <row r="40" spans="1:18" ht="18" customHeight="1">
      <c r="A40" s="771" t="s">
        <v>1766</v>
      </c>
      <c r="B40" s="2112" t="s">
        <v>2284</v>
      </c>
      <c r="C40" s="773">
        <f ca="1">ROUND(C39*(1-((1+F42)/(1+F40))^F41)/(F40-F42),0)</f>
        <v>159498</v>
      </c>
      <c r="D40" s="803" t="s">
        <v>696</v>
      </c>
      <c r="E40" s="774" t="s">
        <v>2399</v>
      </c>
      <c r="F40" s="784">
        <f ca="1">INDIRECT("'数据-取费表'!I"&amp;$G$1)</f>
        <v>3.5000000000000003E-2</v>
      </c>
      <c r="G40" s="1945"/>
      <c r="H40" s="1945"/>
      <c r="I40" s="826" t="s">
        <v>1805</v>
      </c>
      <c r="J40" s="834">
        <f ca="1">1-J39</f>
        <v>1</v>
      </c>
      <c r="K40" s="1965"/>
      <c r="L40" s="1945"/>
      <c r="M40" s="1945"/>
    </row>
    <row r="41" spans="1:18" ht="18" customHeight="1">
      <c r="A41" s="776"/>
      <c r="B41" s="777"/>
      <c r="C41" s="778"/>
      <c r="D41" s="810" t="s">
        <v>1794</v>
      </c>
      <c r="E41" s="774" t="s">
        <v>700</v>
      </c>
      <c r="F41" s="811">
        <f ca="1">IF(INDIRECT("'数据-取费表'!af"&amp;$G$1)=0,INDIRECT("'数据-取费表'!ae"&amp;$G$1),INDIRECT("'数据-取费表'!af"&amp;$G$1))</f>
        <v>50</v>
      </c>
      <c r="G41" s="1945"/>
      <c r="H41" s="1900"/>
      <c r="I41" s="832" t="s">
        <v>1806</v>
      </c>
      <c r="J41" s="835"/>
      <c r="K41" s="1964"/>
      <c r="L41" s="1900"/>
      <c r="M41" s="1900"/>
    </row>
    <row r="42" spans="1:18" ht="18" customHeight="1">
      <c r="A42" s="780"/>
      <c r="B42" s="781"/>
      <c r="C42" s="782"/>
      <c r="D42" s="805"/>
      <c r="E42" s="774" t="s">
        <v>702</v>
      </c>
      <c r="F42" s="784">
        <f ca="1">INDIRECT("'数据-取费表'!v"&amp;$G$1)</f>
        <v>0</v>
      </c>
      <c r="G42" s="1945"/>
      <c r="H42" s="1900"/>
      <c r="I42" s="836" t="s">
        <v>1807</v>
      </c>
      <c r="J42" s="834">
        <f ca="1">ROUND(C13/C40,3)</f>
        <v>0.29299999999999998</v>
      </c>
      <c r="K42" s="1964"/>
      <c r="L42" s="1900"/>
      <c r="M42" s="1900"/>
    </row>
    <row r="43" spans="1:18" ht="18" customHeight="1" thickBot="1">
      <c r="A43" s="812" t="s">
        <v>1773</v>
      </c>
      <c r="B43" s="813" t="s">
        <v>1796</v>
      </c>
      <c r="C43" s="814">
        <f ca="1">ROUND(C40*10000/F43,0)</f>
        <v>22405</v>
      </c>
      <c r="D43" s="815" t="s">
        <v>1797</v>
      </c>
      <c r="E43" s="816" t="s">
        <v>1798</v>
      </c>
      <c r="F43" s="817">
        <f ca="1">INDIRECT("'数据-取费表'!k"&amp;$G$1)</f>
        <v>71189.150999999998</v>
      </c>
      <c r="G43" s="1945"/>
      <c r="H43" s="1900"/>
      <c r="I43" s="836" t="s">
        <v>1808</v>
      </c>
      <c r="J43" s="837">
        <f ca="1">1-J42</f>
        <v>0.70700000000000007</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2278</v>
      </c>
      <c r="B46" s="1967"/>
      <c r="C46" s="2426">
        <f ca="1">C67-C40</f>
        <v>-174861</v>
      </c>
      <c r="D46" s="3258"/>
      <c r="E46" s="3258"/>
      <c r="F46" s="3258"/>
      <c r="I46" s="2233" t="s">
        <v>2323</v>
      </c>
      <c r="J46" s="2234"/>
      <c r="K46" s="2235"/>
      <c r="L46" s="2810" t="str">
        <f ca="1">IF(OR(M47="住宅",D1="土地（套用方法）"),0,IF(L48&gt;J51,L60,J60))</f>
        <v>0</v>
      </c>
      <c r="M46" s="3259"/>
      <c r="O46" s="2249" t="s">
        <v>2390</v>
      </c>
      <c r="P46" s="1526"/>
      <c r="Q46" s="1534"/>
      <c r="R46" s="1526"/>
    </row>
    <row r="47" spans="1:18" s="1942" customFormat="1" ht="18" customHeight="1" thickBot="1">
      <c r="A47" s="2227">
        <v>1</v>
      </c>
      <c r="B47" s="2228" t="s">
        <v>627</v>
      </c>
      <c r="C47" s="2426">
        <f ca="1">C48+C52+C54</f>
        <v>0</v>
      </c>
      <c r="D47" s="3258"/>
      <c r="E47" s="3258"/>
      <c r="F47" s="3258"/>
      <c r="I47" s="2801" t="s">
        <v>2324</v>
      </c>
      <c r="J47" s="2236" t="s">
        <v>3077</v>
      </c>
      <c r="K47" s="2807" t="s">
        <v>2329</v>
      </c>
      <c r="L47" s="2811">
        <f ca="1">INDIRECT("'数据-取费表'!d"&amp;$G$1)</f>
        <v>50</v>
      </c>
      <c r="M47" s="1534" t="str">
        <f>IF(ISNUMBER(FIND("住宅",C1)),"住宅","非住宅")</f>
        <v>非住宅</v>
      </c>
      <c r="O47" s="2250" t="s">
        <v>2355</v>
      </c>
      <c r="P47" s="2251" t="s">
        <v>2356</v>
      </c>
      <c r="Q47" s="2252" t="s">
        <v>2357</v>
      </c>
      <c r="R47" s="2251" t="s">
        <v>2358</v>
      </c>
    </row>
    <row r="48" spans="1:18" s="1942" customFormat="1" ht="18" customHeight="1" thickBot="1">
      <c r="A48" s="2484" t="s">
        <v>1856</v>
      </c>
      <c r="B48" s="2485" t="s">
        <v>2514</v>
      </c>
      <c r="C48" s="2229">
        <f ca="1">ROUND(F48*F50*F49*(1-F51)/10000,0)</f>
        <v>0</v>
      </c>
      <c r="D48" s="2230" t="s">
        <v>628</v>
      </c>
      <c r="E48" s="2231" t="s">
        <v>2279</v>
      </c>
      <c r="F48" s="2232"/>
      <c r="G48" s="1972"/>
      <c r="I48" s="2798" t="s">
        <v>2325</v>
      </c>
      <c r="J48" s="2237" t="s">
        <v>2330</v>
      </c>
      <c r="K48" s="2808" t="s">
        <v>2331</v>
      </c>
      <c r="L48" s="1822">
        <f ca="1">INDIRECT("'数据-取费表'!f"&amp;$G$1)</f>
        <v>50</v>
      </c>
      <c r="M48" s="3259"/>
      <c r="O48" s="2253" t="s">
        <v>2359</v>
      </c>
      <c r="P48" s="2254" t="s">
        <v>2385</v>
      </c>
      <c r="Q48" s="2255">
        <f ca="1">C40+J29</f>
        <v>159498</v>
      </c>
      <c r="R48" s="2254" t="s">
        <v>2360</v>
      </c>
    </row>
    <row r="49" spans="1:18" s="1942" customFormat="1" ht="18" customHeight="1" thickBot="1">
      <c r="A49" s="776"/>
      <c r="B49" s="777"/>
      <c r="C49" s="778"/>
      <c r="D49" s="779"/>
      <c r="E49" s="774" t="s">
        <v>630</v>
      </c>
      <c r="F49" s="775">
        <f ca="1">F7</f>
        <v>71189.150999999998</v>
      </c>
      <c r="G49" s="1972"/>
      <c r="H49" s="1975"/>
      <c r="I49" s="2798" t="s">
        <v>2326</v>
      </c>
      <c r="J49" s="2238">
        <v>2023</v>
      </c>
      <c r="K49" s="2809" t="s">
        <v>2332</v>
      </c>
      <c r="L49" s="2239"/>
      <c r="M49" s="3259"/>
      <c r="O49" s="2253" t="s">
        <v>2361</v>
      </c>
      <c r="P49" s="2254" t="s">
        <v>2386</v>
      </c>
      <c r="Q49" s="2255" t="str">
        <f ca="1">J60</f>
        <v>0</v>
      </c>
      <c r="R49" s="2254" t="s">
        <v>2362</v>
      </c>
    </row>
    <row r="50" spans="1:18" s="1942" customFormat="1" ht="18" customHeight="1" thickBot="1">
      <c r="A50" s="776"/>
      <c r="B50" s="777"/>
      <c r="C50" s="778"/>
      <c r="D50" s="779"/>
      <c r="E50" s="774" t="s">
        <v>631</v>
      </c>
      <c r="F50" s="775">
        <f ca="1">F8</f>
        <v>365</v>
      </c>
      <c r="G50" s="1977"/>
      <c r="H50" s="1975"/>
      <c r="I50" s="2798" t="s">
        <v>2327</v>
      </c>
      <c r="J50" s="2805">
        <f>SUMPRODUCT((I63:I65=J47)*(J62:L62=J48)*(J63:L65))</f>
        <v>60</v>
      </c>
      <c r="K50" s="2809" t="s">
        <v>2333</v>
      </c>
      <c r="L50" s="2239"/>
      <c r="M50" s="3259"/>
      <c r="O50" s="2256" t="s">
        <v>2363</v>
      </c>
      <c r="P50" s="2254" t="s">
        <v>2387</v>
      </c>
      <c r="Q50" s="2255">
        <f ca="1">C29</f>
        <v>46805</v>
      </c>
      <c r="R50" s="2254" t="s">
        <v>2360</v>
      </c>
    </row>
    <row r="51" spans="1:18" s="1942" customFormat="1" ht="18" customHeight="1" thickBot="1">
      <c r="A51" s="776"/>
      <c r="B51" s="777"/>
      <c r="C51" s="778"/>
      <c r="D51" s="779"/>
      <c r="E51" s="774" t="s">
        <v>632</v>
      </c>
      <c r="F51" s="2226"/>
      <c r="H51" s="1975"/>
      <c r="I51" s="2802" t="s">
        <v>2328</v>
      </c>
      <c r="J51" s="2806">
        <f>IF(J49="",J50,J49+J50-YEAR('数据-取费表'!B2))</f>
        <v>62</v>
      </c>
      <c r="K51" s="2798" t="s">
        <v>2334</v>
      </c>
      <c r="L51" s="2812">
        <f ca="1">ROUND(-PV(INDIRECT("'数据-取费表'!h"&amp;$G$1),J51,(C39-C13*J36),0),0)</f>
        <v>190402</v>
      </c>
      <c r="M51" s="3259"/>
      <c r="O51" s="2256" t="s">
        <v>2364</v>
      </c>
      <c r="P51" s="2254" t="s">
        <v>2365</v>
      </c>
      <c r="Q51" s="2257" t="e">
        <f ca="1">J58</f>
        <v>#VALUE!</v>
      </c>
      <c r="R51" s="2258"/>
    </row>
    <row r="52" spans="1:18" s="1942" customFormat="1" ht="18" customHeight="1" thickBot="1">
      <c r="A52" s="771" t="s">
        <v>2512</v>
      </c>
      <c r="B52" s="2347" t="s">
        <v>2435</v>
      </c>
      <c r="C52" s="789">
        <f ca="1">ROUND(IF(F52="押一",C48/12*F11,IF(F52="押二",C48/12*2*F11,IF(F52="押三",C48/12*3*F11,C53*F11))),0)</f>
        <v>0</v>
      </c>
      <c r="D52" s="2354" t="s">
        <v>2928</v>
      </c>
      <c r="E52" s="2351" t="s">
        <v>2440</v>
      </c>
      <c r="F52" s="2465"/>
      <c r="I52" s="2803" t="s">
        <v>2401</v>
      </c>
      <c r="J52" s="2240"/>
      <c r="K52" s="2803" t="s">
        <v>2400</v>
      </c>
      <c r="L52" s="2240"/>
      <c r="M52" s="3259"/>
      <c r="O52" s="2256" t="s">
        <v>2366</v>
      </c>
      <c r="P52" s="2254" t="s">
        <v>2367</v>
      </c>
      <c r="Q52" s="2257">
        <f>J52</f>
        <v>0</v>
      </c>
      <c r="R52" s="2258"/>
    </row>
    <row r="53" spans="1:18" s="1942" customFormat="1" ht="39.75" customHeight="1" thickBot="1">
      <c r="A53" s="776"/>
      <c r="B53" s="2348" t="s">
        <v>2549</v>
      </c>
      <c r="C53" s="2352"/>
      <c r="D53" s="2354"/>
      <c r="E53" s="2351"/>
      <c r="F53" s="790"/>
      <c r="I53" s="2804" t="s">
        <v>2932</v>
      </c>
      <c r="J53" s="2857">
        <f ca="1">IF(M47="住宅",IF(D1="——",MAX(J51,L48),MAX(J51,L48-'数据-取费表'!B20)),IF(D1="——",MIN(J51,L48),MIN(J51,L48-'数据-取费表'!B20)))</f>
        <v>50</v>
      </c>
      <c r="K53" s="3655" t="s">
        <v>2921</v>
      </c>
      <c r="L53" s="3656"/>
      <c r="M53" s="3259"/>
      <c r="O53" s="2256" t="s">
        <v>2368</v>
      </c>
      <c r="P53" s="2254" t="s">
        <v>2369</v>
      </c>
      <c r="Q53" s="2255">
        <f ca="1">J53</f>
        <v>50</v>
      </c>
      <c r="R53" s="2254" t="s">
        <v>2370</v>
      </c>
    </row>
    <row r="54" spans="1:18" s="1942" customFormat="1" ht="18" customHeight="1" thickBot="1">
      <c r="A54" s="2390" t="s">
        <v>2443</v>
      </c>
      <c r="B54" s="2391" t="s">
        <v>2436</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59"/>
      <c r="O54" s="2253" t="s">
        <v>2371</v>
      </c>
      <c r="P54" s="2254" t="s">
        <v>2388</v>
      </c>
      <c r="Q54" s="2255">
        <f ca="1">Q48+Q49</f>
        <v>159498</v>
      </c>
      <c r="R54" s="2258" t="s">
        <v>2372</v>
      </c>
    </row>
    <row r="55" spans="1:18" s="1942" customFormat="1" ht="18" customHeight="1" thickTop="1" thickBot="1">
      <c r="A55" s="787">
        <v>2</v>
      </c>
      <c r="B55" s="788" t="s">
        <v>636</v>
      </c>
      <c r="C55" s="789">
        <f ca="1">C13</f>
        <v>46805</v>
      </c>
      <c r="D55" s="785"/>
      <c r="E55" s="785"/>
      <c r="F55" s="790"/>
      <c r="I55" s="2815" t="s">
        <v>2335</v>
      </c>
      <c r="J55" s="2787" t="e">
        <f ca="1">ROUND(IF(J47="钢混",J57/J50,1-(1-2%)*(J50-J57)/J50),3)</f>
        <v>#VALUE!</v>
      </c>
      <c r="K55" s="2816" t="s">
        <v>2336</v>
      </c>
      <c r="L55" s="2241"/>
      <c r="M55" s="3259"/>
      <c r="O55" s="2259" t="s">
        <v>2391</v>
      </c>
      <c r="P55" s="1526"/>
      <c r="Q55" s="1534"/>
      <c r="R55" s="1526"/>
    </row>
    <row r="56" spans="1:18" s="1942" customFormat="1" ht="42.75" customHeight="1" thickBot="1">
      <c r="A56" s="1578"/>
      <c r="B56" s="2111" t="s">
        <v>2283</v>
      </c>
      <c r="C56" s="53">
        <f ca="1">C29</f>
        <v>46805</v>
      </c>
      <c r="D56" s="3287"/>
      <c r="E56" s="774"/>
      <c r="F56" s="799"/>
      <c r="I56" s="2817" t="s">
        <v>2337</v>
      </c>
      <c r="J56" s="2827" t="s">
        <v>1666</v>
      </c>
      <c r="K56" s="2798" t="s">
        <v>2342</v>
      </c>
      <c r="L56" s="1822" t="str">
        <f ca="1">IF(L48&lt;J51,"——",L48-J51)</f>
        <v>——</v>
      </c>
      <c r="M56" s="3259"/>
      <c r="O56" s="2250" t="s">
        <v>2355</v>
      </c>
      <c r="P56" s="2251" t="s">
        <v>2356</v>
      </c>
      <c r="Q56" s="2252" t="s">
        <v>2357</v>
      </c>
      <c r="R56" s="2251" t="s">
        <v>2358</v>
      </c>
    </row>
    <row r="57" spans="1:18" s="1942" customFormat="1" ht="28.5" customHeight="1" thickBot="1">
      <c r="A57" s="787" t="s">
        <v>7</v>
      </c>
      <c r="B57" s="788" t="s">
        <v>643</v>
      </c>
      <c r="C57" s="789">
        <f ca="1">ROUND(C58+C63+C64+C65,0)</f>
        <v>655</v>
      </c>
      <c r="D57" s="26" t="s">
        <v>644</v>
      </c>
      <c r="E57" s="3293"/>
      <c r="F57" s="56"/>
      <c r="I57" s="2818" t="s">
        <v>2338</v>
      </c>
      <c r="J57" s="2819" t="str">
        <f ca="1">IF(OR(M47="住宅",J51&lt;L48,J56="是"),"——",J51-L48)</f>
        <v>——</v>
      </c>
      <c r="K57" s="2798" t="s">
        <v>2343</v>
      </c>
      <c r="L57" s="1822" t="str">
        <f ca="1">IF(L48&lt;J51,"——",IF(L55="比较法",L49,IF(L55="基准地价",L50,L51)))</f>
        <v>——</v>
      </c>
      <c r="M57" s="3259"/>
      <c r="O57" s="2253" t="s">
        <v>2359</v>
      </c>
      <c r="P57" s="2254" t="s">
        <v>2385</v>
      </c>
      <c r="Q57" s="2255">
        <f ca="1">C40+J29</f>
        <v>159498</v>
      </c>
      <c r="R57" s="2254" t="s">
        <v>2360</v>
      </c>
    </row>
    <row r="58" spans="1:18" s="1942" customFormat="1" ht="28.5" customHeight="1" thickBot="1">
      <c r="A58" s="1577" t="s">
        <v>1810</v>
      </c>
      <c r="B58" s="774" t="s">
        <v>648</v>
      </c>
      <c r="C58" s="3018">
        <f ca="1">ROUND(IF(AND(项目基本情况!B11="自然人",项目基本情况!B10="北京市"),C48*F58/(1+'数据-取费表'!C42),C59+C60+C61),0)</f>
        <v>398</v>
      </c>
      <c r="D58" s="3286" t="s">
        <v>649</v>
      </c>
      <c r="E58" s="3287" t="s">
        <v>682</v>
      </c>
      <c r="F58" s="3017" t="str">
        <f>IF(项目基本情况!B11="企业","——",IF('数据-取费表'!B10="住宅",IF(F48*F49*F50/12/(1+'数据-取费表'!F30)&gt;100000,4%,2.5%),IF(F48*F49*F50/12/(1+'数据-取费表'!F30)&gt;100000,12%,7%)))</f>
        <v>——</v>
      </c>
      <c r="I58" s="2818" t="s">
        <v>2339</v>
      </c>
      <c r="J58" s="2788" t="e">
        <f ca="1">IF(J55&lt;0.4,0.4,J55)</f>
        <v>#VALUE!</v>
      </c>
      <c r="K58" s="2798" t="s">
        <v>2344</v>
      </c>
      <c r="L58" s="1822" t="e">
        <f ca="1">ROUND(POWER(1+L52,L47-L48)*(POWER(1+L52,L48)-1)/(POWER(1+L52,L47)-1),4)</f>
        <v>#DIV/0!</v>
      </c>
      <c r="M58" s="3259"/>
      <c r="O58" s="2253" t="s">
        <v>2361</v>
      </c>
      <c r="P58" s="2254" t="s">
        <v>2392</v>
      </c>
      <c r="Q58" s="2255">
        <f ca="1">L60</f>
        <v>0</v>
      </c>
      <c r="R58" s="2258" t="s">
        <v>2394</v>
      </c>
    </row>
    <row r="59" spans="1:18" s="1942" customFormat="1" ht="28.5" customHeight="1" thickBot="1">
      <c r="A59" s="1576" t="s">
        <v>1817</v>
      </c>
      <c r="B59" s="774" t="s">
        <v>652</v>
      </c>
      <c r="C59" s="53">
        <f ca="1">ROUND(C47*F59/1.05,1)</f>
        <v>0</v>
      </c>
      <c r="D59" s="3287" t="s">
        <v>653</v>
      </c>
      <c r="E59" s="774" t="s">
        <v>641</v>
      </c>
      <c r="F59" s="799">
        <f t="shared" ref="F59:F65" si="0">F32</f>
        <v>5.5000000000000007E-2</v>
      </c>
      <c r="I59" s="2818" t="s">
        <v>2340</v>
      </c>
      <c r="J59" s="2819" t="str">
        <f ca="1">IF(OR(M47="住宅",J51&lt;L48,J56="是"),"——",ROUND(C29*J58,0))</f>
        <v>——</v>
      </c>
      <c r="K59" s="2798"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59"/>
      <c r="O59" s="2256" t="s">
        <v>2363</v>
      </c>
      <c r="P59" s="2254" t="s">
        <v>2393</v>
      </c>
      <c r="Q59" s="2255">
        <f>IF(L55="比较法",L49,IF(L55="基准地价",L50,0))</f>
        <v>0</v>
      </c>
      <c r="R59" s="2254" t="s">
        <v>2360</v>
      </c>
    </row>
    <row r="60" spans="1:18" s="1942" customFormat="1" ht="18" customHeight="1" thickBot="1">
      <c r="A60" s="1576" t="s">
        <v>1818</v>
      </c>
      <c r="B60" s="774" t="s">
        <v>656</v>
      </c>
      <c r="C60" s="53">
        <f ca="1">IF(D60="按租金收入计税",ROUND(C48*F60/(1+'数据-取费表'!C42),1),IF(D60="按房产原值计税",ROUND(C56*F60*0.7,1),INDIRECT("'数据-取费表'!Aj"&amp;$G$1)))</f>
        <v>393.2</v>
      </c>
      <c r="D60" s="3287" t="str">
        <f>D33</f>
        <v>按房产原值计税</v>
      </c>
      <c r="E60" s="774" t="s">
        <v>641</v>
      </c>
      <c r="F60" s="799">
        <f t="shared" si="0"/>
        <v>1.2E-2</v>
      </c>
      <c r="I60" s="2820" t="s">
        <v>2341</v>
      </c>
      <c r="J60" s="2821" t="str">
        <f ca="1">IF(OR(M47="住宅",J51&lt;L48,J56="是"),"0",ROUND(J59/(1+J52)^J53,0))</f>
        <v>0</v>
      </c>
      <c r="K60" s="2822" t="s">
        <v>2346</v>
      </c>
      <c r="L60" s="2821">
        <f ca="1">IF(OR(M47="住宅",L48&lt;J51),0,ROUND(L57*(L58/L59-1),0))</f>
        <v>0</v>
      </c>
      <c r="M60" s="3259"/>
      <c r="O60" s="2256" t="s">
        <v>2364</v>
      </c>
      <c r="P60" s="2254" t="s">
        <v>2373</v>
      </c>
      <c r="Q60" s="2257">
        <f>L52</f>
        <v>0</v>
      </c>
      <c r="R60" s="2258"/>
    </row>
    <row r="61" spans="1:18" s="1942" customFormat="1" ht="18" customHeight="1" thickBot="1">
      <c r="A61" s="1579" t="s">
        <v>1819</v>
      </c>
      <c r="B61" s="339" t="s">
        <v>660</v>
      </c>
      <c r="C61" s="54">
        <f>ROUND(F61*F62/10000,1)</f>
        <v>4.9000000000000004</v>
      </c>
      <c r="D61" s="803" t="s">
        <v>661</v>
      </c>
      <c r="E61" s="774" t="s">
        <v>662</v>
      </c>
      <c r="F61" s="632">
        <f t="shared" si="0"/>
        <v>1.5</v>
      </c>
      <c r="K61" s="1968"/>
      <c r="O61" s="2256" t="s">
        <v>2366</v>
      </c>
      <c r="P61" s="2254" t="s">
        <v>2374</v>
      </c>
      <c r="Q61" s="2255" t="e">
        <f ca="1">L58</f>
        <v>#DIV/0!</v>
      </c>
      <c r="R61" s="2258" t="s">
        <v>2375</v>
      </c>
    </row>
    <row r="62" spans="1:18" s="1942" customFormat="1" ht="15.75" thickBot="1">
      <c r="A62" s="804"/>
      <c r="B62" s="783"/>
      <c r="C62" s="69"/>
      <c r="D62" s="805"/>
      <c r="E62" s="774" t="s">
        <v>666</v>
      </c>
      <c r="F62" s="775">
        <f t="shared" si="0"/>
        <v>32358.705000000002</v>
      </c>
      <c r="I62" s="2823" t="s">
        <v>2347</v>
      </c>
      <c r="J62" s="2824" t="s">
        <v>2348</v>
      </c>
      <c r="K62" s="2824" t="s">
        <v>2349</v>
      </c>
      <c r="L62" s="2824" t="s">
        <v>2330</v>
      </c>
      <c r="M62" s="2825" t="s">
        <v>2900</v>
      </c>
      <c r="O62" s="2256" t="s">
        <v>2368</v>
      </c>
      <c r="P62" s="2254" t="str">
        <f>K59</f>
        <v>建筑物剩余耐用年限下的土地年期修正系数Kn</v>
      </c>
      <c r="Q62" s="2255" t="e">
        <f ca="1">L59</f>
        <v>#DIV/0!</v>
      </c>
      <c r="R62" s="2258" t="s">
        <v>2377</v>
      </c>
    </row>
    <row r="63" spans="1:18" s="1942" customFormat="1" ht="15.75" thickBot="1">
      <c r="A63" s="1577" t="s">
        <v>1875</v>
      </c>
      <c r="B63" s="774" t="s">
        <v>668</v>
      </c>
      <c r="C63" s="53">
        <f ca="1">ROUND(C56*F63,1)</f>
        <v>234</v>
      </c>
      <c r="D63" s="3287" t="s">
        <v>683</v>
      </c>
      <c r="E63" s="774" t="s">
        <v>641</v>
      </c>
      <c r="F63" s="806">
        <f t="shared" ca="1" si="0"/>
        <v>5.0000000000000001E-3</v>
      </c>
      <c r="I63" s="2823" t="s">
        <v>2350</v>
      </c>
      <c r="J63" s="2824">
        <v>70</v>
      </c>
      <c r="K63" s="2824">
        <v>50</v>
      </c>
      <c r="L63" s="2824">
        <v>80</v>
      </c>
      <c r="M63" s="2826">
        <v>0.02</v>
      </c>
      <c r="O63" s="2253" t="s">
        <v>2371</v>
      </c>
      <c r="P63" s="2254" t="s">
        <v>2388</v>
      </c>
      <c r="Q63" s="2255">
        <f ca="1">Q57+Q58</f>
        <v>159498</v>
      </c>
      <c r="R63" s="2258" t="s">
        <v>2372</v>
      </c>
    </row>
    <row r="64" spans="1:18" s="1942" customFormat="1" ht="16.5" thickBot="1">
      <c r="A64" s="1577" t="s">
        <v>1876</v>
      </c>
      <c r="B64" s="774" t="s">
        <v>671</v>
      </c>
      <c r="C64" s="53">
        <f ca="1">ROUND(C55*F64,1)</f>
        <v>23.4</v>
      </c>
      <c r="D64" s="3287" t="s">
        <v>672</v>
      </c>
      <c r="E64" s="774" t="s">
        <v>641</v>
      </c>
      <c r="F64" s="807">
        <f t="shared" ca="1" si="0"/>
        <v>5.0000000000000001E-4</v>
      </c>
      <c r="I64" s="2823" t="s">
        <v>2351</v>
      </c>
      <c r="J64" s="2824">
        <v>50</v>
      </c>
      <c r="K64" s="2824">
        <v>35</v>
      </c>
      <c r="L64" s="2824">
        <v>60</v>
      </c>
      <c r="M64" s="835">
        <v>0</v>
      </c>
      <c r="O64" s="2259" t="s">
        <v>2395</v>
      </c>
      <c r="P64" s="1526"/>
      <c r="Q64" s="1534"/>
      <c r="R64" s="1526"/>
    </row>
    <row r="65" spans="1:18" s="1942" customFormat="1" ht="15.75" thickBot="1">
      <c r="A65" s="1577" t="s">
        <v>1877</v>
      </c>
      <c r="B65" s="774" t="s">
        <v>658</v>
      </c>
      <c r="C65" s="53">
        <f ca="1">ROUND(C47*F65,1)</f>
        <v>0</v>
      </c>
      <c r="D65" s="3287" t="s">
        <v>675</v>
      </c>
      <c r="E65" s="774" t="s">
        <v>641</v>
      </c>
      <c r="F65" s="784">
        <f t="shared" ca="1" si="0"/>
        <v>5.0000000000000001E-3</v>
      </c>
      <c r="I65" s="2823" t="s">
        <v>2352</v>
      </c>
      <c r="J65" s="2824">
        <v>40</v>
      </c>
      <c r="K65" s="2824">
        <v>30</v>
      </c>
      <c r="L65" s="2824">
        <v>50</v>
      </c>
      <c r="M65" s="2826">
        <v>0.02</v>
      </c>
      <c r="O65" s="2250" t="s">
        <v>2355</v>
      </c>
      <c r="P65" s="2251" t="s">
        <v>2356</v>
      </c>
      <c r="Q65" s="2252" t="s">
        <v>2357</v>
      </c>
      <c r="R65" s="2251" t="s">
        <v>2358</v>
      </c>
    </row>
    <row r="66" spans="1:18" s="1942" customFormat="1" ht="24.75" thickBot="1">
      <c r="A66" s="787" t="s">
        <v>1762</v>
      </c>
      <c r="B66" s="2723" t="s">
        <v>2796</v>
      </c>
      <c r="C66" s="789">
        <f ca="1">C47-C57</f>
        <v>-655</v>
      </c>
      <c r="D66" s="3286" t="s">
        <v>692</v>
      </c>
      <c r="E66" s="3284"/>
      <c r="F66" s="809"/>
      <c r="K66" s="1968"/>
      <c r="O66" s="2253" t="s">
        <v>2359</v>
      </c>
      <c r="P66" s="2254" t="s">
        <v>2385</v>
      </c>
      <c r="Q66" s="2255">
        <f ca="1">C40+J29</f>
        <v>159498</v>
      </c>
      <c r="R66" s="2254" t="s">
        <v>2360</v>
      </c>
    </row>
    <row r="67" spans="1:18" s="1942" customFormat="1" ht="20.25" thickBot="1">
      <c r="A67" s="771" t="s">
        <v>1766</v>
      </c>
      <c r="B67" s="2112" t="s">
        <v>2284</v>
      </c>
      <c r="C67" s="773">
        <f ca="1">ROUND(C66*(1-((1+F69)/(1+F67))^F68)/(F67-F69),0)</f>
        <v>-15363</v>
      </c>
      <c r="D67" s="803" t="s">
        <v>696</v>
      </c>
      <c r="E67" s="774" t="s">
        <v>697</v>
      </c>
      <c r="F67" s="784">
        <f ca="1">F40</f>
        <v>3.5000000000000003E-2</v>
      </c>
      <c r="K67" s="1968"/>
      <c r="O67" s="2253" t="s">
        <v>2361</v>
      </c>
      <c r="P67" s="2254" t="s">
        <v>2392</v>
      </c>
      <c r="Q67" s="2255">
        <f ca="1">L60</f>
        <v>0</v>
      </c>
      <c r="R67" s="2258" t="s">
        <v>2394</v>
      </c>
    </row>
    <row r="68" spans="1:18" ht="21.75" thickBot="1">
      <c r="A68" s="776"/>
      <c r="B68" s="777"/>
      <c r="C68" s="778"/>
      <c r="D68" s="810" t="s">
        <v>1794</v>
      </c>
      <c r="E68" s="774" t="s">
        <v>700</v>
      </c>
      <c r="F68" s="811">
        <f ca="1">F41</f>
        <v>50</v>
      </c>
      <c r="O68" s="2256" t="s">
        <v>2363</v>
      </c>
      <c r="P68" s="2254" t="s">
        <v>2393</v>
      </c>
      <c r="Q68" s="2260">
        <f ca="1">L51</f>
        <v>190402</v>
      </c>
      <c r="R68" s="2261" t="s">
        <v>2396</v>
      </c>
    </row>
    <row r="69" spans="1:18" ht="20.25" thickBot="1">
      <c r="A69" s="780"/>
      <c r="B69" s="781"/>
      <c r="C69" s="782"/>
      <c r="D69" s="805"/>
      <c r="E69" s="774" t="s">
        <v>702</v>
      </c>
      <c r="F69" s="2226"/>
      <c r="O69" s="2256" t="s">
        <v>2364</v>
      </c>
      <c r="P69" s="2262" t="s">
        <v>2378</v>
      </c>
      <c r="Q69" s="2255">
        <f ca="1">ROUND(Q70-Q71*Q72,0)</f>
        <v>6800</v>
      </c>
      <c r="R69" s="2258"/>
    </row>
    <row r="70" spans="1:18" ht="15.75" thickBot="1">
      <c r="A70" s="812" t="s">
        <v>1773</v>
      </c>
      <c r="B70" s="813" t="s">
        <v>1796</v>
      </c>
      <c r="C70" s="814">
        <f ca="1">ROUND(C67*10000/F70,0)</f>
        <v>-2158</v>
      </c>
      <c r="D70" s="815" t="s">
        <v>1797</v>
      </c>
      <c r="E70" s="816" t="s">
        <v>1798</v>
      </c>
      <c r="F70" s="817">
        <f ca="1">F43</f>
        <v>71189.150999999998</v>
      </c>
      <c r="O70" s="2256" t="s">
        <v>2379</v>
      </c>
      <c r="P70" s="2262" t="s">
        <v>2380</v>
      </c>
      <c r="Q70" s="2255">
        <f ca="1">C39</f>
        <v>6800</v>
      </c>
      <c r="R70" s="2254" t="s">
        <v>2360</v>
      </c>
    </row>
    <row r="71" spans="1:18" ht="15.75" thickBot="1">
      <c r="O71" s="2256" t="s">
        <v>2381</v>
      </c>
      <c r="P71" s="2262" t="s">
        <v>2382</v>
      </c>
      <c r="Q71" s="2255">
        <f ca="1">C13</f>
        <v>46805</v>
      </c>
      <c r="R71" s="2254" t="s">
        <v>2360</v>
      </c>
    </row>
    <row r="72" spans="1:18" ht="15.75" thickBot="1">
      <c r="O72" s="2256" t="s">
        <v>2383</v>
      </c>
      <c r="P72" s="2262" t="s">
        <v>2384</v>
      </c>
      <c r="Q72" s="2257">
        <f ca="1">J36</f>
        <v>0</v>
      </c>
      <c r="R72" s="2258"/>
    </row>
    <row r="73" spans="1:18" ht="15.75" thickBot="1">
      <c r="O73" s="2256" t="s">
        <v>2366</v>
      </c>
      <c r="P73" s="2254" t="s">
        <v>2373</v>
      </c>
      <c r="Q73" s="2257">
        <f>L52</f>
        <v>0</v>
      </c>
      <c r="R73" s="2258"/>
    </row>
    <row r="74" spans="1:18" ht="20.25" thickBot="1">
      <c r="O74" s="2256" t="s">
        <v>2368</v>
      </c>
      <c r="P74" s="2254" t="s">
        <v>2374</v>
      </c>
      <c r="Q74" s="2255" t="e">
        <f ca="1">L58</f>
        <v>#DIV/0!</v>
      </c>
      <c r="R74" s="2258" t="s">
        <v>2375</v>
      </c>
    </row>
    <row r="75" spans="1:18" ht="15.75" thickBot="1">
      <c r="O75" s="2256" t="s">
        <v>2397</v>
      </c>
      <c r="P75" s="2254" t="str">
        <f>K59</f>
        <v>建筑物剩余耐用年限下的土地年期修正系数Kn</v>
      </c>
      <c r="Q75" s="2255" t="e">
        <f ca="1">L59</f>
        <v>#DIV/0!</v>
      </c>
      <c r="R75" s="2258" t="s">
        <v>2377</v>
      </c>
    </row>
    <row r="76" spans="1:18" ht="15.75" thickBot="1">
      <c r="O76" s="2253" t="s">
        <v>2371</v>
      </c>
      <c r="P76" s="2254" t="s">
        <v>2388</v>
      </c>
      <c r="Q76" s="2255">
        <f ca="1">Q66+Q67</f>
        <v>159498</v>
      </c>
      <c r="R76" s="2258" t="s">
        <v>2372</v>
      </c>
    </row>
  </sheetData>
  <sheetProtection formatCells="0" formatColumns="0" formatRows="0"/>
  <mergeCells count="3">
    <mergeCell ref="B6:B9"/>
    <mergeCell ref="I6:I9"/>
    <mergeCell ref="K53:L53"/>
  </mergeCells>
  <phoneticPr fontId="228" type="noConversion"/>
  <conditionalFormatting sqref="K55">
    <cfRule type="expression" dxfId="83" priority="6">
      <formula>$L$48&gt;$J$51</formula>
    </cfRule>
  </conditionalFormatting>
  <conditionalFormatting sqref="I55">
    <cfRule type="expression" dxfId="82" priority="7">
      <formula>$J$51&gt;$L$48</formula>
    </cfRule>
  </conditionalFormatting>
  <conditionalFormatting sqref="I60">
    <cfRule type="expression" dxfId="81" priority="5">
      <formula>$J$51&gt;$L$48</formula>
    </cfRule>
  </conditionalFormatting>
  <conditionalFormatting sqref="K60">
    <cfRule type="expression" dxfId="80" priority="4">
      <formula>$L$48&gt;$J$51</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3">
    <cfRule type="expression" dxfId="77" priority="1">
      <formula>$F$52="自定义"</formula>
    </cfRule>
  </conditionalFormatting>
  <dataValidations count="8">
    <dataValidation type="list" allowBlank="1" showInputMessage="1" showErrorMessage="1" sqref="D1" xr:uid="{00000000-0002-0000-2600-000000000000}">
      <formula1>"土地（套用方法）,——"</formula1>
    </dataValidation>
    <dataValidation type="list" allowBlank="1" showInputMessage="1" showErrorMessage="1" sqref="F10 M10 F52" xr:uid="{00000000-0002-0000-2600-000001000000}">
      <formula1>"押一,押二,押三,自定义"</formula1>
    </dataValidation>
    <dataValidation type="list" allowBlank="1" showInputMessage="1" showErrorMessage="1" sqref="J48" xr:uid="{00000000-0002-0000-2600-000002000000}">
      <formula1>"非生产用房,生产用房,受腐蚀的生产用房"</formula1>
    </dataValidation>
    <dataValidation type="list" allowBlank="1" showInputMessage="1" showErrorMessage="1" sqref="J47" xr:uid="{00000000-0002-0000-2600-000003000000}">
      <formula1>"钢,钢混,砖混"</formula1>
    </dataValidation>
    <dataValidation type="list" allowBlank="1" showInputMessage="1" showErrorMessage="1" sqref="J56" xr:uid="{00000000-0002-0000-2600-000004000000}">
      <formula1>判定</formula1>
    </dataValidation>
    <dataValidation type="list" allowBlank="1" showInputMessage="1" showErrorMessage="1" sqref="D33" xr:uid="{00000000-0002-0000-2600-000005000000}">
      <formula1>"按租金收入计税,按房产原值计税,按票据"</formula1>
    </dataValidation>
    <dataValidation type="list" allowBlank="1" showInputMessage="1" showErrorMessage="1" sqref="K19" xr:uid="{00000000-0002-0000-2600-000006000000}">
      <formula1>"按租金收入计税,按房产原值计税"</formula1>
    </dataValidation>
    <dataValidation type="list" allowBlank="1" showInputMessage="1" showErrorMessage="1" sqref="C1:C3" xr:uid="{00000000-0002-0000-2600-000007000000}">
      <formula1>项目类型</formula1>
    </dataValidation>
  </dataValidations>
  <pageMargins left="0.7" right="0.7" top="0.75" bottom="0.75" header="0.3" footer="0.3"/>
  <pageSetup paperSize="9" scale="62"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tabColor rgb="FF92D050"/>
    <pageSetUpPr fitToPage="1"/>
  </sheetPr>
  <dimension ref="A1:AC853"/>
  <sheetViews>
    <sheetView view="pageBreakPreview" topLeftCell="C21" zoomScale="70" zoomScaleNormal="60" zoomScaleSheetLayoutView="70" workbookViewId="0">
      <selection activeCell="K38" sqref="K38"/>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710</v>
      </c>
      <c r="B1" s="497" t="s">
        <v>769</v>
      </c>
      <c r="C1" s="498" t="s">
        <v>712</v>
      </c>
      <c r="D1" s="838" t="s">
        <v>1665</v>
      </c>
      <c r="E1" s="500"/>
      <c r="F1" s="2524"/>
      <c r="G1" s="1531" t="s">
        <v>713</v>
      </c>
      <c r="H1" s="500"/>
      <c r="I1" s="500"/>
      <c r="J1" s="500"/>
      <c r="K1" s="501"/>
      <c r="L1" s="3206"/>
      <c r="M1" s="3207"/>
      <c r="N1" s="3207"/>
      <c r="O1" s="3207"/>
      <c r="P1" s="3270"/>
      <c r="Q1" s="2014"/>
      <c r="R1" s="2014"/>
      <c r="S1" s="2014"/>
      <c r="T1" s="2014"/>
      <c r="U1" s="2014"/>
      <c r="V1" s="2014"/>
      <c r="W1" s="2014"/>
      <c r="X1" s="2014"/>
      <c r="Y1" s="2014"/>
      <c r="Z1" s="2014"/>
      <c r="AA1" s="2014"/>
      <c r="AB1" s="2014"/>
      <c r="AC1" s="3208"/>
    </row>
    <row r="2" spans="1:29" s="1289" customFormat="1" ht="28.5" customHeight="1">
      <c r="A2" s="417" t="s">
        <v>459</v>
      </c>
      <c r="B2" s="839">
        <f>ROUND(B3*D3/10000,0)</f>
        <v>23</v>
      </c>
      <c r="C2" s="2009"/>
      <c r="D2" s="2009"/>
      <c r="E2" s="1944"/>
      <c r="F2" s="2011"/>
      <c r="G2" s="2010"/>
      <c r="H2" s="2010"/>
      <c r="I2" s="2010"/>
      <c r="J2" s="2010"/>
      <c r="K2" s="2010"/>
      <c r="L2" s="2013"/>
      <c r="M2" s="2014"/>
      <c r="N2" s="2014"/>
      <c r="O2" s="2014"/>
      <c r="P2" s="3270"/>
      <c r="Q2" s="2014"/>
      <c r="R2" s="2014"/>
      <c r="S2" s="2014"/>
      <c r="T2" s="2014"/>
      <c r="U2" s="2014"/>
      <c r="V2" s="2014"/>
      <c r="W2" s="2014"/>
      <c r="X2" s="2014"/>
      <c r="Y2" s="2014"/>
      <c r="Z2" s="2014"/>
      <c r="AA2" s="2014"/>
      <c r="AB2" s="2014"/>
      <c r="AC2" s="3208"/>
    </row>
    <row r="3" spans="1:29" s="1289" customFormat="1" ht="28.5" customHeight="1" thickBot="1">
      <c r="A3" s="503" t="s">
        <v>511</v>
      </c>
      <c r="B3" s="504">
        <f>C50</f>
        <v>3.2</v>
      </c>
      <c r="C3" s="841" t="s">
        <v>714</v>
      </c>
      <c r="D3" s="840">
        <f>SUMIF('数据-汇总表'!$C19:$C33,D1,'数据-汇总表'!$E19:$E33)</f>
        <v>71189.150999999998</v>
      </c>
      <c r="E3" s="1944"/>
      <c r="F3" s="2011"/>
      <c r="G3" s="2010"/>
      <c r="H3" s="2010"/>
      <c r="I3" s="2010"/>
      <c r="J3" s="2010"/>
      <c r="K3" s="2012"/>
      <c r="L3" s="2013"/>
      <c r="M3" s="2014"/>
      <c r="N3" s="2014"/>
      <c r="O3" s="2014"/>
      <c r="P3" s="3270"/>
      <c r="Q3" s="2014"/>
      <c r="R3" s="2014"/>
      <c r="S3" s="2014"/>
      <c r="T3" s="2014"/>
      <c r="U3" s="2014"/>
      <c r="V3" s="2014"/>
      <c r="W3" s="2014"/>
      <c r="X3" s="2014"/>
      <c r="Y3" s="2014"/>
      <c r="Z3" s="2014"/>
      <c r="AA3" s="2014"/>
      <c r="AB3" s="2014"/>
      <c r="AC3" s="3208"/>
    </row>
    <row r="4" spans="1:29" ht="15">
      <c r="A4" s="506" t="s">
        <v>513</v>
      </c>
      <c r="B4" s="507"/>
      <c r="C4" s="3580" t="s">
        <v>514</v>
      </c>
      <c r="D4" s="3581"/>
      <c r="E4" s="3605" t="s">
        <v>515</v>
      </c>
      <c r="F4" s="3606"/>
      <c r="G4" s="3580" t="s">
        <v>516</v>
      </c>
      <c r="H4" s="3581"/>
      <c r="I4" s="3580" t="s">
        <v>517</v>
      </c>
      <c r="J4" s="3581"/>
      <c r="K4" s="508" t="s">
        <v>518</v>
      </c>
      <c r="L4" s="2015"/>
      <c r="M4" s="2016"/>
      <c r="N4" s="2016"/>
      <c r="O4" s="2016"/>
      <c r="P4" s="3681" t="s">
        <v>519</v>
      </c>
      <c r="Q4" s="3583"/>
      <c r="R4" s="3568" t="s">
        <v>515</v>
      </c>
      <c r="S4" s="3569"/>
      <c r="T4" s="3568" t="s">
        <v>516</v>
      </c>
      <c r="U4" s="3569"/>
      <c r="V4" s="3588" t="s">
        <v>517</v>
      </c>
      <c r="W4" s="3588"/>
      <c r="X4" s="1501"/>
      <c r="Y4" s="3568" t="s">
        <v>519</v>
      </c>
      <c r="Z4" s="3569"/>
      <c r="AA4" s="3563" t="s">
        <v>515</v>
      </c>
      <c r="AB4" s="3563" t="s">
        <v>516</v>
      </c>
      <c r="AC4" s="3563" t="s">
        <v>517</v>
      </c>
    </row>
    <row r="5" spans="1:29" ht="15">
      <c r="A5" s="509"/>
      <c r="B5" s="510"/>
      <c r="C5" s="3591" t="s">
        <v>2887</v>
      </c>
      <c r="D5" s="3592"/>
      <c r="E5" s="3607" t="str">
        <f>办公案例截图及地图!$A$1</f>
        <v>瑞都国际中心</v>
      </c>
      <c r="F5" s="3608"/>
      <c r="G5" s="3591" t="str">
        <f>办公案例截图及地图!$B$38</f>
        <v>金成中心</v>
      </c>
      <c r="H5" s="3592"/>
      <c r="I5" s="3591" t="str">
        <f>办公案例截图及地图!$B$68</f>
        <v>土桥PLUS</v>
      </c>
      <c r="J5" s="3592"/>
      <c r="K5" s="508"/>
      <c r="L5" s="2015"/>
      <c r="M5" s="2016"/>
      <c r="N5" s="2016"/>
      <c r="O5" s="2016"/>
      <c r="P5" s="3682"/>
      <c r="Q5" s="3585"/>
      <c r="R5" s="3570"/>
      <c r="S5" s="3571"/>
      <c r="T5" s="3570"/>
      <c r="U5" s="3571"/>
      <c r="V5" s="3588"/>
      <c r="W5" s="3588"/>
      <c r="X5" s="1501"/>
      <c r="Y5" s="3570"/>
      <c r="Z5" s="3571"/>
      <c r="AA5" s="3564"/>
      <c r="AB5" s="3564"/>
      <c r="AC5" s="3564"/>
    </row>
    <row r="6" spans="1:29" ht="15.75" thickBot="1">
      <c r="A6" s="511"/>
      <c r="B6" s="512"/>
      <c r="C6" s="3589" t="s">
        <v>2891</v>
      </c>
      <c r="D6" s="3590"/>
      <c r="E6" s="3609" t="s">
        <v>2891</v>
      </c>
      <c r="F6" s="3610"/>
      <c r="G6" s="3589" t="s">
        <v>2891</v>
      </c>
      <c r="H6" s="3590"/>
      <c r="I6" s="3589" t="s">
        <v>2891</v>
      </c>
      <c r="J6" s="3590"/>
      <c r="K6" s="508" t="s">
        <v>520</v>
      </c>
      <c r="L6" s="2015"/>
      <c r="M6" s="2016"/>
      <c r="N6" s="2016"/>
      <c r="O6" s="2016"/>
      <c r="P6" s="3683"/>
      <c r="Q6" s="3587"/>
      <c r="R6" s="3570"/>
      <c r="S6" s="3571"/>
      <c r="T6" s="3572"/>
      <c r="U6" s="3573"/>
      <c r="V6" s="3588"/>
      <c r="W6" s="3588"/>
      <c r="X6" s="1501"/>
      <c r="Y6" s="3572"/>
      <c r="Z6" s="3573"/>
      <c r="AA6" s="3565"/>
      <c r="AB6" s="3565"/>
      <c r="AC6" s="3565"/>
    </row>
    <row r="7" spans="1:29" s="1202" customFormat="1" ht="15.75" thickBot="1">
      <c r="A7" s="2629"/>
      <c r="B7" s="2636" t="s">
        <v>521</v>
      </c>
      <c r="C7" s="513">
        <f>'数据-取费表'!B2</f>
        <v>44463</v>
      </c>
      <c r="D7" s="514">
        <v>100</v>
      </c>
      <c r="E7" s="515">
        <v>44317</v>
      </c>
      <c r="F7" s="516">
        <f>SUMIF(59:59,YEAR(E7)&amp;"-"&amp;MONTH(E7),60:60)</f>
        <v>100</v>
      </c>
      <c r="G7" s="515">
        <v>44287</v>
      </c>
      <c r="H7" s="514">
        <f>SUMIF(59:59,YEAR(G7)&amp;"-"&amp;MONTH(G7),60:60)</f>
        <v>100</v>
      </c>
      <c r="I7" s="515">
        <v>44287</v>
      </c>
      <c r="J7" s="514">
        <f>SUMIF(59:59,YEAR(I7)&amp;"-"&amp;MONTH(I7),60:60)</f>
        <v>100</v>
      </c>
      <c r="K7" s="518"/>
      <c r="L7" s="2017"/>
      <c r="M7" s="2018"/>
      <c r="N7" s="2018"/>
      <c r="O7" s="2018"/>
      <c r="P7" s="3575" t="s">
        <v>522</v>
      </c>
      <c r="Q7" s="3575"/>
      <c r="R7" s="1502" t="s">
        <v>8</v>
      </c>
      <c r="S7" s="1503">
        <f t="shared" ref="S7:S15" si="0">F7</f>
        <v>100</v>
      </c>
      <c r="T7" s="1502" t="s">
        <v>8</v>
      </c>
      <c r="U7" s="1503">
        <f t="shared" ref="U7:U15" si="1">H7</f>
        <v>100</v>
      </c>
      <c r="V7" s="1502" t="s">
        <v>8</v>
      </c>
      <c r="W7" s="1503">
        <f t="shared" ref="W7:W15" si="2">J7</f>
        <v>100</v>
      </c>
      <c r="X7" s="1504"/>
      <c r="Y7" s="3566" t="s">
        <v>522</v>
      </c>
      <c r="Z7" s="3567"/>
      <c r="AA7" s="1505">
        <f>D7/F7</f>
        <v>1</v>
      </c>
      <c r="AB7" s="1505">
        <f>D7/H7</f>
        <v>1</v>
      </c>
      <c r="AC7" s="1505">
        <f>D7/J7</f>
        <v>1</v>
      </c>
    </row>
    <row r="8" spans="1:29" s="1202" customFormat="1" ht="15.75" thickBot="1">
      <c r="A8" s="2630"/>
      <c r="B8" s="2637" t="s">
        <v>523</v>
      </c>
      <c r="C8" s="519" t="s">
        <v>568</v>
      </c>
      <c r="D8" s="514">
        <v>100</v>
      </c>
      <c r="E8" s="519" t="s">
        <v>3039</v>
      </c>
      <c r="F8" s="516">
        <f>SUMIF(62:62,E8,63:63)-SUMIF(62:62,C8,63:63)+100</f>
        <v>100</v>
      </c>
      <c r="G8" s="519" t="s">
        <v>3039</v>
      </c>
      <c r="H8" s="514">
        <f>SUMIF(62:62,G8,63:63)-SUMIF(62:62,C8,63:63)+100</f>
        <v>100</v>
      </c>
      <c r="I8" s="519" t="s">
        <v>3039</v>
      </c>
      <c r="J8" s="514">
        <f>SUMIF(62:62,I8,63:63)-SUMIF(62:62,C8,63:63)+100</f>
        <v>100</v>
      </c>
      <c r="K8" s="518"/>
      <c r="L8" s="2017"/>
      <c r="M8" s="2018"/>
      <c r="N8" s="2018"/>
      <c r="O8" s="2018"/>
      <c r="P8" s="3575" t="s">
        <v>525</v>
      </c>
      <c r="Q8" s="3567"/>
      <c r="R8" s="1502" t="s">
        <v>8</v>
      </c>
      <c r="S8" s="1503">
        <f t="shared" si="0"/>
        <v>100</v>
      </c>
      <c r="T8" s="1502" t="s">
        <v>8</v>
      </c>
      <c r="U8" s="1503">
        <f t="shared" si="1"/>
        <v>100</v>
      </c>
      <c r="V8" s="1502" t="s">
        <v>8</v>
      </c>
      <c r="W8" s="1503">
        <f t="shared" si="2"/>
        <v>100</v>
      </c>
      <c r="X8" s="1504"/>
      <c r="Y8" s="3566" t="s">
        <v>525</v>
      </c>
      <c r="Z8" s="3567"/>
      <c r="AA8" s="1505">
        <f t="shared" ref="AA8:AA47" si="3">D8/F8</f>
        <v>1</v>
      </c>
      <c r="AB8" s="1505">
        <f t="shared" ref="AB8:AB47" si="4">D8/H8</f>
        <v>1</v>
      </c>
      <c r="AC8" s="1505">
        <f t="shared" ref="AC8:AC47" si="5">D8/J8</f>
        <v>1</v>
      </c>
    </row>
    <row r="9" spans="1:29" s="1202" customFormat="1" ht="15">
      <c r="A9" s="2631"/>
      <c r="B9" s="2638" t="s">
        <v>2731</v>
      </c>
      <c r="C9" s="3301" t="s">
        <v>3136</v>
      </c>
      <c r="D9" s="252">
        <v>100</v>
      </c>
      <c r="E9" s="849" t="s">
        <v>1665</v>
      </c>
      <c r="F9" s="252">
        <f>SUMIF(64:64,E9,65:65)-SUMIF(64:64,C9,65:65)+100</f>
        <v>100</v>
      </c>
      <c r="G9" s="847" t="s">
        <v>1665</v>
      </c>
      <c r="H9" s="252">
        <f>SUMIF(64:64,G9,65:65)-SUMIF(64:64,C9,65:65)+100</f>
        <v>100</v>
      </c>
      <c r="I9" s="847" t="s">
        <v>1665</v>
      </c>
      <c r="J9" s="252">
        <f>SUMIF(64:64,I9,65:65)-SUMIF(64:64,C9,65:65)+100</f>
        <v>100</v>
      </c>
      <c r="K9" s="518"/>
      <c r="L9" s="2017"/>
      <c r="M9" s="2018"/>
      <c r="N9" s="2018"/>
      <c r="O9" s="2018"/>
      <c r="P9" s="3574" t="s">
        <v>527</v>
      </c>
      <c r="Q9" s="1133" t="str">
        <f t="shared" ref="Q9:Q15" si="6">B9</f>
        <v>用途</v>
      </c>
      <c r="R9" s="1502" t="s">
        <v>8</v>
      </c>
      <c r="S9" s="1503">
        <f t="shared" si="0"/>
        <v>100</v>
      </c>
      <c r="T9" s="1502" t="s">
        <v>8</v>
      </c>
      <c r="U9" s="1503">
        <f t="shared" si="1"/>
        <v>100</v>
      </c>
      <c r="V9" s="1502" t="s">
        <v>8</v>
      </c>
      <c r="W9" s="1503">
        <f t="shared" si="2"/>
        <v>100</v>
      </c>
      <c r="X9" s="1504"/>
      <c r="Y9" s="3525" t="s">
        <v>528</v>
      </c>
      <c r="Z9" s="1132" t="str">
        <f t="shared" ref="Z9:Z15" si="7">Q9</f>
        <v>用途</v>
      </c>
      <c r="AA9" s="1505">
        <f t="shared" si="3"/>
        <v>1</v>
      </c>
      <c r="AB9" s="1505">
        <f t="shared" si="4"/>
        <v>1</v>
      </c>
      <c r="AC9" s="1505">
        <f t="shared" si="5"/>
        <v>1</v>
      </c>
    </row>
    <row r="10" spans="1:29" s="1291" customFormat="1" ht="27.75" thickBot="1">
      <c r="A10" s="2632"/>
      <c r="B10" s="2637" t="s">
        <v>2732</v>
      </c>
      <c r="C10" s="850" t="s">
        <v>3042</v>
      </c>
      <c r="D10" s="253">
        <v>100</v>
      </c>
      <c r="E10" s="850" t="s">
        <v>3042</v>
      </c>
      <c r="F10" s="253">
        <f>SUMIF(66:66,E10,67:67)-SUMIF(66:66,C10,67:67)+100</f>
        <v>100</v>
      </c>
      <c r="G10" s="851" t="s">
        <v>3042</v>
      </c>
      <c r="H10" s="253">
        <f>SUMIF(66:66,G10,67:67)-SUMIF(66:66,C10,67:67)+100</f>
        <v>100</v>
      </c>
      <c r="I10" s="850" t="s">
        <v>3042</v>
      </c>
      <c r="J10" s="253">
        <f>SUMIF(66:66,I10,67:67)-SUMIF(66:66,C10,67:67)+100</f>
        <v>100</v>
      </c>
      <c r="K10" s="578"/>
      <c r="L10" s="2020"/>
      <c r="M10" s="2059"/>
      <c r="N10" s="2059"/>
      <c r="O10" s="2059"/>
      <c r="P10" s="3574"/>
      <c r="Q10" s="1133" t="str">
        <f t="shared" si="6"/>
        <v>土地使用年限（年）</v>
      </c>
      <c r="R10" s="1502" t="s">
        <v>8</v>
      </c>
      <c r="S10" s="1503">
        <f t="shared" si="0"/>
        <v>100</v>
      </c>
      <c r="T10" s="1502" t="s">
        <v>8</v>
      </c>
      <c r="U10" s="1503">
        <f t="shared" si="1"/>
        <v>100</v>
      </c>
      <c r="V10" s="1502" t="s">
        <v>8</v>
      </c>
      <c r="W10" s="1503">
        <f t="shared" si="2"/>
        <v>100</v>
      </c>
      <c r="X10" s="1504"/>
      <c r="Y10" s="3525"/>
      <c r="Z10" s="1132" t="str">
        <f t="shared" si="7"/>
        <v>土地使用年限（年）</v>
      </c>
      <c r="AA10" s="1505">
        <f t="shared" si="3"/>
        <v>1</v>
      </c>
      <c r="AB10" s="1505">
        <f t="shared" si="4"/>
        <v>1</v>
      </c>
      <c r="AC10" s="1505">
        <f t="shared" si="5"/>
        <v>1</v>
      </c>
    </row>
    <row r="11" spans="1:29" ht="15" hidden="1">
      <c r="A11" s="2633"/>
      <c r="B11" s="2637" t="s">
        <v>2733</v>
      </c>
      <c r="C11" s="527">
        <v>1</v>
      </c>
      <c r="D11" s="253">
        <v>100</v>
      </c>
      <c r="E11" s="527">
        <v>1</v>
      </c>
      <c r="F11" s="253">
        <f>LOOKUP(E11,69:69,70:70)-LOOKUP(C11,69:69,70:70)+100</f>
        <v>100</v>
      </c>
      <c r="G11" s="528">
        <v>1</v>
      </c>
      <c r="H11" s="253">
        <f>LOOKUP(G11,69:69,70:70)-LOOKUP(C11,69:69,70:70)+100</f>
        <v>100</v>
      </c>
      <c r="I11" s="527">
        <v>1</v>
      </c>
      <c r="J11" s="253">
        <f>LOOKUP(I11,69:69,70:70)-LOOKUP(C11,69:69,70:70)+100</f>
        <v>100</v>
      </c>
      <c r="K11" s="578"/>
      <c r="L11" s="2022"/>
      <c r="M11" s="2016"/>
      <c r="N11" s="2016"/>
      <c r="O11" s="2016"/>
      <c r="P11" s="3574"/>
      <c r="Q11" s="1133" t="str">
        <f t="shared" si="6"/>
        <v>容积率</v>
      </c>
      <c r="R11" s="1502" t="s">
        <v>8</v>
      </c>
      <c r="S11" s="1503">
        <f t="shared" si="0"/>
        <v>100</v>
      </c>
      <c r="T11" s="1502" t="s">
        <v>8</v>
      </c>
      <c r="U11" s="1503">
        <f t="shared" si="1"/>
        <v>100</v>
      </c>
      <c r="V11" s="1502" t="s">
        <v>8</v>
      </c>
      <c r="W11" s="1503">
        <f t="shared" si="2"/>
        <v>100</v>
      </c>
      <c r="X11" s="1504"/>
      <c r="Y11" s="3525"/>
      <c r="Z11" s="1132" t="str">
        <f t="shared" si="7"/>
        <v>容积率</v>
      </c>
      <c r="AA11" s="1505">
        <f t="shared" si="3"/>
        <v>1</v>
      </c>
      <c r="AB11" s="1505">
        <f t="shared" si="4"/>
        <v>1</v>
      </c>
      <c r="AC11" s="1505">
        <f t="shared" si="5"/>
        <v>1</v>
      </c>
    </row>
    <row r="12" spans="1:29" s="1202" customFormat="1" ht="15" hidden="1">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574"/>
      <c r="Q12" s="1133">
        <f t="shared" si="6"/>
        <v>111</v>
      </c>
      <c r="R12" s="1502" t="s">
        <v>8</v>
      </c>
      <c r="S12" s="1503">
        <f t="shared" si="0"/>
        <v>100</v>
      </c>
      <c r="T12" s="1502" t="s">
        <v>8</v>
      </c>
      <c r="U12" s="1503">
        <f t="shared" si="1"/>
        <v>100</v>
      </c>
      <c r="V12" s="1502" t="s">
        <v>8</v>
      </c>
      <c r="W12" s="1503">
        <f t="shared" si="2"/>
        <v>100</v>
      </c>
      <c r="X12" s="1504"/>
      <c r="Y12" s="3525"/>
      <c r="Z12" s="1132">
        <f t="shared" si="7"/>
        <v>111</v>
      </c>
      <c r="AA12" s="1505">
        <f>D12/F12</f>
        <v>1</v>
      </c>
      <c r="AB12" s="1505">
        <f>D12/H12</f>
        <v>1</v>
      </c>
      <c r="AC12" s="1505">
        <f>D12/J12</f>
        <v>1</v>
      </c>
    </row>
    <row r="13" spans="1:29" ht="15" hidden="1">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574"/>
      <c r="Q13" s="1133">
        <f t="shared" si="6"/>
        <v>111</v>
      </c>
      <c r="R13" s="1502" t="s">
        <v>8</v>
      </c>
      <c r="S13" s="1503">
        <f t="shared" si="0"/>
        <v>100</v>
      </c>
      <c r="T13" s="1502" t="s">
        <v>8</v>
      </c>
      <c r="U13" s="1503">
        <f t="shared" si="1"/>
        <v>100</v>
      </c>
      <c r="V13" s="1502" t="s">
        <v>8</v>
      </c>
      <c r="W13" s="1503">
        <f t="shared" si="2"/>
        <v>100</v>
      </c>
      <c r="X13" s="1504"/>
      <c r="Y13" s="3525"/>
      <c r="Z13" s="1132">
        <f t="shared" si="7"/>
        <v>111</v>
      </c>
      <c r="AA13" s="1505">
        <f t="shared" si="3"/>
        <v>1</v>
      </c>
      <c r="AB13" s="1505">
        <f t="shared" si="4"/>
        <v>1</v>
      </c>
      <c r="AC13" s="1505">
        <f t="shared" si="5"/>
        <v>1</v>
      </c>
    </row>
    <row r="14" spans="1:29" ht="15.75" hidden="1"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574"/>
      <c r="Q14" s="1133">
        <f t="shared" si="6"/>
        <v>111</v>
      </c>
      <c r="R14" s="1502" t="s">
        <v>8</v>
      </c>
      <c r="S14" s="1503">
        <f t="shared" si="0"/>
        <v>100</v>
      </c>
      <c r="T14" s="1502" t="s">
        <v>8</v>
      </c>
      <c r="U14" s="1503">
        <f t="shared" si="1"/>
        <v>100</v>
      </c>
      <c r="V14" s="1502" t="s">
        <v>8</v>
      </c>
      <c r="W14" s="1503">
        <f t="shared" si="2"/>
        <v>100</v>
      </c>
      <c r="X14" s="1504"/>
      <c r="Y14" s="3525"/>
      <c r="Z14" s="1132">
        <f t="shared" si="7"/>
        <v>111</v>
      </c>
      <c r="AA14" s="1505">
        <f t="shared" si="3"/>
        <v>1</v>
      </c>
      <c r="AB14" s="1505">
        <f t="shared" si="4"/>
        <v>1</v>
      </c>
      <c r="AC14" s="1505">
        <f t="shared" si="5"/>
        <v>1</v>
      </c>
    </row>
    <row r="15" spans="1:29" ht="99.75">
      <c r="A15" s="2627" t="s">
        <v>2729</v>
      </c>
      <c r="B15" s="541" t="s">
        <v>534</v>
      </c>
      <c r="C15" s="542" t="str">
        <f>估价对象房地状况!C5</f>
        <v>估价对象周边有科技大厦、森工大厦、方和正元工业园等办公楼项目，但分布较为分散，办公集聚程度一般。</v>
      </c>
      <c r="D15" s="543">
        <v>100</v>
      </c>
      <c r="E15" s="546"/>
      <c r="F15" s="543">
        <f>SUMIF(77:77,E16,78:78)-SUMIF(77:77,C16,78:78)+100</f>
        <v>101</v>
      </c>
      <c r="G15" s="544"/>
      <c r="H15" s="543">
        <f>SUMIF(77:77,G16,78:78)-SUMIF(77:77,C16,78:78)+100</f>
        <v>101</v>
      </c>
      <c r="I15" s="544"/>
      <c r="J15" s="543">
        <f>SUMIF(77:77,I16,78:78)-SUMIF(77:77,C16,78:78)+100</f>
        <v>100</v>
      </c>
      <c r="K15" s="887">
        <v>1</v>
      </c>
      <c r="L15" s="2024"/>
      <c r="M15" s="2016"/>
      <c r="N15" s="2016"/>
      <c r="O15" s="2016"/>
      <c r="P15" s="3576" t="s">
        <v>532</v>
      </c>
      <c r="Q15" s="1506" t="str">
        <f t="shared" si="6"/>
        <v>办公集聚程度</v>
      </c>
      <c r="R15" s="1507" t="s">
        <v>8</v>
      </c>
      <c r="S15" s="1508">
        <f t="shared" si="0"/>
        <v>101</v>
      </c>
      <c r="T15" s="1507" t="s">
        <v>8</v>
      </c>
      <c r="U15" s="1508">
        <f t="shared" si="1"/>
        <v>101</v>
      </c>
      <c r="V15" s="1507" t="s">
        <v>8</v>
      </c>
      <c r="W15" s="1508">
        <f t="shared" si="2"/>
        <v>100</v>
      </c>
      <c r="X15" s="1501"/>
      <c r="Y15" s="3576" t="s">
        <v>532</v>
      </c>
      <c r="Z15" s="1509" t="str">
        <f t="shared" si="7"/>
        <v>办公集聚程度</v>
      </c>
      <c r="AA15" s="1510">
        <f t="shared" si="3"/>
        <v>0.99009900990099009</v>
      </c>
      <c r="AB15" s="1510">
        <f t="shared" si="4"/>
        <v>0.99009900990099009</v>
      </c>
      <c r="AC15" s="1510">
        <f t="shared" si="5"/>
        <v>1</v>
      </c>
    </row>
    <row r="16" spans="1:29" ht="15">
      <c r="A16" s="526"/>
      <c r="B16" s="547"/>
      <c r="C16" s="548" t="s">
        <v>3017</v>
      </c>
      <c r="D16" s="549"/>
      <c r="E16" s="570" t="s">
        <v>3018</v>
      </c>
      <c r="F16" s="549"/>
      <c r="G16" s="548" t="s">
        <v>3018</v>
      </c>
      <c r="H16" s="553"/>
      <c r="I16" s="570" t="s">
        <v>3017</v>
      </c>
      <c r="J16" s="549"/>
      <c r="K16" s="888"/>
      <c r="L16" s="2024"/>
      <c r="M16" s="2016"/>
      <c r="N16" s="2016"/>
      <c r="O16" s="2016"/>
      <c r="P16" s="3577"/>
      <c r="Q16" s="1506"/>
      <c r="R16" s="1507"/>
      <c r="S16" s="1508"/>
      <c r="T16" s="1507"/>
      <c r="U16" s="1508"/>
      <c r="V16" s="1507"/>
      <c r="W16" s="1508"/>
      <c r="X16" s="1501"/>
      <c r="Y16" s="3577"/>
      <c r="Z16" s="1509"/>
      <c r="AA16" s="1510">
        <v>1</v>
      </c>
      <c r="AB16" s="1510">
        <v>1</v>
      </c>
      <c r="AC16" s="1510">
        <v>1</v>
      </c>
    </row>
    <row r="17" spans="1:29" ht="99.75">
      <c r="A17" s="526"/>
      <c r="B17" s="554" t="s">
        <v>294</v>
      </c>
      <c r="C17" s="567" t="str">
        <f>估价对象房地状况!C6</f>
        <v>估价对象周边有通14路、通50路、通64路等公交线路；距地铁7号线（花庄站）约2公里，交通便捷度一般</v>
      </c>
      <c r="D17" s="553">
        <v>100</v>
      </c>
      <c r="E17" s="558"/>
      <c r="F17" s="553">
        <f>SUMIF(79:79,E18,80:80)-SUMIF(79:79,C18,80:80)+100</f>
        <v>101</v>
      </c>
      <c r="G17" s="556"/>
      <c r="H17" s="559">
        <f>SUMIF(79:79,G18,80:80)-SUMIF(79:79,C18,80:80)+100</f>
        <v>101</v>
      </c>
      <c r="I17" s="556"/>
      <c r="J17" s="559">
        <f>SUMIF(79:79,I18,80:80)-SUMIF(79:79,C18,80:80)+100</f>
        <v>101</v>
      </c>
      <c r="K17" s="887">
        <v>1</v>
      </c>
      <c r="L17" s="2024"/>
      <c r="M17" s="2016"/>
      <c r="N17" s="2016"/>
      <c r="O17" s="2016"/>
      <c r="P17" s="3577"/>
      <c r="Q17" s="1506" t="str">
        <f>B17</f>
        <v>交通便捷度</v>
      </c>
      <c r="R17" s="1507" t="s">
        <v>8</v>
      </c>
      <c r="S17" s="1508">
        <f>F17</f>
        <v>101</v>
      </c>
      <c r="T17" s="1507" t="s">
        <v>8</v>
      </c>
      <c r="U17" s="1508">
        <f>H17</f>
        <v>101</v>
      </c>
      <c r="V17" s="1507" t="s">
        <v>8</v>
      </c>
      <c r="W17" s="1508">
        <f>J17</f>
        <v>101</v>
      </c>
      <c r="X17" s="1501"/>
      <c r="Y17" s="3577"/>
      <c r="Z17" s="1509" t="str">
        <f>Q17</f>
        <v>交通便捷度</v>
      </c>
      <c r="AA17" s="1510">
        <f t="shared" si="3"/>
        <v>0.99009900990099009</v>
      </c>
      <c r="AB17" s="1510">
        <f t="shared" si="4"/>
        <v>0.99009900990099009</v>
      </c>
      <c r="AC17" s="1510">
        <f t="shared" si="5"/>
        <v>0.99009900990099009</v>
      </c>
    </row>
    <row r="18" spans="1:29" ht="15">
      <c r="A18" s="526"/>
      <c r="B18" s="560"/>
      <c r="C18" s="561" t="s">
        <v>3017</v>
      </c>
      <c r="D18" s="553"/>
      <c r="E18" s="563" t="s">
        <v>3018</v>
      </c>
      <c r="F18" s="553"/>
      <c r="G18" s="562" t="s">
        <v>3018</v>
      </c>
      <c r="H18" s="549"/>
      <c r="I18" s="562" t="s">
        <v>3018</v>
      </c>
      <c r="J18" s="549"/>
      <c r="K18" s="888"/>
      <c r="L18" s="2024"/>
      <c r="M18" s="2016"/>
      <c r="N18" s="2016"/>
      <c r="O18" s="2016"/>
      <c r="P18" s="3577"/>
      <c r="Q18" s="1506"/>
      <c r="R18" s="1507"/>
      <c r="S18" s="1508"/>
      <c r="T18" s="1507"/>
      <c r="U18" s="1508"/>
      <c r="V18" s="1507"/>
      <c r="W18" s="1508"/>
      <c r="X18" s="1501"/>
      <c r="Y18" s="3577"/>
      <c r="Z18" s="1509"/>
      <c r="AA18" s="1510">
        <v>1</v>
      </c>
      <c r="AB18" s="1510">
        <v>1</v>
      </c>
      <c r="AC18" s="1510">
        <v>1</v>
      </c>
    </row>
    <row r="19" spans="1:29" ht="78" customHeight="1">
      <c r="A19" s="526"/>
      <c r="B19" s="2447" t="s">
        <v>2522</v>
      </c>
      <c r="C19" s="567" t="str">
        <f>估价对象房地状况!C7</f>
        <v>估价对象所在区域有张家湾中心幼儿园、张家湾中心小学、张家湾中学等教育资源，有中国建设银行、北京市农村商业银行等金融机构，有世纪华联超市等商业服务设施，有北京运通中医医院等医疗设施，公共服务设施齐备度一般</v>
      </c>
      <c r="D19" s="559">
        <v>100</v>
      </c>
      <c r="E19" s="566"/>
      <c r="F19" s="559">
        <f>SUMIF(81:81,E20,82:82)-SUMIF(81:81,C20,82:82)+100</f>
        <v>101</v>
      </c>
      <c r="G19" s="564"/>
      <c r="H19" s="553">
        <f>SUMIF(81:81,G20,82:82)-SUMIF(81:81,C20,82:82)+100</f>
        <v>101</v>
      </c>
      <c r="I19" s="564"/>
      <c r="J19" s="553">
        <f>SUMIF(81:81,I20,82:82)-SUMIF(81:81,C20,82:82)+100</f>
        <v>101</v>
      </c>
      <c r="K19" s="887">
        <v>1</v>
      </c>
      <c r="L19" s="2024"/>
      <c r="M19" s="2016"/>
      <c r="N19" s="2016"/>
      <c r="O19" s="2016"/>
      <c r="P19" s="3577"/>
      <c r="Q19" s="1506" t="str">
        <f>B19</f>
        <v>公共配套设施</v>
      </c>
      <c r="R19" s="1507" t="s">
        <v>8</v>
      </c>
      <c r="S19" s="1508">
        <f>F19</f>
        <v>101</v>
      </c>
      <c r="T19" s="1507" t="s">
        <v>8</v>
      </c>
      <c r="U19" s="1508">
        <f>H19</f>
        <v>101</v>
      </c>
      <c r="V19" s="1507" t="s">
        <v>8</v>
      </c>
      <c r="W19" s="1508">
        <f>J19</f>
        <v>101</v>
      </c>
      <c r="X19" s="1501"/>
      <c r="Y19" s="3577"/>
      <c r="Z19" s="1509" t="str">
        <f>Q19</f>
        <v>公共配套设施</v>
      </c>
      <c r="AA19" s="1510">
        <f t="shared" si="3"/>
        <v>0.99009900990099009</v>
      </c>
      <c r="AB19" s="1510">
        <f t="shared" si="4"/>
        <v>0.99009900990099009</v>
      </c>
      <c r="AC19" s="1510">
        <f t="shared" si="5"/>
        <v>0.99009900990099009</v>
      </c>
    </row>
    <row r="20" spans="1:29" ht="15">
      <c r="A20" s="526"/>
      <c r="B20" s="560"/>
      <c r="C20" s="548" t="s">
        <v>3017</v>
      </c>
      <c r="D20" s="549"/>
      <c r="E20" s="552" t="s">
        <v>3018</v>
      </c>
      <c r="F20" s="549"/>
      <c r="G20" s="550" t="s">
        <v>3018</v>
      </c>
      <c r="H20" s="549"/>
      <c r="I20" s="550" t="s">
        <v>3018</v>
      </c>
      <c r="J20" s="549"/>
      <c r="K20" s="888"/>
      <c r="L20" s="2024"/>
      <c r="M20" s="2016"/>
      <c r="N20" s="2016"/>
      <c r="O20" s="2016"/>
      <c r="P20" s="3577"/>
      <c r="Q20" s="1506"/>
      <c r="R20" s="1507"/>
      <c r="S20" s="1508"/>
      <c r="T20" s="1507"/>
      <c r="U20" s="1508"/>
      <c r="V20" s="1507"/>
      <c r="W20" s="1508"/>
      <c r="X20" s="1501"/>
      <c r="Y20" s="3577"/>
      <c r="Z20" s="1509"/>
      <c r="AA20" s="1510">
        <v>1</v>
      </c>
      <c r="AB20" s="1510">
        <v>1</v>
      </c>
      <c r="AC20" s="1510">
        <v>1</v>
      </c>
    </row>
    <row r="21" spans="1:29" ht="15">
      <c r="A21" s="526"/>
      <c r="B21" s="2435" t="s">
        <v>2534</v>
      </c>
      <c r="C21" s="567" t="str">
        <f>估价对象房地状况!C8</f>
        <v>七通</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577"/>
      <c r="Q21" s="2429" t="str">
        <f>B21</f>
        <v>基础设施水平</v>
      </c>
      <c r="R21" s="1507" t="s">
        <v>8</v>
      </c>
      <c r="S21" s="1508">
        <f>F21</f>
        <v>100</v>
      </c>
      <c r="T21" s="1507" t="s">
        <v>8</v>
      </c>
      <c r="U21" s="1508">
        <f>H21</f>
        <v>100</v>
      </c>
      <c r="V21" s="1507" t="s">
        <v>8</v>
      </c>
      <c r="W21" s="1508">
        <f>J21</f>
        <v>100</v>
      </c>
      <c r="X21" s="2431"/>
      <c r="Y21" s="3577"/>
      <c r="Z21" s="2430" t="str">
        <f>Q21</f>
        <v>基础设施水平</v>
      </c>
      <c r="AA21" s="1510">
        <f t="shared" ref="AA21" si="8">D21/F21</f>
        <v>1</v>
      </c>
      <c r="AB21" s="1510">
        <f t="shared" ref="AB21" si="9">D21/H21</f>
        <v>1</v>
      </c>
      <c r="AC21" s="1510">
        <f t="shared" ref="AC21" si="10">D21/J21</f>
        <v>1</v>
      </c>
    </row>
    <row r="22" spans="1:29" ht="15">
      <c r="A22" s="526"/>
      <c r="B22" s="572"/>
      <c r="C22" s="561" t="s">
        <v>3043</v>
      </c>
      <c r="D22" s="549"/>
      <c r="E22" s="570" t="s">
        <v>3043</v>
      </c>
      <c r="F22" s="549"/>
      <c r="G22" s="548" t="s">
        <v>3043</v>
      </c>
      <c r="H22" s="549"/>
      <c r="I22" s="548" t="s">
        <v>3043</v>
      </c>
      <c r="J22" s="549"/>
      <c r="K22" s="2446"/>
      <c r="L22" s="2024"/>
      <c r="M22" s="2016"/>
      <c r="N22" s="2016"/>
      <c r="O22" s="2016"/>
      <c r="P22" s="3577"/>
      <c r="Q22" s="2429"/>
      <c r="R22" s="1507"/>
      <c r="S22" s="1508"/>
      <c r="T22" s="1507"/>
      <c r="U22" s="1508"/>
      <c r="V22" s="1507"/>
      <c r="W22" s="1508"/>
      <c r="X22" s="2431"/>
      <c r="Y22" s="3577"/>
      <c r="Z22" s="2430"/>
      <c r="AA22" s="1510">
        <v>1</v>
      </c>
      <c r="AB22" s="1510">
        <v>1</v>
      </c>
      <c r="AC22" s="1510">
        <v>1</v>
      </c>
    </row>
    <row r="23" spans="1:29" ht="76.5" customHeight="1">
      <c r="A23" s="526"/>
      <c r="B23" s="554" t="s">
        <v>770</v>
      </c>
      <c r="C23" s="567" t="str">
        <f>估价对象房地状况!C9</f>
        <v>区域自然环境：通州大运河森林公园、凉水河；人文环境：北京环球度假区；综合评价环境状况较好</v>
      </c>
      <c r="D23" s="553">
        <v>100</v>
      </c>
      <c r="E23" s="558"/>
      <c r="F23" s="553">
        <f>SUMIF(85:85,E24,86:86)-SUMIF(85:85,C24,86:86)+100</f>
        <v>100</v>
      </c>
      <c r="G23" s="556"/>
      <c r="H23" s="553">
        <f>SUMIF(85:85,G24,86:86)-SUMIF(85:85,C24,86:86)+100</f>
        <v>100</v>
      </c>
      <c r="I23" s="556"/>
      <c r="J23" s="553">
        <f>SUMIF(85:85,I24,86:86)-SUMIF(85:85,C24,86:86)+100</f>
        <v>94</v>
      </c>
      <c r="K23" s="887">
        <v>6</v>
      </c>
      <c r="L23" s="2024"/>
      <c r="M23" s="2016"/>
      <c r="N23" s="2016"/>
      <c r="O23" s="2016"/>
      <c r="P23" s="3577"/>
      <c r="Q23" s="1506" t="str">
        <f>B23</f>
        <v>环境质量</v>
      </c>
      <c r="R23" s="1507" t="s">
        <v>8</v>
      </c>
      <c r="S23" s="1508">
        <f>F23</f>
        <v>100</v>
      </c>
      <c r="T23" s="1507" t="s">
        <v>8</v>
      </c>
      <c r="U23" s="1508">
        <f>H23</f>
        <v>100</v>
      </c>
      <c r="V23" s="1507" t="s">
        <v>8</v>
      </c>
      <c r="W23" s="1508">
        <f>J23</f>
        <v>94</v>
      </c>
      <c r="X23" s="1501"/>
      <c r="Y23" s="3577"/>
      <c r="Z23" s="1509" t="str">
        <f>Q23</f>
        <v>环境质量</v>
      </c>
      <c r="AA23" s="1510">
        <f t="shared" si="3"/>
        <v>1</v>
      </c>
      <c r="AB23" s="1510">
        <f t="shared" si="4"/>
        <v>1</v>
      </c>
      <c r="AC23" s="1510">
        <f t="shared" si="5"/>
        <v>1.0638297872340425</v>
      </c>
    </row>
    <row r="24" spans="1:29" ht="15">
      <c r="A24" s="526"/>
      <c r="B24" s="572"/>
      <c r="C24" s="548" t="s">
        <v>3018</v>
      </c>
      <c r="D24" s="549"/>
      <c r="E24" s="552" t="s">
        <v>3018</v>
      </c>
      <c r="F24" s="549"/>
      <c r="G24" s="550" t="s">
        <v>3018</v>
      </c>
      <c r="H24" s="549"/>
      <c r="I24" s="550" t="s">
        <v>3017</v>
      </c>
      <c r="J24" s="549"/>
      <c r="K24" s="888"/>
      <c r="L24" s="2024"/>
      <c r="M24" s="2016"/>
      <c r="N24" s="2016"/>
      <c r="O24" s="2016"/>
      <c r="P24" s="3577"/>
      <c r="Q24" s="1506"/>
      <c r="R24" s="1507"/>
      <c r="S24" s="1508"/>
      <c r="T24" s="1507"/>
      <c r="U24" s="1508"/>
      <c r="V24" s="1507"/>
      <c r="W24" s="1508"/>
      <c r="X24" s="1501"/>
      <c r="Y24" s="3577"/>
      <c r="Z24" s="1509"/>
      <c r="AA24" s="1510">
        <v>1</v>
      </c>
      <c r="AB24" s="1510">
        <v>1</v>
      </c>
      <c r="AC24" s="1510">
        <v>1</v>
      </c>
    </row>
    <row r="25" spans="1:29" ht="27">
      <c r="A25" s="509"/>
      <c r="B25" s="554" t="s">
        <v>540</v>
      </c>
      <c r="C25" s="3370" t="s">
        <v>3137</v>
      </c>
      <c r="D25" s="534">
        <v>100</v>
      </c>
      <c r="E25" s="3309" t="s">
        <v>3143</v>
      </c>
      <c r="F25" s="534">
        <f>SUMIF(87:87,E26,88:88)-SUMIF(87:87,C26,88:88)+100</f>
        <v>95</v>
      </c>
      <c r="G25" s="3370" t="s">
        <v>3143</v>
      </c>
      <c r="H25" s="534">
        <f>SUMIF(87:87,G26,88:88)-SUMIF(87:87,C26,88:88)+100</f>
        <v>95</v>
      </c>
      <c r="I25" s="3309" t="s">
        <v>3144</v>
      </c>
      <c r="J25" s="534">
        <f>SUMIF(87:87,I26,88:88)-SUMIF(87:87,C26,88:88)+100</f>
        <v>100</v>
      </c>
      <c r="K25" s="887">
        <v>5</v>
      </c>
      <c r="L25" s="2024"/>
      <c r="M25" s="2016"/>
      <c r="N25" s="2016"/>
      <c r="O25" s="2016"/>
      <c r="P25" s="3577"/>
      <c r="Q25" s="1506" t="str">
        <f>B25</f>
        <v>毗邻道路的类型与等级</v>
      </c>
      <c r="R25" s="1507" t="s">
        <v>8</v>
      </c>
      <c r="S25" s="1508">
        <f>F25</f>
        <v>95</v>
      </c>
      <c r="T25" s="1507" t="s">
        <v>8</v>
      </c>
      <c r="U25" s="1508">
        <f>H25</f>
        <v>95</v>
      </c>
      <c r="V25" s="1507" t="s">
        <v>8</v>
      </c>
      <c r="W25" s="1508">
        <f>J25</f>
        <v>100</v>
      </c>
      <c r="X25" s="1501"/>
      <c r="Y25" s="3577"/>
      <c r="Z25" s="1509" t="str">
        <f>Q25</f>
        <v>毗邻道路的类型与等级</v>
      </c>
      <c r="AA25" s="1510">
        <f t="shared" si="3"/>
        <v>1.0526315789473684</v>
      </c>
      <c r="AB25" s="1510">
        <f t="shared" si="4"/>
        <v>1.0526315789473684</v>
      </c>
      <c r="AC25" s="1510">
        <f t="shared" si="5"/>
        <v>1</v>
      </c>
    </row>
    <row r="26" spans="1:29" ht="15">
      <c r="A26" s="509"/>
      <c r="B26" s="560"/>
      <c r="C26" s="574" t="s">
        <v>3070</v>
      </c>
      <c r="D26" s="534"/>
      <c r="E26" s="577" t="s">
        <v>3071</v>
      </c>
      <c r="F26" s="534"/>
      <c r="G26" s="574" t="s">
        <v>3071</v>
      </c>
      <c r="H26" s="534"/>
      <c r="I26" s="577" t="s">
        <v>3070</v>
      </c>
      <c r="J26" s="534"/>
      <c r="K26" s="888"/>
      <c r="L26" s="2024"/>
      <c r="M26" s="2016"/>
      <c r="N26" s="2016"/>
      <c r="O26" s="2016"/>
      <c r="P26" s="3577"/>
      <c r="Q26" s="1506"/>
      <c r="R26" s="1507"/>
      <c r="S26" s="1508"/>
      <c r="T26" s="1507"/>
      <c r="U26" s="1508"/>
      <c r="V26" s="1507"/>
      <c r="W26" s="1508"/>
      <c r="X26" s="1501"/>
      <c r="Y26" s="3577"/>
      <c r="Z26" s="1509"/>
      <c r="AA26" s="1510">
        <v>1</v>
      </c>
      <c r="AB26" s="1510">
        <v>1</v>
      </c>
      <c r="AC26" s="1510">
        <v>1</v>
      </c>
    </row>
    <row r="27" spans="1:29" ht="15">
      <c r="A27" s="526"/>
      <c r="B27" s="560" t="s">
        <v>753</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77"/>
      <c r="Q27" s="1506" t="str">
        <f t="shared" ref="Q27:Q47" si="11">B27</f>
        <v>楼层</v>
      </c>
      <c r="R27" s="1507" t="s">
        <v>8</v>
      </c>
      <c r="S27" s="1508">
        <f>F27</f>
        <v>100</v>
      </c>
      <c r="T27" s="1507" t="s">
        <v>8</v>
      </c>
      <c r="U27" s="1508">
        <f>H27</f>
        <v>100</v>
      </c>
      <c r="V27" s="1507" t="s">
        <v>8</v>
      </c>
      <c r="W27" s="1508">
        <f>J27</f>
        <v>100</v>
      </c>
      <c r="X27" s="1501"/>
      <c r="Y27" s="3577"/>
      <c r="Z27" s="1509" t="str">
        <f>Q27</f>
        <v>楼层</v>
      </c>
      <c r="AA27" s="1510">
        <f t="shared" si="3"/>
        <v>1</v>
      </c>
      <c r="AB27" s="1510">
        <f t="shared" si="4"/>
        <v>1</v>
      </c>
      <c r="AC27" s="1510">
        <f t="shared" si="5"/>
        <v>1</v>
      </c>
    </row>
    <row r="28" spans="1:29" s="1202" customFormat="1" ht="15">
      <c r="A28" s="530"/>
      <c r="B28" s="554" t="s">
        <v>771</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577"/>
      <c r="Q28" s="1133" t="str">
        <f t="shared" si="11"/>
        <v>朝向</v>
      </c>
      <c r="R28" s="1502" t="s">
        <v>8</v>
      </c>
      <c r="S28" s="1503">
        <f>F28</f>
        <v>100</v>
      </c>
      <c r="T28" s="1502" t="s">
        <v>8</v>
      </c>
      <c r="U28" s="1503">
        <f>H28</f>
        <v>100</v>
      </c>
      <c r="V28" s="1502" t="s">
        <v>8</v>
      </c>
      <c r="W28" s="1503">
        <f>J28</f>
        <v>100</v>
      </c>
      <c r="X28" s="1504"/>
      <c r="Y28" s="3577"/>
      <c r="Z28" s="1132" t="str">
        <f>Q28</f>
        <v>朝向</v>
      </c>
      <c r="AA28" s="1510">
        <f>D28/F28</f>
        <v>1</v>
      </c>
      <c r="AB28" s="1510">
        <f>D28/H28</f>
        <v>1</v>
      </c>
      <c r="AC28" s="1510">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577"/>
      <c r="Q29" s="1506">
        <f t="shared" si="11"/>
        <v>111</v>
      </c>
      <c r="R29" s="1507" t="s">
        <v>8</v>
      </c>
      <c r="S29" s="1508">
        <f t="shared" ref="S29:S47" si="12">F29</f>
        <v>100</v>
      </c>
      <c r="T29" s="1507" t="s">
        <v>8</v>
      </c>
      <c r="U29" s="1508">
        <f t="shared" ref="U29:U47" si="13">H29</f>
        <v>100</v>
      </c>
      <c r="V29" s="1507" t="s">
        <v>8</v>
      </c>
      <c r="W29" s="1508">
        <f t="shared" ref="W29:W47" si="14">J29</f>
        <v>100</v>
      </c>
      <c r="X29" s="1501"/>
      <c r="Y29" s="3577"/>
      <c r="Z29" s="1509">
        <f t="shared" ref="Z29:Z47" si="15">Q29</f>
        <v>111</v>
      </c>
      <c r="AA29" s="1510">
        <f t="shared" si="3"/>
        <v>1</v>
      </c>
      <c r="AB29" s="1510">
        <f t="shared" si="4"/>
        <v>1</v>
      </c>
      <c r="AC29" s="1510">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577"/>
      <c r="Q30" s="1506">
        <f t="shared" si="11"/>
        <v>111</v>
      </c>
      <c r="R30" s="1507" t="s">
        <v>8</v>
      </c>
      <c r="S30" s="1508">
        <f t="shared" si="12"/>
        <v>100</v>
      </c>
      <c r="T30" s="1507" t="s">
        <v>8</v>
      </c>
      <c r="U30" s="1508">
        <f t="shared" si="13"/>
        <v>100</v>
      </c>
      <c r="V30" s="1507" t="s">
        <v>8</v>
      </c>
      <c r="W30" s="1508">
        <f t="shared" si="14"/>
        <v>100</v>
      </c>
      <c r="X30" s="1501"/>
      <c r="Y30" s="3577"/>
      <c r="Z30" s="1509">
        <f t="shared" si="15"/>
        <v>111</v>
      </c>
      <c r="AA30" s="1510">
        <f t="shared" si="3"/>
        <v>1</v>
      </c>
      <c r="AB30" s="1510">
        <f t="shared" si="4"/>
        <v>1</v>
      </c>
      <c r="AC30" s="1510">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577"/>
      <c r="Q31" s="1506">
        <f t="shared" si="11"/>
        <v>111</v>
      </c>
      <c r="R31" s="1507" t="s">
        <v>8</v>
      </c>
      <c r="S31" s="1508">
        <f t="shared" si="12"/>
        <v>100</v>
      </c>
      <c r="T31" s="1507" t="s">
        <v>8</v>
      </c>
      <c r="U31" s="1508">
        <f t="shared" si="13"/>
        <v>100</v>
      </c>
      <c r="V31" s="1507" t="s">
        <v>8</v>
      </c>
      <c r="W31" s="1508">
        <f t="shared" si="14"/>
        <v>100</v>
      </c>
      <c r="X31" s="1501"/>
      <c r="Y31" s="3577"/>
      <c r="Z31" s="1509">
        <f t="shared" si="15"/>
        <v>111</v>
      </c>
      <c r="AA31" s="1510">
        <f t="shared" si="3"/>
        <v>1</v>
      </c>
      <c r="AB31" s="1510">
        <f t="shared" si="4"/>
        <v>1</v>
      </c>
      <c r="AC31" s="1510">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577"/>
      <c r="Q32" s="1506">
        <f t="shared" si="11"/>
        <v>111</v>
      </c>
      <c r="R32" s="1507" t="s">
        <v>8</v>
      </c>
      <c r="S32" s="1508">
        <f t="shared" si="12"/>
        <v>100</v>
      </c>
      <c r="T32" s="1507" t="s">
        <v>8</v>
      </c>
      <c r="U32" s="1508">
        <f t="shared" si="13"/>
        <v>100</v>
      </c>
      <c r="V32" s="1507" t="s">
        <v>8</v>
      </c>
      <c r="W32" s="1508">
        <f t="shared" si="14"/>
        <v>100</v>
      </c>
      <c r="X32" s="1501"/>
      <c r="Y32" s="3577"/>
      <c r="Z32" s="1509">
        <f t="shared" si="15"/>
        <v>111</v>
      </c>
      <c r="AA32" s="1510">
        <f t="shared" si="3"/>
        <v>1</v>
      </c>
      <c r="AB32" s="1510">
        <f t="shared" si="4"/>
        <v>1</v>
      </c>
      <c r="AC32" s="1510">
        <f t="shared" si="5"/>
        <v>1</v>
      </c>
    </row>
    <row r="33" spans="1:29" ht="15">
      <c r="A33" s="2624" t="s">
        <v>2730</v>
      </c>
      <c r="B33" s="170" t="s">
        <v>772</v>
      </c>
      <c r="C33" s="905" t="s">
        <v>3138</v>
      </c>
      <c r="D33" s="591">
        <v>100</v>
      </c>
      <c r="E33" s="905" t="s">
        <v>3138</v>
      </c>
      <c r="F33" s="569">
        <f>SUMIF(101:101,E33,102:102)-SUMIF(101:101,C33,102:102)+100</f>
        <v>100</v>
      </c>
      <c r="G33" s="905" t="s">
        <v>3138</v>
      </c>
      <c r="H33" s="534">
        <f>SUMIF(101:101,G33,102:102)-SUMIF(101:101,C33,102:102)+100</f>
        <v>100</v>
      </c>
      <c r="I33" s="905" t="s">
        <v>3138</v>
      </c>
      <c r="J33" s="591">
        <f>SUMIF(101:101,I33,102:102)-SUMIF(101:101,C33,102:102)+100</f>
        <v>100</v>
      </c>
      <c r="K33" s="578"/>
      <c r="L33" s="2024"/>
      <c r="M33" s="2016"/>
      <c r="N33" s="2016"/>
      <c r="O33" s="2016"/>
      <c r="P33" s="3578" t="s">
        <v>542</v>
      </c>
      <c r="Q33" s="1506" t="str">
        <f t="shared" si="11"/>
        <v>建筑类型</v>
      </c>
      <c r="R33" s="1507" t="s">
        <v>8</v>
      </c>
      <c r="S33" s="1508">
        <f t="shared" si="12"/>
        <v>100</v>
      </c>
      <c r="T33" s="1507" t="s">
        <v>8</v>
      </c>
      <c r="U33" s="1508">
        <f t="shared" si="13"/>
        <v>100</v>
      </c>
      <c r="V33" s="1507" t="s">
        <v>8</v>
      </c>
      <c r="W33" s="1508">
        <f t="shared" si="14"/>
        <v>100</v>
      </c>
      <c r="X33" s="1501"/>
      <c r="Y33" s="3579" t="s">
        <v>542</v>
      </c>
      <c r="Z33" s="1509" t="str">
        <f t="shared" si="15"/>
        <v>建筑类型</v>
      </c>
      <c r="AA33" s="1510">
        <f t="shared" si="3"/>
        <v>1</v>
      </c>
      <c r="AB33" s="1510">
        <f t="shared" si="4"/>
        <v>1</v>
      </c>
      <c r="AC33" s="1510">
        <f t="shared" si="5"/>
        <v>1</v>
      </c>
    </row>
    <row r="34" spans="1:29" s="1292" customFormat="1" ht="15">
      <c r="A34" s="597"/>
      <c r="B34" s="521" t="s">
        <v>718</v>
      </c>
      <c r="C34" s="869">
        <f>'数据-汇总表'!F19</f>
        <v>71189.150999999998</v>
      </c>
      <c r="D34" s="253">
        <v>100</v>
      </c>
      <c r="E34" s="528">
        <v>456</v>
      </c>
      <c r="F34" s="852">
        <f>LOOKUP(E34,104:104,105:105)-LOOKUP(C34,104:104,105:105)+100</f>
        <v>101</v>
      </c>
      <c r="G34" s="527">
        <v>450</v>
      </c>
      <c r="H34" s="253">
        <f>LOOKUP(G34,104:104,105:105)-LOOKUP(C34,104:104,105:105)+100</f>
        <v>101</v>
      </c>
      <c r="I34" s="527">
        <v>500</v>
      </c>
      <c r="J34" s="253">
        <f>LOOKUP(I34,104:104,105:105)-LOOKUP(C34,104:104,105:105)+100</f>
        <v>101</v>
      </c>
      <c r="K34" s="575"/>
      <c r="L34" s="2022"/>
      <c r="M34" s="2052"/>
      <c r="N34" s="2052"/>
      <c r="O34" s="2052"/>
      <c r="P34" s="3579"/>
      <c r="Q34" s="1535" t="str">
        <f t="shared" si="11"/>
        <v>项目建筑规模</v>
      </c>
      <c r="R34" s="1511" t="s">
        <v>8</v>
      </c>
      <c r="S34" s="1512">
        <f t="shared" si="12"/>
        <v>101</v>
      </c>
      <c r="T34" s="1511" t="s">
        <v>8</v>
      </c>
      <c r="U34" s="1512">
        <f t="shared" si="13"/>
        <v>101</v>
      </c>
      <c r="V34" s="1511" t="s">
        <v>8</v>
      </c>
      <c r="W34" s="1512">
        <f t="shared" si="14"/>
        <v>101</v>
      </c>
      <c r="X34" s="1513"/>
      <c r="Y34" s="3579"/>
      <c r="Z34" s="1514" t="str">
        <f t="shared" si="15"/>
        <v>项目建筑规模</v>
      </c>
      <c r="AA34" s="1510">
        <f t="shared" si="3"/>
        <v>0.99009900990099009</v>
      </c>
      <c r="AB34" s="1510">
        <f t="shared" si="4"/>
        <v>0.99009900990099009</v>
      </c>
      <c r="AC34" s="1510">
        <f t="shared" si="5"/>
        <v>0.99009900990099009</v>
      </c>
    </row>
    <row r="35" spans="1:29" ht="15">
      <c r="A35" s="588"/>
      <c r="B35" s="521" t="s">
        <v>719</v>
      </c>
      <c r="C35" s="568" t="s">
        <v>3077</v>
      </c>
      <c r="D35" s="534">
        <v>100</v>
      </c>
      <c r="E35" s="568" t="s">
        <v>3077</v>
      </c>
      <c r="F35" s="569">
        <f>SUMIF(106:106,E35,107:107)-SUMIF(106:106,C35,107:107)+100</f>
        <v>100</v>
      </c>
      <c r="G35" s="568" t="s">
        <v>3077</v>
      </c>
      <c r="H35" s="534">
        <f>SUMIF(106:106,G35,107:107)-SUMIF(106:106,C35,107:107)+100</f>
        <v>100</v>
      </c>
      <c r="I35" s="568" t="s">
        <v>3077</v>
      </c>
      <c r="J35" s="534">
        <f>SUMIF(106:106,I35,107:107)-SUMIF(106:106,C35,107:107)+100</f>
        <v>100</v>
      </c>
      <c r="K35" s="578"/>
      <c r="L35" s="2024"/>
      <c r="M35" s="2016"/>
      <c r="N35" s="2016"/>
      <c r="O35" s="2016"/>
      <c r="P35" s="3579"/>
      <c r="Q35" s="1506" t="str">
        <f t="shared" si="11"/>
        <v>建筑结构</v>
      </c>
      <c r="R35" s="1507" t="s">
        <v>8</v>
      </c>
      <c r="S35" s="1508">
        <f t="shared" si="12"/>
        <v>100</v>
      </c>
      <c r="T35" s="1507" t="s">
        <v>8</v>
      </c>
      <c r="U35" s="1508">
        <f t="shared" si="13"/>
        <v>100</v>
      </c>
      <c r="V35" s="1507" t="s">
        <v>8</v>
      </c>
      <c r="W35" s="1508">
        <f t="shared" si="14"/>
        <v>100</v>
      </c>
      <c r="X35" s="1501"/>
      <c r="Y35" s="3579"/>
      <c r="Z35" s="1509" t="str">
        <f t="shared" si="15"/>
        <v>建筑结构</v>
      </c>
      <c r="AA35" s="1510">
        <f t="shared" si="3"/>
        <v>1</v>
      </c>
      <c r="AB35" s="1510">
        <f t="shared" si="4"/>
        <v>1</v>
      </c>
      <c r="AC35" s="1510">
        <f t="shared" si="5"/>
        <v>1</v>
      </c>
    </row>
    <row r="36" spans="1:29" ht="15">
      <c r="A36" s="588"/>
      <c r="B36" s="521" t="s">
        <v>755</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79"/>
      <c r="Q36" s="1506" t="str">
        <f t="shared" si="11"/>
        <v>公共部分装修</v>
      </c>
      <c r="R36" s="1507" t="s">
        <v>8</v>
      </c>
      <c r="S36" s="1508">
        <f t="shared" si="12"/>
        <v>100</v>
      </c>
      <c r="T36" s="1507" t="s">
        <v>8</v>
      </c>
      <c r="U36" s="1508">
        <f t="shared" si="13"/>
        <v>100</v>
      </c>
      <c r="V36" s="1507" t="s">
        <v>8</v>
      </c>
      <c r="W36" s="1508">
        <f t="shared" si="14"/>
        <v>100</v>
      </c>
      <c r="X36" s="1501"/>
      <c r="Y36" s="3579"/>
      <c r="Z36" s="1509" t="str">
        <f t="shared" si="15"/>
        <v>公共部分装修</v>
      </c>
      <c r="AA36" s="1510">
        <f t="shared" si="3"/>
        <v>1</v>
      </c>
      <c r="AB36" s="1510">
        <f t="shared" si="4"/>
        <v>1</v>
      </c>
      <c r="AC36" s="1510">
        <f t="shared" si="5"/>
        <v>1</v>
      </c>
    </row>
    <row r="37" spans="1:29" ht="15">
      <c r="A37" s="588"/>
      <c r="B37" s="521" t="s">
        <v>756</v>
      </c>
      <c r="C37" s="872">
        <v>1</v>
      </c>
      <c r="D37" s="534">
        <v>100</v>
      </c>
      <c r="E37" s="872">
        <v>0.85</v>
      </c>
      <c r="F37" s="569">
        <f>LOOKUP(E37,111:111,112:112)-LOOKUP(C37,111:111,112:112)+100</f>
        <v>95</v>
      </c>
      <c r="G37" s="872">
        <v>0.85</v>
      </c>
      <c r="H37" s="569">
        <f>LOOKUP(G37,111:111,112:112)-LOOKUP(C37,111:111,112:112)+100</f>
        <v>95</v>
      </c>
      <c r="I37" s="872">
        <v>0.9</v>
      </c>
      <c r="J37" s="534">
        <f>LOOKUP(I37,111:111,112:112)-LOOKUP(C37,111:111,112:112)+100</f>
        <v>100</v>
      </c>
      <c r="K37" s="578">
        <v>5</v>
      </c>
      <c r="L37" s="2024"/>
      <c r="M37" s="2016"/>
      <c r="N37" s="2016"/>
      <c r="O37" s="2016"/>
      <c r="P37" s="3579"/>
      <c r="Q37" s="1506" t="str">
        <f t="shared" si="11"/>
        <v>成新度</v>
      </c>
      <c r="R37" s="1507" t="s">
        <v>8</v>
      </c>
      <c r="S37" s="1508">
        <f t="shared" si="12"/>
        <v>95</v>
      </c>
      <c r="T37" s="1507" t="s">
        <v>8</v>
      </c>
      <c r="U37" s="1508">
        <f t="shared" si="13"/>
        <v>95</v>
      </c>
      <c r="V37" s="1507" t="s">
        <v>8</v>
      </c>
      <c r="W37" s="1508">
        <f t="shared" si="14"/>
        <v>100</v>
      </c>
      <c r="X37" s="1501"/>
      <c r="Y37" s="3579"/>
      <c r="Z37" s="1509" t="str">
        <f t="shared" si="15"/>
        <v>成新度</v>
      </c>
      <c r="AA37" s="1510">
        <f t="shared" si="3"/>
        <v>1.0526315789473684</v>
      </c>
      <c r="AB37" s="1510">
        <f t="shared" si="4"/>
        <v>1.0526315789473684</v>
      </c>
      <c r="AC37" s="1510">
        <f t="shared" si="5"/>
        <v>1</v>
      </c>
    </row>
    <row r="38" spans="1:29" s="1202" customFormat="1" ht="15">
      <c r="A38" s="594"/>
      <c r="B38" s="521" t="s">
        <v>773</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79"/>
      <c r="Q38" s="1133" t="str">
        <f t="shared" si="11"/>
        <v>写字楼等级</v>
      </c>
      <c r="R38" s="1502" t="s">
        <v>8</v>
      </c>
      <c r="S38" s="1503">
        <f t="shared" si="12"/>
        <v>100</v>
      </c>
      <c r="T38" s="1502" t="s">
        <v>8</v>
      </c>
      <c r="U38" s="1503">
        <f t="shared" si="13"/>
        <v>100</v>
      </c>
      <c r="V38" s="1502" t="s">
        <v>8</v>
      </c>
      <c r="W38" s="1503">
        <f t="shared" si="14"/>
        <v>100</v>
      </c>
      <c r="X38" s="1504"/>
      <c r="Y38" s="3579"/>
      <c r="Z38" s="1132" t="str">
        <f t="shared" si="15"/>
        <v>写字楼等级</v>
      </c>
      <c r="AA38" s="1505">
        <f t="shared" si="3"/>
        <v>1</v>
      </c>
      <c r="AB38" s="1505">
        <f t="shared" si="4"/>
        <v>1</v>
      </c>
      <c r="AC38" s="1505">
        <f t="shared" si="5"/>
        <v>1</v>
      </c>
    </row>
    <row r="39" spans="1:29" ht="15">
      <c r="A39" s="588"/>
      <c r="B39" s="521" t="s">
        <v>774</v>
      </c>
      <c r="C39" s="568" t="s">
        <v>3145</v>
      </c>
      <c r="D39" s="534">
        <v>100</v>
      </c>
      <c r="E39" s="568" t="s">
        <v>3145</v>
      </c>
      <c r="F39" s="569">
        <f>SUMIF(115:115,E39,116:116)-SUMIF(115:115,C39,116:116)+100</f>
        <v>100</v>
      </c>
      <c r="G39" s="568" t="s">
        <v>3145</v>
      </c>
      <c r="H39" s="534">
        <f>SUMIF(115:115,G39,116:116)-SUMIF(115:115,C39,116:116)+100</f>
        <v>100</v>
      </c>
      <c r="I39" s="568" t="s">
        <v>3145</v>
      </c>
      <c r="J39" s="534">
        <f>SUMIF(115:115,I39,116:116)-SUMIF(115:115,C39,116:116)+100</f>
        <v>100</v>
      </c>
      <c r="K39" s="578"/>
      <c r="L39" s="2024"/>
      <c r="M39" s="2016"/>
      <c r="N39" s="2016"/>
      <c r="O39" s="2016"/>
      <c r="P39" s="3579" t="s">
        <v>542</v>
      </c>
      <c r="Q39" s="1506" t="str">
        <f t="shared" si="11"/>
        <v>物业管理</v>
      </c>
      <c r="R39" s="1507" t="s">
        <v>8</v>
      </c>
      <c r="S39" s="1508">
        <f t="shared" si="12"/>
        <v>100</v>
      </c>
      <c r="T39" s="1507" t="s">
        <v>8</v>
      </c>
      <c r="U39" s="1508">
        <f t="shared" si="13"/>
        <v>100</v>
      </c>
      <c r="V39" s="1507" t="s">
        <v>8</v>
      </c>
      <c r="W39" s="1508">
        <f t="shared" si="14"/>
        <v>100</v>
      </c>
      <c r="X39" s="1501"/>
      <c r="Y39" s="3579" t="s">
        <v>542</v>
      </c>
      <c r="Z39" s="1509" t="str">
        <f t="shared" si="15"/>
        <v>物业管理</v>
      </c>
      <c r="AA39" s="1510">
        <f t="shared" si="3"/>
        <v>1</v>
      </c>
      <c r="AB39" s="1510">
        <f t="shared" si="4"/>
        <v>1</v>
      </c>
      <c r="AC39" s="1510">
        <f t="shared" si="5"/>
        <v>1</v>
      </c>
    </row>
    <row r="40" spans="1:29" ht="15">
      <c r="A40" s="588"/>
      <c r="B40" s="1809" t="s">
        <v>2541</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79"/>
      <c r="Q40" s="1506" t="str">
        <f t="shared" si="11"/>
        <v>市政基础设施</v>
      </c>
      <c r="R40" s="1507" t="s">
        <v>8</v>
      </c>
      <c r="S40" s="1508">
        <f t="shared" si="12"/>
        <v>100</v>
      </c>
      <c r="T40" s="1507" t="s">
        <v>8</v>
      </c>
      <c r="U40" s="1508">
        <f t="shared" si="13"/>
        <v>100</v>
      </c>
      <c r="V40" s="1507" t="s">
        <v>8</v>
      </c>
      <c r="W40" s="1508">
        <f t="shared" si="14"/>
        <v>100</v>
      </c>
      <c r="X40" s="1501"/>
      <c r="Y40" s="3579"/>
      <c r="Z40" s="1509" t="str">
        <f t="shared" si="15"/>
        <v>市政基础设施</v>
      </c>
      <c r="AA40" s="1510">
        <f t="shared" si="3"/>
        <v>1</v>
      </c>
      <c r="AB40" s="1510">
        <f t="shared" si="4"/>
        <v>1</v>
      </c>
      <c r="AC40" s="1510">
        <f t="shared" si="5"/>
        <v>1</v>
      </c>
    </row>
    <row r="41" spans="1:29" ht="15">
      <c r="A41" s="588"/>
      <c r="B41" s="521" t="s">
        <v>759</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79"/>
      <c r="Q41" s="1506" t="str">
        <f t="shared" si="11"/>
        <v>层高</v>
      </c>
      <c r="R41" s="1507" t="s">
        <v>8</v>
      </c>
      <c r="S41" s="1508">
        <f t="shared" si="12"/>
        <v>100</v>
      </c>
      <c r="T41" s="1507" t="s">
        <v>8</v>
      </c>
      <c r="U41" s="1508">
        <f t="shared" si="13"/>
        <v>100</v>
      </c>
      <c r="V41" s="1507" t="s">
        <v>8</v>
      </c>
      <c r="W41" s="1508">
        <f t="shared" si="14"/>
        <v>100</v>
      </c>
      <c r="X41" s="1501"/>
      <c r="Y41" s="3579"/>
      <c r="Z41" s="1509" t="str">
        <f t="shared" si="15"/>
        <v>层高</v>
      </c>
      <c r="AA41" s="1510">
        <f t="shared" si="3"/>
        <v>1</v>
      </c>
      <c r="AB41" s="1510">
        <f t="shared" si="4"/>
        <v>1</v>
      </c>
      <c r="AC41" s="1510">
        <f t="shared" si="5"/>
        <v>1</v>
      </c>
    </row>
    <row r="42" spans="1:29" s="1292" customFormat="1" ht="15">
      <c r="A42" s="597"/>
      <c r="B42" s="893" t="s">
        <v>775</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79"/>
      <c r="Q42" s="1535" t="str">
        <f t="shared" si="11"/>
        <v>单套建筑面积</v>
      </c>
      <c r="R42" s="1511" t="s">
        <v>8</v>
      </c>
      <c r="S42" s="1512">
        <f t="shared" si="12"/>
        <v>100</v>
      </c>
      <c r="T42" s="1511" t="s">
        <v>8</v>
      </c>
      <c r="U42" s="1512">
        <f t="shared" si="13"/>
        <v>100</v>
      </c>
      <c r="V42" s="1511" t="s">
        <v>8</v>
      </c>
      <c r="W42" s="1512">
        <f t="shared" si="14"/>
        <v>100</v>
      </c>
      <c r="X42" s="1513"/>
      <c r="Y42" s="3579"/>
      <c r="Z42" s="1514" t="str">
        <f t="shared" si="15"/>
        <v>单套建筑面积</v>
      </c>
      <c r="AA42" s="1510">
        <f t="shared" si="3"/>
        <v>1</v>
      </c>
      <c r="AB42" s="1510">
        <f t="shared" si="4"/>
        <v>1</v>
      </c>
      <c r="AC42" s="1510">
        <f t="shared" si="5"/>
        <v>1</v>
      </c>
    </row>
    <row r="43" spans="1:29" ht="15">
      <c r="A43" s="588"/>
      <c r="B43" s="521" t="s">
        <v>762</v>
      </c>
      <c r="C43" s="568" t="s">
        <v>3081</v>
      </c>
      <c r="D43" s="534">
        <v>100</v>
      </c>
      <c r="E43" s="568" t="s">
        <v>3146</v>
      </c>
      <c r="F43" s="569">
        <f>SUMIF(123:123,E43,124:124)-SUMIF(123:123,C43,124:124)+100</f>
        <v>101</v>
      </c>
      <c r="G43" s="568" t="s">
        <v>3146</v>
      </c>
      <c r="H43" s="534">
        <f>SUMIF(123:123,G43,124:124)-SUMIF(123:123,C43,124:124)+100</f>
        <v>101</v>
      </c>
      <c r="I43" s="568" t="s">
        <v>3146</v>
      </c>
      <c r="J43" s="534">
        <f>SUMIF(123:123,I43,124:124)-SUMIF(123:123,C43,124:124)+100</f>
        <v>101</v>
      </c>
      <c r="K43" s="578">
        <v>1</v>
      </c>
      <c r="L43" s="2024"/>
      <c r="M43" s="2016"/>
      <c r="N43" s="2016"/>
      <c r="O43" s="2016"/>
      <c r="P43" s="3579"/>
      <c r="Q43" s="1506" t="str">
        <f t="shared" si="11"/>
        <v>内部装修</v>
      </c>
      <c r="R43" s="1507" t="s">
        <v>8</v>
      </c>
      <c r="S43" s="1508">
        <f t="shared" si="12"/>
        <v>101</v>
      </c>
      <c r="T43" s="1507" t="s">
        <v>8</v>
      </c>
      <c r="U43" s="1508">
        <f t="shared" si="13"/>
        <v>101</v>
      </c>
      <c r="V43" s="1507" t="s">
        <v>8</v>
      </c>
      <c r="W43" s="1508">
        <f t="shared" si="14"/>
        <v>101</v>
      </c>
      <c r="X43" s="1501"/>
      <c r="Y43" s="3579"/>
      <c r="Z43" s="1509" t="str">
        <f t="shared" si="15"/>
        <v>内部装修</v>
      </c>
      <c r="AA43" s="1510">
        <f t="shared" si="3"/>
        <v>0.99009900990099009</v>
      </c>
      <c r="AB43" s="1510">
        <f t="shared" si="4"/>
        <v>0.99009900990099009</v>
      </c>
      <c r="AC43" s="1510">
        <f t="shared" si="5"/>
        <v>0.99009900990099009</v>
      </c>
    </row>
    <row r="44" spans="1:29" ht="27">
      <c r="A44" s="588"/>
      <c r="B44" s="521" t="s">
        <v>727</v>
      </c>
      <c r="C44" s="568" t="s">
        <v>3018</v>
      </c>
      <c r="D44" s="534">
        <v>100</v>
      </c>
      <c r="E44" s="593" t="s">
        <v>3018</v>
      </c>
      <c r="F44" s="569">
        <f>SUMIF(125:125,E44,126:126)-SUMIF(125:125,C44,126:126)+100</f>
        <v>100</v>
      </c>
      <c r="G44" s="593" t="s">
        <v>3018</v>
      </c>
      <c r="H44" s="534">
        <f>SUMIF(125:125,G44,126:126)-SUMIF(125:125,C44,126:126)+100</f>
        <v>100</v>
      </c>
      <c r="I44" s="593" t="s">
        <v>3018</v>
      </c>
      <c r="J44" s="534">
        <f>SUMIF(125:125,I44,126:126)-SUMIF(125:125,C44,126:126)+100</f>
        <v>100</v>
      </c>
      <c r="K44" s="578"/>
      <c r="L44" s="2024"/>
      <c r="M44" s="2016"/>
      <c r="N44" s="2016"/>
      <c r="O44" s="2016"/>
      <c r="P44" s="3579"/>
      <c r="Q44" s="1506" t="str">
        <f t="shared" si="11"/>
        <v>内部装修维护情况</v>
      </c>
      <c r="R44" s="1507" t="s">
        <v>8</v>
      </c>
      <c r="S44" s="1508">
        <f t="shared" si="12"/>
        <v>100</v>
      </c>
      <c r="T44" s="1507" t="s">
        <v>8</v>
      </c>
      <c r="U44" s="1508">
        <f t="shared" si="13"/>
        <v>100</v>
      </c>
      <c r="V44" s="1507" t="s">
        <v>8</v>
      </c>
      <c r="W44" s="1508">
        <f t="shared" si="14"/>
        <v>100</v>
      </c>
      <c r="X44" s="1501"/>
      <c r="Y44" s="3579"/>
      <c r="Z44" s="1509" t="str">
        <f t="shared" si="15"/>
        <v>内部装修维护情况</v>
      </c>
      <c r="AA44" s="1510">
        <f t="shared" si="3"/>
        <v>1</v>
      </c>
      <c r="AB44" s="1510">
        <f t="shared" si="4"/>
        <v>1</v>
      </c>
      <c r="AC44" s="1510">
        <f t="shared" si="5"/>
        <v>1</v>
      </c>
    </row>
    <row r="45" spans="1:29" s="1202"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79"/>
      <c r="Q45" s="1133">
        <f t="shared" si="11"/>
        <v>111</v>
      </c>
      <c r="R45" s="1502" t="s">
        <v>8</v>
      </c>
      <c r="S45" s="1503">
        <f t="shared" si="12"/>
        <v>100</v>
      </c>
      <c r="T45" s="1502" t="s">
        <v>8</v>
      </c>
      <c r="U45" s="1503">
        <f t="shared" si="13"/>
        <v>100</v>
      </c>
      <c r="V45" s="1502" t="s">
        <v>8</v>
      </c>
      <c r="W45" s="1503">
        <f t="shared" si="14"/>
        <v>100</v>
      </c>
      <c r="X45" s="1504"/>
      <c r="Y45" s="3579"/>
      <c r="Z45" s="1132">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79"/>
      <c r="Q46" s="1506">
        <f t="shared" si="11"/>
        <v>111</v>
      </c>
      <c r="R46" s="1507" t="s">
        <v>8</v>
      </c>
      <c r="S46" s="1508">
        <f t="shared" si="12"/>
        <v>100</v>
      </c>
      <c r="T46" s="1507" t="s">
        <v>8</v>
      </c>
      <c r="U46" s="1508">
        <f t="shared" si="13"/>
        <v>100</v>
      </c>
      <c r="V46" s="1507" t="s">
        <v>8</v>
      </c>
      <c r="W46" s="1508">
        <f t="shared" si="14"/>
        <v>100</v>
      </c>
      <c r="X46" s="1501"/>
      <c r="Y46" s="3579"/>
      <c r="Z46" s="1509">
        <f t="shared" si="15"/>
        <v>111</v>
      </c>
      <c r="AA46" s="1510">
        <f t="shared" si="3"/>
        <v>1</v>
      </c>
      <c r="AB46" s="1510">
        <f t="shared" si="4"/>
        <v>1</v>
      </c>
      <c r="AC46" s="1510">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80"/>
      <c r="Q47" s="1506">
        <f t="shared" si="11"/>
        <v>111</v>
      </c>
      <c r="R47" s="1507" t="s">
        <v>8</v>
      </c>
      <c r="S47" s="1508">
        <f t="shared" si="12"/>
        <v>100</v>
      </c>
      <c r="T47" s="1507" t="s">
        <v>8</v>
      </c>
      <c r="U47" s="1508">
        <f t="shared" si="13"/>
        <v>100</v>
      </c>
      <c r="V47" s="1507" t="s">
        <v>8</v>
      </c>
      <c r="W47" s="1508">
        <f t="shared" si="14"/>
        <v>100</v>
      </c>
      <c r="X47" s="1501"/>
      <c r="Y47" s="3680"/>
      <c r="Z47" s="1509">
        <f t="shared" si="15"/>
        <v>111</v>
      </c>
      <c r="AA47" s="1510">
        <f t="shared" si="3"/>
        <v>1</v>
      </c>
      <c r="AB47" s="1510">
        <f t="shared" si="4"/>
        <v>1</v>
      </c>
      <c r="AC47" s="1510">
        <f t="shared" si="5"/>
        <v>1</v>
      </c>
    </row>
    <row r="48" spans="1:29" ht="15">
      <c r="A48" s="601" t="s">
        <v>728</v>
      </c>
      <c r="B48" s="876"/>
      <c r="C48" s="2470" t="s">
        <v>1</v>
      </c>
      <c r="D48" s="2471"/>
      <c r="E48" s="2472">
        <v>3</v>
      </c>
      <c r="F48" s="2473"/>
      <c r="G48" s="2474">
        <v>3</v>
      </c>
      <c r="H48" s="2475"/>
      <c r="I48" s="2472">
        <v>3</v>
      </c>
      <c r="J48" s="2475"/>
      <c r="K48" s="1540"/>
      <c r="L48" s="2026"/>
      <c r="M48" s="2016"/>
      <c r="N48" s="2016"/>
      <c r="O48" s="2016"/>
      <c r="P48" s="3596" t="str">
        <f>A48</f>
        <v>成交单价（元/平方米）</v>
      </c>
      <c r="Q48" s="3574"/>
      <c r="R48" s="3679">
        <f>E48</f>
        <v>3</v>
      </c>
      <c r="S48" s="3679"/>
      <c r="T48" s="3679">
        <f>G48</f>
        <v>3</v>
      </c>
      <c r="U48" s="3679"/>
      <c r="V48" s="3679">
        <f>I48</f>
        <v>3</v>
      </c>
      <c r="W48" s="3679"/>
      <c r="X48" s="1496"/>
      <c r="Y48" s="1515"/>
      <c r="Z48" s="1496"/>
      <c r="AA48" s="1496"/>
      <c r="AB48" s="1496"/>
      <c r="AC48" s="1496"/>
    </row>
    <row r="49" spans="1:29" ht="15.75" thickBot="1">
      <c r="A49" s="609" t="s">
        <v>2735</v>
      </c>
      <c r="B49" s="877"/>
      <c r="C49" s="2476">
        <f>R50</f>
        <v>3.2</v>
      </c>
      <c r="D49" s="3013" t="s">
        <v>2960</v>
      </c>
      <c r="E49" s="2477">
        <f>R49</f>
        <v>3.2</v>
      </c>
      <c r="F49" s="3014"/>
      <c r="G49" s="2476">
        <f>T49</f>
        <v>3.2</v>
      </c>
      <c r="H49" s="3014"/>
      <c r="I49" s="2477">
        <f>V49</f>
        <v>3.1</v>
      </c>
      <c r="J49" s="3014"/>
      <c r="K49" s="3022">
        <f>F49+H49+J49</f>
        <v>0</v>
      </c>
      <c r="L49" s="2026"/>
      <c r="M49" s="2016"/>
      <c r="N49" s="2016"/>
      <c r="O49" s="2016"/>
      <c r="P49" s="3596" t="str">
        <f>A49</f>
        <v>比较价格（元/平方米）</v>
      </c>
      <c r="Q49" s="3574"/>
      <c r="R49" s="3679">
        <f>IF(F1="售价",ROUND(PRODUCT(R48,AA7:AA47),0),ROUND(PRODUCT(R48,AA7:AA47),1))</f>
        <v>3.2</v>
      </c>
      <c r="S49" s="3679"/>
      <c r="T49" s="3679">
        <f>IF(F1="售价",ROUND(PRODUCT(T48,AB7:AB47),0),ROUND(PRODUCT(T48,AB7:AB47),1))</f>
        <v>3.2</v>
      </c>
      <c r="U49" s="3679"/>
      <c r="V49" s="3679">
        <f>IF(F1="售价",ROUND(PRODUCT(V48,AC7:AC47),0),ROUND(PRODUCT(V48,AC7:AC47),1))</f>
        <v>3.1</v>
      </c>
      <c r="W49" s="3679"/>
      <c r="X49" s="1496"/>
      <c r="Y49" s="1496"/>
      <c r="Z49" s="1496"/>
      <c r="AA49" s="1496"/>
      <c r="AB49" s="1496"/>
      <c r="AC49" s="1496"/>
    </row>
    <row r="50" spans="1:29" ht="15.75" thickBot="1">
      <c r="A50" s="613" t="s">
        <v>2893</v>
      </c>
      <c r="B50" s="614"/>
      <c r="C50" s="2478">
        <f>R50</f>
        <v>3.2</v>
      </c>
      <c r="D50" s="2478"/>
      <c r="E50" s="2478"/>
      <c r="F50" s="2478"/>
      <c r="G50" s="2478"/>
      <c r="H50" s="2478"/>
      <c r="I50" s="2478"/>
      <c r="J50" s="2478"/>
      <c r="K50" s="1541"/>
      <c r="L50" s="2026"/>
      <c r="M50" s="2016"/>
      <c r="N50" s="2016"/>
      <c r="O50" s="2016"/>
      <c r="P50" s="3684" t="str">
        <f>A50</f>
        <v>估价对象XX用房的比较价格（楼面单价，元/平方米）</v>
      </c>
      <c r="Q50" s="3596"/>
      <c r="R50" s="3678">
        <f>IF(F1="售价",ROUND(IF(D49="简单平均",AVERAGE(R49:V49),R49*F49+T49*H49+V49*J49),0),ROUND(IF(D49="简单平均",AVERAGE(R49:V49),R49*F49+T49*H49+V49*J49),1))</f>
        <v>3.2</v>
      </c>
      <c r="S50" s="3678"/>
      <c r="T50" s="3678"/>
      <c r="U50" s="3678"/>
      <c r="V50" s="3678"/>
      <c r="W50" s="3678"/>
      <c r="X50" s="1496"/>
      <c r="Y50" s="1496"/>
      <c r="Z50" s="1496"/>
      <c r="AA50" s="1496"/>
      <c r="AB50" s="1496"/>
      <c r="AC50" s="1496"/>
    </row>
    <row r="51" spans="1:29">
      <c r="A51" s="3210"/>
      <c r="B51" s="3210"/>
      <c r="C51" s="3210"/>
      <c r="D51" s="3210"/>
      <c r="E51" s="3210"/>
      <c r="F51" s="3210"/>
      <c r="G51" s="3212"/>
      <c r="H51" s="3210"/>
      <c r="I51" s="3210"/>
      <c r="J51" s="3210"/>
      <c r="K51" s="3213"/>
      <c r="L51" s="2031"/>
      <c r="M51" s="2027"/>
      <c r="N51" s="2027"/>
      <c r="O51" s="2027"/>
      <c r="P51" s="2088"/>
      <c r="Q51" s="2027"/>
      <c r="R51" s="2027"/>
      <c r="S51" s="2027"/>
      <c r="T51" s="2027"/>
      <c r="U51" s="2027"/>
      <c r="V51" s="2027"/>
      <c r="W51" s="2027"/>
      <c r="X51" s="2027"/>
      <c r="Y51" s="2027"/>
      <c r="Z51" s="2027"/>
      <c r="AA51" s="2027"/>
      <c r="AB51" s="2027"/>
      <c r="AC51" s="2027"/>
    </row>
    <row r="52" spans="1:29">
      <c r="A52" s="3210"/>
      <c r="B52" s="3210"/>
      <c r="C52" s="3210"/>
      <c r="D52" s="3210"/>
      <c r="E52" s="3210"/>
      <c r="F52" s="3210"/>
      <c r="G52" s="3210"/>
      <c r="H52" s="3210"/>
      <c r="I52" s="3210"/>
      <c r="J52" s="3210"/>
      <c r="K52" s="3213"/>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0"/>
      <c r="B53" s="3210"/>
      <c r="C53" s="616" t="s">
        <v>549</v>
      </c>
      <c r="D53" s="617"/>
      <c r="E53" s="618">
        <f>IF(E48&lt;E49,E49/E48-1,E48/E49-1)</f>
        <v>6.6666666666666652E-2</v>
      </c>
      <c r="F53" s="619" t="str">
        <f>IF(OR(E53&gt;=0.3,E53&lt;=-0.3),"超过30%","")</f>
        <v/>
      </c>
      <c r="G53" s="618">
        <f>IF(G48&lt;G49,G49/G48-1,G48/G49-1)</f>
        <v>6.6666666666666652E-2</v>
      </c>
      <c r="H53" s="619" t="str">
        <f>IF(OR(G53&gt;=0.3,G53&lt;=-0.3),"超过30%","")</f>
        <v/>
      </c>
      <c r="I53" s="618">
        <f>IF(I48&lt;I49,I49/I48-1,I48/I49-1)</f>
        <v>3.3333333333333437E-2</v>
      </c>
      <c r="J53" s="619" t="str">
        <f>IF(OR(I53&gt;=0.3,I53&lt;=-0.3),"超过30%","")</f>
        <v/>
      </c>
      <c r="K53" s="3213"/>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0"/>
      <c r="B54" s="3210"/>
      <c r="C54" s="616" t="s">
        <v>550</v>
      </c>
      <c r="D54" s="620"/>
      <c r="E54" s="618">
        <f>IF(E49&lt;G49,G49/E49-1,E49/G49-1)</f>
        <v>0</v>
      </c>
      <c r="F54" s="619" t="str">
        <f>IF(OR(E54&gt;=0.2,E54&lt;=-0.2),"超过20%","")</f>
        <v/>
      </c>
      <c r="G54" s="618">
        <f>IF(G49&lt;I49,I49/G49-1,G49/I49-1)</f>
        <v>3.2258064516129004E-2</v>
      </c>
      <c r="H54" s="619" t="str">
        <f>IF(OR(G54&gt;=0.2,G54&lt;=-0.2),"超过20%","")</f>
        <v/>
      </c>
      <c r="I54" s="618">
        <f>IF(I49&lt;E49,E49/I49-1,I49/E49-1)</f>
        <v>3.2258064516129004E-2</v>
      </c>
      <c r="J54" s="619" t="str">
        <f>IF(OR(I54&gt;=0.2,I54&lt;=-0.2),"超过20%","")</f>
        <v/>
      </c>
      <c r="K54" s="3213"/>
      <c r="L54" s="2031"/>
      <c r="M54" s="2027"/>
      <c r="N54" s="2027"/>
      <c r="O54" s="2027"/>
      <c r="P54" s="2088"/>
      <c r="Q54" s="2027"/>
      <c r="R54" s="2027"/>
      <c r="S54" s="2027"/>
      <c r="T54" s="2027"/>
      <c r="U54" s="2027"/>
      <c r="V54" s="2027"/>
      <c r="W54" s="2027"/>
      <c r="X54" s="2027"/>
      <c r="Y54" s="2027"/>
      <c r="Z54" s="2027"/>
      <c r="AA54" s="2027"/>
      <c r="AB54" s="2027"/>
      <c r="AC54" s="2027"/>
    </row>
    <row r="55" spans="1:29" s="1297" customFormat="1" ht="13.5" customHeight="1">
      <c r="A55" s="3211"/>
      <c r="B55" s="3211"/>
      <c r="C55" s="616" t="s">
        <v>551</v>
      </c>
      <c r="D55" s="620"/>
      <c r="E55" s="618">
        <f>IF(E48&lt;G48,G48/E48-1,E48/G48-1)</f>
        <v>0</v>
      </c>
      <c r="F55" s="619" t="str">
        <f>IF(OR(E55&gt;=0.3,E55&lt;=-0.3),"超过30%","")</f>
        <v/>
      </c>
      <c r="G55" s="618">
        <f>IF(G48&lt;I48,I48/G48-1,G48/I48-1)</f>
        <v>0</v>
      </c>
      <c r="H55" s="619" t="str">
        <f>IF(OR(G55&gt;=0.3,G55&lt;=-0.3),"超过30%","")</f>
        <v/>
      </c>
      <c r="I55" s="618">
        <f>IF(I48&lt;E48,E48/I48-1,I48/E48-1)</f>
        <v>0</v>
      </c>
      <c r="J55" s="619" t="str">
        <f>IF(OR(I55&gt;=0.3,I55&lt;=-0.3),"超过30%","")</f>
        <v/>
      </c>
      <c r="K55" s="3214"/>
      <c r="L55" s="2034"/>
      <c r="M55" s="2028"/>
      <c r="N55" s="2028"/>
      <c r="O55" s="2028"/>
      <c r="P55" s="2089"/>
      <c r="Q55" s="2028"/>
      <c r="R55" s="2028"/>
      <c r="S55" s="2028"/>
      <c r="T55" s="2028"/>
      <c r="U55" s="2028"/>
      <c r="V55" s="2028"/>
      <c r="W55" s="2028"/>
      <c r="X55" s="2028"/>
      <c r="Y55" s="2028"/>
      <c r="Z55" s="2028"/>
      <c r="AA55" s="2028"/>
      <c r="AB55" s="2028"/>
      <c r="AC55" s="2028"/>
    </row>
    <row r="56" spans="1:29" s="1297"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566</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299" customFormat="1" ht="15">
      <c r="A59" s="637" t="s">
        <v>521</v>
      </c>
      <c r="B59" s="638"/>
      <c r="C59" s="2519" t="str">
        <f>YEAR(C7)&amp;"-"&amp;MONTH(C7)</f>
        <v>2021-9</v>
      </c>
      <c r="D59" s="2521">
        <f>EDATE(C59,-1)</f>
        <v>44409</v>
      </c>
      <c r="E59" s="2521">
        <f t="shared" ref="E59:O59" si="16">EDATE(D59,-1)</f>
        <v>44378</v>
      </c>
      <c r="F59" s="2521">
        <f t="shared" si="16"/>
        <v>44348</v>
      </c>
      <c r="G59" s="2521">
        <f t="shared" si="16"/>
        <v>44317</v>
      </c>
      <c r="H59" s="2521">
        <f t="shared" si="16"/>
        <v>44287</v>
      </c>
      <c r="I59" s="2521">
        <f t="shared" si="16"/>
        <v>44256</v>
      </c>
      <c r="J59" s="2521">
        <f t="shared" si="16"/>
        <v>44228</v>
      </c>
      <c r="K59" s="2521">
        <f t="shared" si="16"/>
        <v>44197</v>
      </c>
      <c r="L59" s="2521">
        <f t="shared" si="16"/>
        <v>44166</v>
      </c>
      <c r="M59" s="2521">
        <f t="shared" si="16"/>
        <v>44136</v>
      </c>
      <c r="N59" s="2521">
        <f t="shared" si="16"/>
        <v>44105</v>
      </c>
      <c r="O59" s="2521">
        <f t="shared" si="16"/>
        <v>44075</v>
      </c>
      <c r="P59" s="2091"/>
      <c r="Q59" s="2042"/>
      <c r="R59" s="2042"/>
      <c r="S59" s="2042"/>
      <c r="T59" s="2042"/>
      <c r="U59" s="2042"/>
      <c r="V59" s="2042"/>
      <c r="W59" s="2042"/>
      <c r="X59" s="2042"/>
      <c r="Y59" s="2042"/>
      <c r="Z59" s="2042"/>
      <c r="AA59" s="2042"/>
      <c r="AB59" s="2042"/>
      <c r="AC59" s="2042"/>
    </row>
    <row r="60" spans="1:29" s="1202" customFormat="1" ht="15">
      <c r="A60" s="639"/>
      <c r="B60" s="640"/>
      <c r="C60" s="641">
        <v>100</v>
      </c>
      <c r="D60" s="642">
        <f>C60</f>
        <v>100</v>
      </c>
      <c r="E60" s="642">
        <f>C60</f>
        <v>100</v>
      </c>
      <c r="F60" s="642">
        <f>C60</f>
        <v>100</v>
      </c>
      <c r="G60" s="642">
        <f>C60</f>
        <v>100</v>
      </c>
      <c r="H60" s="642">
        <f>C60</f>
        <v>100</v>
      </c>
      <c r="I60" s="642">
        <f>C60</f>
        <v>100</v>
      </c>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2" customFormat="1" ht="15.75" thickBot="1">
      <c r="A61" s="645" t="s">
        <v>567</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2" customFormat="1" ht="15">
      <c r="A62" s="651" t="s">
        <v>523</v>
      </c>
      <c r="B62" s="640"/>
      <c r="C62" s="652" t="s">
        <v>568</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2"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569</v>
      </c>
      <c r="B64" s="657" t="s">
        <v>526</v>
      </c>
      <c r="C64" s="696" t="str">
        <f>C9</f>
        <v>办公</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529</v>
      </c>
      <c r="C66" s="666" t="s">
        <v>729</v>
      </c>
      <c r="D66" s="666" t="s">
        <v>730</v>
      </c>
      <c r="E66" s="666" t="s">
        <v>731</v>
      </c>
      <c r="F66" s="666" t="s">
        <v>732</v>
      </c>
      <c r="G66" s="666" t="s">
        <v>733</v>
      </c>
      <c r="H66" s="666" t="s">
        <v>734</v>
      </c>
      <c r="I66" s="666" t="s">
        <v>735</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530</v>
      </c>
      <c r="C68" s="674" t="str">
        <f>C69&amp;"（含）"&amp;"-"&amp;D69</f>
        <v>1（含）-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v>1</v>
      </c>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2"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2"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2"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2"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2"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2"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531</v>
      </c>
      <c r="B77" s="657" t="s">
        <v>577</v>
      </c>
      <c r="C77" s="695" t="s">
        <v>571</v>
      </c>
      <c r="D77" s="695" t="s">
        <v>572</v>
      </c>
      <c r="E77" s="695" t="s">
        <v>573</v>
      </c>
      <c r="F77" s="695" t="s">
        <v>574</v>
      </c>
      <c r="G77" s="695" t="s">
        <v>575</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99</v>
      </c>
      <c r="E78" s="671">
        <f>D78-$K15</f>
        <v>98</v>
      </c>
      <c r="F78" s="671">
        <f>E78-$K15</f>
        <v>97</v>
      </c>
      <c r="G78" s="671">
        <f>F78-$K15</f>
        <v>96</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578</v>
      </c>
      <c r="C79" s="700" t="s">
        <v>571</v>
      </c>
      <c r="D79" s="700" t="s">
        <v>572</v>
      </c>
      <c r="E79" s="700" t="s">
        <v>573</v>
      </c>
      <c r="F79" s="700" t="s">
        <v>574</v>
      </c>
      <c r="G79" s="700" t="s">
        <v>575</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99</v>
      </c>
      <c r="E80" s="671">
        <f>D80-$K17</f>
        <v>98</v>
      </c>
      <c r="F80" s="671">
        <f>E80-$K17</f>
        <v>97</v>
      </c>
      <c r="G80" s="671">
        <f>F80-$K17</f>
        <v>96</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2533</v>
      </c>
      <c r="C81" s="700" t="s">
        <v>571</v>
      </c>
      <c r="D81" s="700" t="s">
        <v>572</v>
      </c>
      <c r="E81" s="700" t="s">
        <v>573</v>
      </c>
      <c r="F81" s="700" t="s">
        <v>574</v>
      </c>
      <c r="G81" s="700" t="s">
        <v>575</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99</v>
      </c>
      <c r="E82" s="671">
        <f>D82-$K19</f>
        <v>98</v>
      </c>
      <c r="F82" s="671">
        <f>E82-$K19</f>
        <v>97</v>
      </c>
      <c r="G82" s="671">
        <f>F82-$K19</f>
        <v>96</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2534</v>
      </c>
      <c r="C83" s="2442" t="s">
        <v>2535</v>
      </c>
      <c r="D83" s="2442" t="s">
        <v>2536</v>
      </c>
      <c r="E83" s="2442" t="s">
        <v>2537</v>
      </c>
      <c r="F83" s="2442" t="s">
        <v>2538</v>
      </c>
      <c r="G83" s="2442" t="s">
        <v>2539</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776</v>
      </c>
      <c r="C85" s="700" t="s">
        <v>571</v>
      </c>
      <c r="D85" s="700" t="s">
        <v>572</v>
      </c>
      <c r="E85" s="700" t="s">
        <v>573</v>
      </c>
      <c r="F85" s="700" t="s">
        <v>574</v>
      </c>
      <c r="G85" s="700" t="s">
        <v>575</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94</v>
      </c>
      <c r="E86" s="671">
        <f>D86-$K23</f>
        <v>88</v>
      </c>
      <c r="F86" s="671">
        <f>E86-$K23</f>
        <v>82</v>
      </c>
      <c r="G86" s="671">
        <f>F86-$K23</f>
        <v>76</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2" customFormat="1" ht="27.75" thickTop="1">
      <c r="A87" s="701"/>
      <c r="B87" s="665" t="s">
        <v>777</v>
      </c>
      <c r="C87" s="3302" t="s">
        <v>3065</v>
      </c>
      <c r="D87" s="3302" t="s">
        <v>3066</v>
      </c>
      <c r="E87" s="3302" t="s">
        <v>3067</v>
      </c>
      <c r="F87" s="3302" t="s">
        <v>3068</v>
      </c>
      <c r="G87" s="3302" t="s">
        <v>3069</v>
      </c>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2" customFormat="1" ht="15.75" thickBot="1">
      <c r="A88" s="701"/>
      <c r="B88" s="670"/>
      <c r="C88" s="704">
        <v>100</v>
      </c>
      <c r="D88" s="671">
        <f t="shared" ref="D88:M88" si="19">C88-$K25</f>
        <v>95</v>
      </c>
      <c r="E88" s="671">
        <f t="shared" si="19"/>
        <v>90</v>
      </c>
      <c r="F88" s="671">
        <f t="shared" si="19"/>
        <v>85</v>
      </c>
      <c r="G88" s="671">
        <f t="shared" si="19"/>
        <v>80</v>
      </c>
      <c r="H88" s="671">
        <f t="shared" si="19"/>
        <v>75</v>
      </c>
      <c r="I88" s="671">
        <f t="shared" si="19"/>
        <v>70</v>
      </c>
      <c r="J88" s="671">
        <f t="shared" si="19"/>
        <v>65</v>
      </c>
      <c r="K88" s="671">
        <f t="shared" si="19"/>
        <v>60</v>
      </c>
      <c r="L88" s="671">
        <f t="shared" si="19"/>
        <v>55</v>
      </c>
      <c r="M88" s="671">
        <f t="shared" si="19"/>
        <v>50</v>
      </c>
      <c r="N88" s="2047"/>
      <c r="O88" s="2047"/>
      <c r="P88" s="2094"/>
      <c r="Q88" s="2039"/>
      <c r="R88" s="1905"/>
      <c r="S88" s="1905"/>
      <c r="T88" s="1905"/>
      <c r="U88" s="1905"/>
      <c r="V88" s="1905"/>
      <c r="W88" s="1905"/>
      <c r="X88" s="1905"/>
      <c r="Y88" s="1905"/>
      <c r="Z88" s="1905"/>
      <c r="AA88" s="1905"/>
      <c r="AB88" s="1905"/>
      <c r="AC88" s="1905"/>
    </row>
    <row r="89" spans="1:29" s="1202" customFormat="1" ht="15.75" thickTop="1">
      <c r="A89" s="701"/>
      <c r="B89" s="665" t="str">
        <f>B27</f>
        <v>楼层</v>
      </c>
      <c r="C89" s="680">
        <v>1</v>
      </c>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2" customFormat="1" ht="15.75" thickTop="1">
      <c r="A91" s="679"/>
      <c r="B91" s="665" t="str">
        <f>B28</f>
        <v>朝向</v>
      </c>
      <c r="C91" s="680">
        <v>1</v>
      </c>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543</v>
      </c>
      <c r="B101" s="657" t="s">
        <v>739</v>
      </c>
      <c r="C101" s="3371" t="s">
        <v>3139</v>
      </c>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29.25" thickTop="1">
      <c r="A103" s="661"/>
      <c r="B103" s="665" t="s">
        <v>740</v>
      </c>
      <c r="C103" s="700" t="str">
        <f>C104&amp;"(含)"&amp;"-"&amp;D104</f>
        <v>0(含)-50000</v>
      </c>
      <c r="D103" s="700" t="str">
        <f t="shared" ref="D103:L103" si="23">D104&amp;"(含)"&amp;"-"&amp;E104</f>
        <v>50000(含)-100000</v>
      </c>
      <c r="E103" s="700" t="str">
        <f t="shared" si="23"/>
        <v>100000(含)-200000</v>
      </c>
      <c r="F103" s="700" t="str">
        <f t="shared" si="23"/>
        <v>200000(含)-400000</v>
      </c>
      <c r="G103" s="700" t="str">
        <f t="shared" si="23"/>
        <v>400000(含)-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2" customFormat="1">
      <c r="A104" s="720"/>
      <c r="B104" s="721"/>
      <c r="C104" s="84">
        <v>0</v>
      </c>
      <c r="D104" s="84">
        <v>50000</v>
      </c>
      <c r="E104" s="84">
        <v>100000</v>
      </c>
      <c r="F104" s="84">
        <v>200000</v>
      </c>
      <c r="G104" s="84">
        <v>400000</v>
      </c>
      <c r="H104" s="84"/>
      <c r="I104" s="84"/>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2" customFormat="1" ht="15.75" thickBot="1">
      <c r="A105" s="679"/>
      <c r="B105" s="670"/>
      <c r="C105" s="3304">
        <v>100</v>
      </c>
      <c r="D105" s="3305">
        <v>99</v>
      </c>
      <c r="E105" s="3305">
        <v>98</v>
      </c>
      <c r="F105" s="3305">
        <v>97</v>
      </c>
      <c r="G105" s="3305">
        <v>92</v>
      </c>
      <c r="H105" s="3305">
        <v>90</v>
      </c>
      <c r="I105" s="3305">
        <v>88</v>
      </c>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741</v>
      </c>
      <c r="C106" s="3372" t="s">
        <v>3140</v>
      </c>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743</v>
      </c>
      <c r="C108" s="3302" t="s">
        <v>3045</v>
      </c>
      <c r="D108" s="3302" t="s">
        <v>3046</v>
      </c>
      <c r="E108" s="3302" t="s">
        <v>3047</v>
      </c>
      <c r="F108" s="3303" t="s">
        <v>3048</v>
      </c>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744</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105</v>
      </c>
      <c r="E112" s="671">
        <f t="shared" ref="E112:M112" si="26">D112+$K37</f>
        <v>110</v>
      </c>
      <c r="F112" s="671">
        <f t="shared" si="26"/>
        <v>115</v>
      </c>
      <c r="G112" s="671">
        <f t="shared" si="26"/>
        <v>120</v>
      </c>
      <c r="H112" s="671">
        <f t="shared" si="26"/>
        <v>125</v>
      </c>
      <c r="I112" s="671">
        <f t="shared" si="26"/>
        <v>130</v>
      </c>
      <c r="J112" s="671">
        <f t="shared" si="26"/>
        <v>135</v>
      </c>
      <c r="K112" s="671">
        <f t="shared" si="26"/>
        <v>140</v>
      </c>
      <c r="L112" s="671">
        <f t="shared" si="26"/>
        <v>145</v>
      </c>
      <c r="M112" s="671">
        <f t="shared" si="26"/>
        <v>150</v>
      </c>
      <c r="N112" s="2047"/>
      <c r="O112" s="2047"/>
      <c r="P112" s="2094"/>
      <c r="Q112" s="2039"/>
      <c r="R112" s="2027"/>
      <c r="S112" s="2027"/>
      <c r="T112" s="2027"/>
      <c r="U112" s="2027"/>
      <c r="V112" s="2027"/>
      <c r="W112" s="2027"/>
      <c r="X112" s="2027"/>
      <c r="Y112" s="2027"/>
      <c r="Z112" s="2027"/>
      <c r="AA112" s="2027"/>
      <c r="AB112" s="2027"/>
      <c r="AC112" s="2027"/>
    </row>
    <row r="113" spans="1:29" s="1292" customFormat="1" ht="15" thickTop="1">
      <c r="A113" s="720"/>
      <c r="B113" s="665" t="s">
        <v>778</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745</v>
      </c>
      <c r="C115" s="3302" t="s">
        <v>3141</v>
      </c>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2532</v>
      </c>
      <c r="C117" s="3302" t="s">
        <v>1968</v>
      </c>
      <c r="D117" s="3302" t="s">
        <v>1967</v>
      </c>
      <c r="E117" s="3302" t="s">
        <v>1966</v>
      </c>
      <c r="F117" s="3302" t="s">
        <v>1965</v>
      </c>
      <c r="G117" s="3302" t="s">
        <v>1964</v>
      </c>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779</v>
      </c>
      <c r="C119" s="3373" t="s">
        <v>3142</v>
      </c>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2" customFormat="1" ht="15" thickTop="1">
      <c r="A121" s="720"/>
      <c r="B121" s="665" t="s">
        <v>767</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2"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747</v>
      </c>
      <c r="C123" s="3302" t="s">
        <v>3045</v>
      </c>
      <c r="D123" s="3302" t="s">
        <v>3046</v>
      </c>
      <c r="E123" s="3302" t="s">
        <v>3047</v>
      </c>
      <c r="F123" s="3303" t="s">
        <v>3048</v>
      </c>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99</v>
      </c>
      <c r="E124" s="671">
        <f t="shared" si="30"/>
        <v>98</v>
      </c>
      <c r="F124" s="671">
        <f t="shared" si="30"/>
        <v>97</v>
      </c>
      <c r="G124" s="671">
        <f t="shared" si="30"/>
        <v>96</v>
      </c>
      <c r="H124" s="671">
        <f t="shared" si="30"/>
        <v>95</v>
      </c>
      <c r="I124" s="671">
        <f t="shared" si="30"/>
        <v>94</v>
      </c>
      <c r="J124" s="671">
        <f t="shared" si="30"/>
        <v>93</v>
      </c>
      <c r="K124" s="671">
        <f t="shared" si="30"/>
        <v>92</v>
      </c>
      <c r="L124" s="671">
        <f t="shared" si="30"/>
        <v>91</v>
      </c>
      <c r="M124" s="672">
        <f t="shared" si="30"/>
        <v>90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748</v>
      </c>
      <c r="C125" s="700" t="s">
        <v>571</v>
      </c>
      <c r="D125" s="700" t="s">
        <v>572</v>
      </c>
      <c r="E125" s="700" t="s">
        <v>573</v>
      </c>
      <c r="F125" s="700" t="s">
        <v>574</v>
      </c>
      <c r="G125" s="700" t="s">
        <v>575</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2"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2"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xr:uid="{00000000-0002-0000-2700-000000000000}">
      <formula1>办公建筑结构</formula1>
    </dataValidation>
    <dataValidation type="list" allowBlank="1" showInputMessage="1" showErrorMessage="1" sqref="E24 G24 I24 C24" xr:uid="{00000000-0002-0000-2700-000001000000}">
      <formula1>环境</formula1>
    </dataValidation>
    <dataValidation type="list" allowBlank="1" showInputMessage="1" showErrorMessage="1" sqref="E18 G18 I18 C18" xr:uid="{00000000-0002-0000-2700-000002000000}">
      <formula1>交通便捷度</formula1>
    </dataValidation>
    <dataValidation type="list" allowBlank="1" showInputMessage="1" showErrorMessage="1" sqref="C20 G20 I20 E20" xr:uid="{00000000-0002-0000-2700-000003000000}">
      <formula1>公共配套设施</formula1>
    </dataValidation>
    <dataValidation type="list" allowBlank="1" showInputMessage="1" showErrorMessage="1" sqref="C44 E44 G44 I44" xr:uid="{00000000-0002-0000-2700-000004000000}">
      <formula1>内部装修维护情况</formula1>
    </dataValidation>
    <dataValidation type="list" allowBlank="1" showInputMessage="1" showErrorMessage="1" sqref="D1" xr:uid="{00000000-0002-0000-2700-000005000000}">
      <formula1>项目类型</formula1>
    </dataValidation>
    <dataValidation type="list" allowBlank="1" showInputMessage="1" showErrorMessage="1" sqref="C10 E10 G10 I10" xr:uid="{00000000-0002-0000-2700-000006000000}">
      <formula1>土地年限区间</formula1>
    </dataValidation>
    <dataValidation type="list" allowBlank="1" showInputMessage="1" showErrorMessage="1" sqref="E9 G9 I9" xr:uid="{00000000-0002-0000-2700-000007000000}">
      <formula1>办公用途</formula1>
    </dataValidation>
    <dataValidation type="list" allowBlank="1" showInputMessage="1" showErrorMessage="1" sqref="C16 E16 G16 I16" xr:uid="{00000000-0002-0000-2700-000008000000}">
      <formula1>办公集聚程度</formula1>
    </dataValidation>
    <dataValidation type="list" allowBlank="1" showInputMessage="1" showErrorMessage="1" sqref="G26 C26 E26 I26" xr:uid="{00000000-0002-0000-2700-000009000000}">
      <formula1>办公道路级别</formula1>
    </dataValidation>
    <dataValidation type="list" allowBlank="1" showInputMessage="1" showErrorMessage="1" sqref="C28 E28 G28 I28" xr:uid="{00000000-0002-0000-2700-00000A000000}">
      <formula1>办公朝向</formula1>
    </dataValidation>
    <dataValidation type="list" allowBlank="1" showInputMessage="1" showErrorMessage="1" sqref="C27 E27 G27 I27" xr:uid="{00000000-0002-0000-2700-00000B000000}">
      <formula1>办公楼层</formula1>
    </dataValidation>
    <dataValidation type="list" allowBlank="1" showInputMessage="1" showErrorMessage="1" sqref="C33 E33 G33 I33" xr:uid="{00000000-0002-0000-2700-00000C000000}">
      <formula1>办公建筑类型</formula1>
    </dataValidation>
    <dataValidation type="list" allowBlank="1" showInputMessage="1" showErrorMessage="1" sqref="C36 E36 G36 I36" xr:uid="{00000000-0002-0000-2700-00000D000000}">
      <formula1>办公公共部分装修</formula1>
    </dataValidation>
    <dataValidation type="list" allowBlank="1" showInputMessage="1" showErrorMessage="1" sqref="C38 E38 G38 I38" xr:uid="{00000000-0002-0000-2700-00000E000000}">
      <formula1>写字楼等级</formula1>
    </dataValidation>
    <dataValidation type="list" allowBlank="1" showInputMessage="1" showErrorMessage="1" sqref="C39 E39 G39 I39" xr:uid="{00000000-0002-0000-2700-00000F000000}">
      <formula1>办公物业管理</formula1>
    </dataValidation>
    <dataValidation type="list" allowBlank="1" showInputMessage="1" showErrorMessage="1" sqref="C40 E40 G40 I40" xr:uid="{00000000-0002-0000-2700-000010000000}">
      <formula1>办公基础设施水平</formula1>
    </dataValidation>
    <dataValidation type="list" allowBlank="1" showInputMessage="1" showErrorMessage="1" sqref="C41 E41 G41 I41" xr:uid="{00000000-0002-0000-2700-000011000000}">
      <formula1>办公层高</formula1>
    </dataValidation>
    <dataValidation type="list" allowBlank="1" showInputMessage="1" showErrorMessage="1" sqref="C43 E43 G43 I43" xr:uid="{00000000-0002-0000-2700-000012000000}">
      <formula1>办公内部装修</formula1>
    </dataValidation>
    <dataValidation type="list" allowBlank="1" showInputMessage="1" showErrorMessage="1" sqref="C8 E8 G8 I8" xr:uid="{00000000-0002-0000-2700-000013000000}">
      <formula1>办公交易情况</formula1>
    </dataValidation>
    <dataValidation type="list" allowBlank="1" showInputMessage="1" showErrorMessage="1" sqref="C22 E22 G22 I22" xr:uid="{00000000-0002-0000-2700-000014000000}">
      <formula1>基础设施水平</formula1>
    </dataValidation>
    <dataValidation type="list" allowBlank="1" showInputMessage="1" showErrorMessage="1" sqref="F1" xr:uid="{00000000-0002-0000-2700-000015000000}">
      <formula1>"售价,租金"</formula1>
    </dataValidation>
    <dataValidation type="list" allowBlank="1" showInputMessage="1" showErrorMessage="1" sqref="D49" xr:uid="{00000000-0002-0000-27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710</v>
      </c>
      <c r="B1" s="497" t="s">
        <v>780</v>
      </c>
      <c r="C1" s="498" t="s">
        <v>712</v>
      </c>
      <c r="D1" s="838"/>
      <c r="E1" s="500"/>
      <c r="F1" s="2524"/>
      <c r="G1" s="1531" t="s">
        <v>713</v>
      </c>
      <c r="H1" s="500"/>
      <c r="I1" s="500"/>
      <c r="J1" s="500"/>
      <c r="K1" s="501"/>
      <c r="L1" s="3206"/>
      <c r="M1" s="3207"/>
      <c r="N1" s="3207"/>
      <c r="O1" s="3207"/>
      <c r="P1" s="2014"/>
      <c r="Q1" s="2014"/>
      <c r="R1" s="2014"/>
      <c r="S1" s="2014"/>
      <c r="T1" s="2014"/>
      <c r="U1" s="2014"/>
      <c r="V1" s="2014"/>
      <c r="W1" s="2014"/>
      <c r="X1" s="2014"/>
      <c r="Y1" s="2014"/>
      <c r="Z1" s="2014"/>
      <c r="AA1" s="2014"/>
      <c r="AB1" s="2014"/>
      <c r="AC1" s="1944"/>
    </row>
    <row r="2" spans="1:29" s="1289" customFormat="1" ht="28.5" customHeight="1">
      <c r="A2" s="417" t="s">
        <v>459</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89" customFormat="1" ht="28.5" customHeight="1" thickBot="1">
      <c r="A3" s="503" t="s">
        <v>511</v>
      </c>
      <c r="B3" s="504" t="e">
        <f>C43</f>
        <v>#DIV/0!</v>
      </c>
      <c r="C3" s="841" t="s">
        <v>714</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09"/>
      <c r="AC3" s="1944"/>
    </row>
    <row r="4" spans="1:29" ht="15">
      <c r="A4" s="506" t="s">
        <v>513</v>
      </c>
      <c r="B4" s="507"/>
      <c r="C4" s="3580" t="s">
        <v>514</v>
      </c>
      <c r="D4" s="3581"/>
      <c r="E4" s="3605" t="s">
        <v>515</v>
      </c>
      <c r="F4" s="3606"/>
      <c r="G4" s="3580" t="s">
        <v>516</v>
      </c>
      <c r="H4" s="3581"/>
      <c r="I4" s="3580" t="s">
        <v>517</v>
      </c>
      <c r="J4" s="3581"/>
      <c r="K4" s="508" t="s">
        <v>518</v>
      </c>
      <c r="L4" s="2015"/>
      <c r="M4" s="2016"/>
      <c r="N4" s="2016"/>
      <c r="O4" s="2016"/>
      <c r="P4" s="3582" t="s">
        <v>519</v>
      </c>
      <c r="Q4" s="3583"/>
      <c r="R4" s="3568" t="s">
        <v>515</v>
      </c>
      <c r="S4" s="3569"/>
      <c r="T4" s="3568" t="s">
        <v>516</v>
      </c>
      <c r="U4" s="3569"/>
      <c r="V4" s="3588" t="s">
        <v>517</v>
      </c>
      <c r="W4" s="3588"/>
      <c r="X4" s="1501"/>
      <c r="Y4" s="3568" t="s">
        <v>519</v>
      </c>
      <c r="Z4" s="3569"/>
      <c r="AA4" s="3563" t="s">
        <v>515</v>
      </c>
      <c r="AB4" s="3564" t="s">
        <v>516</v>
      </c>
      <c r="AC4" s="3563" t="s">
        <v>517</v>
      </c>
    </row>
    <row r="5" spans="1:29" ht="15">
      <c r="A5" s="509"/>
      <c r="B5" s="510"/>
      <c r="C5" s="3591" t="s">
        <v>2887</v>
      </c>
      <c r="D5" s="3592"/>
      <c r="E5" s="3607" t="s">
        <v>2888</v>
      </c>
      <c r="F5" s="3608"/>
      <c r="G5" s="3591" t="s">
        <v>2889</v>
      </c>
      <c r="H5" s="3592"/>
      <c r="I5" s="3591" t="s">
        <v>2890</v>
      </c>
      <c r="J5" s="3592"/>
      <c r="K5" s="508"/>
      <c r="L5" s="2015"/>
      <c r="M5" s="2016"/>
      <c r="N5" s="2016"/>
      <c r="O5" s="2016"/>
      <c r="P5" s="3584"/>
      <c r="Q5" s="3585"/>
      <c r="R5" s="3570"/>
      <c r="S5" s="3571"/>
      <c r="T5" s="3570"/>
      <c r="U5" s="3571"/>
      <c r="V5" s="3588"/>
      <c r="W5" s="3588"/>
      <c r="X5" s="1501"/>
      <c r="Y5" s="3570"/>
      <c r="Z5" s="3571"/>
      <c r="AA5" s="3564"/>
      <c r="AB5" s="3564"/>
      <c r="AC5" s="3564"/>
    </row>
    <row r="6" spans="1:29" ht="15.75" thickBot="1">
      <c r="A6" s="511"/>
      <c r="B6" s="512"/>
      <c r="C6" s="3589" t="s">
        <v>2891</v>
      </c>
      <c r="D6" s="3590"/>
      <c r="E6" s="3609" t="s">
        <v>2891</v>
      </c>
      <c r="F6" s="3610"/>
      <c r="G6" s="3589" t="s">
        <v>2891</v>
      </c>
      <c r="H6" s="3590"/>
      <c r="I6" s="3589" t="s">
        <v>2891</v>
      </c>
      <c r="J6" s="3590"/>
      <c r="K6" s="508" t="s">
        <v>520</v>
      </c>
      <c r="L6" s="2015"/>
      <c r="M6" s="2016"/>
      <c r="N6" s="2016"/>
      <c r="O6" s="2016"/>
      <c r="P6" s="3586"/>
      <c r="Q6" s="3587"/>
      <c r="R6" s="3570"/>
      <c r="S6" s="3571"/>
      <c r="T6" s="3572"/>
      <c r="U6" s="3573"/>
      <c r="V6" s="3588"/>
      <c r="W6" s="3588"/>
      <c r="X6" s="1501"/>
      <c r="Y6" s="3572"/>
      <c r="Z6" s="3573"/>
      <c r="AA6" s="3565"/>
      <c r="AB6" s="3565"/>
      <c r="AC6" s="3565"/>
    </row>
    <row r="7" spans="1:29" s="1202" customFormat="1" ht="15.75" thickBot="1">
      <c r="A7" s="2629"/>
      <c r="B7" s="2636" t="s">
        <v>521</v>
      </c>
      <c r="C7" s="513">
        <f>'数据-取费表'!B2</f>
        <v>44463</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66" t="s">
        <v>522</v>
      </c>
      <c r="Q7" s="3575"/>
      <c r="R7" s="1502" t="s">
        <v>8</v>
      </c>
      <c r="S7" s="1503">
        <f t="shared" ref="S7:S15" si="0">F7</f>
        <v>0</v>
      </c>
      <c r="T7" s="1502" t="s">
        <v>8</v>
      </c>
      <c r="U7" s="1503">
        <f t="shared" ref="U7:U15" si="1">H7</f>
        <v>0</v>
      </c>
      <c r="V7" s="1502" t="s">
        <v>8</v>
      </c>
      <c r="W7" s="1503">
        <f t="shared" ref="W7:W15" si="2">J7</f>
        <v>0</v>
      </c>
      <c r="X7" s="1504"/>
      <c r="Y7" s="3566" t="s">
        <v>522</v>
      </c>
      <c r="Z7" s="3567"/>
      <c r="AA7" s="1505" t="e">
        <f>D7/F7</f>
        <v>#DIV/0!</v>
      </c>
      <c r="AB7" s="1505" t="e">
        <f>D7/H7</f>
        <v>#DIV/0!</v>
      </c>
      <c r="AC7" s="1505" t="e">
        <f>D7/J7</f>
        <v>#DIV/0!</v>
      </c>
    </row>
    <row r="8" spans="1:29" s="1202" customFormat="1" ht="15.75" thickBot="1">
      <c r="A8" s="2630"/>
      <c r="B8" s="2637" t="s">
        <v>523</v>
      </c>
      <c r="C8" s="519" t="s">
        <v>568</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66" t="s">
        <v>525</v>
      </c>
      <c r="Q8" s="3567"/>
      <c r="R8" s="1502" t="s">
        <v>8</v>
      </c>
      <c r="S8" s="1503">
        <f t="shared" si="0"/>
        <v>0</v>
      </c>
      <c r="T8" s="1502" t="s">
        <v>8</v>
      </c>
      <c r="U8" s="1503">
        <f t="shared" si="1"/>
        <v>0</v>
      </c>
      <c r="V8" s="1502" t="s">
        <v>8</v>
      </c>
      <c r="W8" s="1503">
        <f t="shared" si="2"/>
        <v>0</v>
      </c>
      <c r="X8" s="1504"/>
      <c r="Y8" s="3566" t="s">
        <v>525</v>
      </c>
      <c r="Z8" s="3567"/>
      <c r="AA8" s="1505" t="e">
        <f t="shared" ref="AA8:AA40" si="3">D8/F8</f>
        <v>#DIV/0!</v>
      </c>
      <c r="AB8" s="1505" t="e">
        <f t="shared" ref="AB8:AB40" si="4">D8/H8</f>
        <v>#DIV/0!</v>
      </c>
      <c r="AC8" s="1505" t="e">
        <f t="shared" ref="AC8:AC40" si="5">D8/J8</f>
        <v>#DIV/0!</v>
      </c>
    </row>
    <row r="9" spans="1:29" s="1202" customFormat="1" ht="15">
      <c r="A9" s="2631"/>
      <c r="B9" s="2638" t="s">
        <v>2731</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574" t="s">
        <v>527</v>
      </c>
      <c r="Q9" s="1133" t="str">
        <f t="shared" ref="Q9:Q15" si="6">B9</f>
        <v>用途</v>
      </c>
      <c r="R9" s="1502" t="s">
        <v>8</v>
      </c>
      <c r="S9" s="1503">
        <f t="shared" si="0"/>
        <v>100</v>
      </c>
      <c r="T9" s="1502" t="s">
        <v>8</v>
      </c>
      <c r="U9" s="1503">
        <f t="shared" si="1"/>
        <v>100</v>
      </c>
      <c r="V9" s="1502" t="s">
        <v>8</v>
      </c>
      <c r="W9" s="1503">
        <f t="shared" si="2"/>
        <v>100</v>
      </c>
      <c r="X9" s="1504"/>
      <c r="Y9" s="3525" t="s">
        <v>528</v>
      </c>
      <c r="Z9" s="1132" t="str">
        <f t="shared" ref="Z9:Z15" si="7">Q9</f>
        <v>用途</v>
      </c>
      <c r="AA9" s="1505">
        <f t="shared" si="3"/>
        <v>1</v>
      </c>
      <c r="AB9" s="1505">
        <f t="shared" si="4"/>
        <v>1</v>
      </c>
      <c r="AC9" s="1505">
        <f t="shared" si="5"/>
        <v>1</v>
      </c>
    </row>
    <row r="10" spans="1:29" s="1291" customFormat="1" ht="27">
      <c r="A10" s="2632"/>
      <c r="B10" s="2637" t="s">
        <v>2732</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574"/>
      <c r="Q10" s="1133" t="str">
        <f t="shared" si="6"/>
        <v>土地使用年限（年）</v>
      </c>
      <c r="R10" s="1502" t="s">
        <v>8</v>
      </c>
      <c r="S10" s="1503">
        <f t="shared" si="0"/>
        <v>100</v>
      </c>
      <c r="T10" s="1502" t="s">
        <v>8</v>
      </c>
      <c r="U10" s="1503">
        <f t="shared" si="1"/>
        <v>100</v>
      </c>
      <c r="V10" s="1502" t="s">
        <v>8</v>
      </c>
      <c r="W10" s="1503">
        <f t="shared" si="2"/>
        <v>100</v>
      </c>
      <c r="X10" s="1504"/>
      <c r="Y10" s="3525"/>
      <c r="Z10" s="1132" t="str">
        <f t="shared" si="7"/>
        <v>土地使用年限（年）</v>
      </c>
      <c r="AA10" s="1505">
        <f t="shared" si="3"/>
        <v>1</v>
      </c>
      <c r="AB10" s="1505">
        <f t="shared" si="4"/>
        <v>1</v>
      </c>
      <c r="AC10" s="1505">
        <f t="shared" si="5"/>
        <v>1</v>
      </c>
    </row>
    <row r="11" spans="1:29" ht="15">
      <c r="A11" s="2633"/>
      <c r="B11" s="2637" t="s">
        <v>2733</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574"/>
      <c r="Q11" s="1133" t="str">
        <f t="shared" si="6"/>
        <v>容积率</v>
      </c>
      <c r="R11" s="1502" t="s">
        <v>8</v>
      </c>
      <c r="S11" s="1503" t="e">
        <f t="shared" si="0"/>
        <v>#N/A</v>
      </c>
      <c r="T11" s="1502" t="s">
        <v>8</v>
      </c>
      <c r="U11" s="1503" t="e">
        <f t="shared" si="1"/>
        <v>#N/A</v>
      </c>
      <c r="V11" s="1502" t="s">
        <v>8</v>
      </c>
      <c r="W11" s="1503" t="e">
        <f t="shared" si="2"/>
        <v>#N/A</v>
      </c>
      <c r="X11" s="1504"/>
      <c r="Y11" s="3525"/>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574"/>
      <c r="Q12" s="1133">
        <f t="shared" si="6"/>
        <v>111</v>
      </c>
      <c r="R12" s="1502" t="s">
        <v>8</v>
      </c>
      <c r="S12" s="1503">
        <f t="shared" si="0"/>
        <v>100</v>
      </c>
      <c r="T12" s="1502" t="s">
        <v>8</v>
      </c>
      <c r="U12" s="1503">
        <f t="shared" si="1"/>
        <v>100</v>
      </c>
      <c r="V12" s="1502" t="s">
        <v>8</v>
      </c>
      <c r="W12" s="1503">
        <f t="shared" si="2"/>
        <v>100</v>
      </c>
      <c r="X12" s="1504"/>
      <c r="Y12" s="3525"/>
      <c r="Z12" s="1132">
        <f t="shared" si="7"/>
        <v>111</v>
      </c>
      <c r="AA12" s="1505">
        <f>D12/F12</f>
        <v>1</v>
      </c>
      <c r="AB12" s="1505">
        <f>D12/H12</f>
        <v>1</v>
      </c>
      <c r="AC12" s="1505">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574"/>
      <c r="Q13" s="1133">
        <f t="shared" si="6"/>
        <v>111</v>
      </c>
      <c r="R13" s="1502" t="s">
        <v>8</v>
      </c>
      <c r="S13" s="1503">
        <f t="shared" si="0"/>
        <v>100</v>
      </c>
      <c r="T13" s="1502" t="s">
        <v>8</v>
      </c>
      <c r="U13" s="1503">
        <f t="shared" si="1"/>
        <v>100</v>
      </c>
      <c r="V13" s="1502" t="s">
        <v>8</v>
      </c>
      <c r="W13" s="1503">
        <f t="shared" si="2"/>
        <v>100</v>
      </c>
      <c r="X13" s="1504"/>
      <c r="Y13" s="3525"/>
      <c r="Z13" s="1132">
        <f t="shared" si="7"/>
        <v>111</v>
      </c>
      <c r="AA13" s="1505">
        <f t="shared" si="3"/>
        <v>1</v>
      </c>
      <c r="AB13" s="1505">
        <f t="shared" si="4"/>
        <v>1</v>
      </c>
      <c r="AC13" s="1505">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574"/>
      <c r="Q14" s="1133">
        <f t="shared" si="6"/>
        <v>111</v>
      </c>
      <c r="R14" s="1502" t="s">
        <v>8</v>
      </c>
      <c r="S14" s="1503">
        <f t="shared" si="0"/>
        <v>100</v>
      </c>
      <c r="T14" s="1502" t="s">
        <v>8</v>
      </c>
      <c r="U14" s="1503">
        <f t="shared" si="1"/>
        <v>100</v>
      </c>
      <c r="V14" s="1502" t="s">
        <v>8</v>
      </c>
      <c r="W14" s="1503">
        <f t="shared" si="2"/>
        <v>100</v>
      </c>
      <c r="X14" s="1504"/>
      <c r="Y14" s="3525"/>
      <c r="Z14" s="1132">
        <f t="shared" si="7"/>
        <v>111</v>
      </c>
      <c r="AA14" s="1505">
        <f t="shared" si="3"/>
        <v>1</v>
      </c>
      <c r="AB14" s="1505">
        <f t="shared" si="4"/>
        <v>1</v>
      </c>
      <c r="AC14" s="1505">
        <f t="shared" si="5"/>
        <v>1</v>
      </c>
    </row>
    <row r="15" spans="1:29" ht="57">
      <c r="A15" s="2627" t="s">
        <v>2729</v>
      </c>
      <c r="B15" s="164" t="s">
        <v>781</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576" t="s">
        <v>532</v>
      </c>
      <c r="Q15" s="1506" t="str">
        <f t="shared" si="6"/>
        <v>产业集聚程度</v>
      </c>
      <c r="R15" s="1507" t="s">
        <v>8</v>
      </c>
      <c r="S15" s="1508">
        <f t="shared" si="0"/>
        <v>100</v>
      </c>
      <c r="T15" s="1507" t="s">
        <v>8</v>
      </c>
      <c r="U15" s="1508">
        <f t="shared" si="1"/>
        <v>100</v>
      </c>
      <c r="V15" s="1507" t="s">
        <v>8</v>
      </c>
      <c r="W15" s="1508">
        <f t="shared" si="2"/>
        <v>100</v>
      </c>
      <c r="X15" s="1501"/>
      <c r="Y15" s="3576" t="s">
        <v>532</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8"/>
      <c r="L16" s="2024"/>
      <c r="M16" s="2016"/>
      <c r="N16" s="2016"/>
      <c r="O16" s="2023"/>
      <c r="P16" s="3577"/>
      <c r="Q16" s="1506"/>
      <c r="R16" s="1507"/>
      <c r="S16" s="1508"/>
      <c r="T16" s="1507"/>
      <c r="U16" s="1508"/>
      <c r="V16" s="1507"/>
      <c r="W16" s="1508"/>
      <c r="X16" s="1501"/>
      <c r="Y16" s="3577"/>
      <c r="Z16" s="1509"/>
      <c r="AA16" s="1510">
        <v>1</v>
      </c>
      <c r="AB16" s="1510">
        <v>1</v>
      </c>
      <c r="AC16" s="1510">
        <v>1</v>
      </c>
    </row>
    <row r="17" spans="1:29" ht="85.5">
      <c r="A17" s="526"/>
      <c r="B17" s="860" t="s">
        <v>294</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577"/>
      <c r="Q17" s="1506" t="str">
        <f>B17</f>
        <v>交通便捷度</v>
      </c>
      <c r="R17" s="1507" t="s">
        <v>8</v>
      </c>
      <c r="S17" s="1508">
        <f>F17</f>
        <v>100</v>
      </c>
      <c r="T17" s="1507" t="s">
        <v>8</v>
      </c>
      <c r="U17" s="1508">
        <f>H17</f>
        <v>100</v>
      </c>
      <c r="V17" s="1507" t="s">
        <v>8</v>
      </c>
      <c r="W17" s="1508">
        <f>J17</f>
        <v>100</v>
      </c>
      <c r="X17" s="1501"/>
      <c r="Y17" s="3577"/>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8"/>
      <c r="L18" s="2024"/>
      <c r="M18" s="2016"/>
      <c r="N18" s="2016"/>
      <c r="O18" s="2023"/>
      <c r="P18" s="3577"/>
      <c r="Q18" s="1506"/>
      <c r="R18" s="1507"/>
      <c r="S18" s="1508"/>
      <c r="T18" s="1507"/>
      <c r="U18" s="1508"/>
      <c r="V18" s="1507"/>
      <c r="W18" s="1508"/>
      <c r="X18" s="1501"/>
      <c r="Y18" s="3577"/>
      <c r="Z18" s="1509"/>
      <c r="AA18" s="1510">
        <v>1</v>
      </c>
      <c r="AB18" s="1510">
        <v>1</v>
      </c>
      <c r="AC18" s="1510">
        <v>1</v>
      </c>
    </row>
    <row r="19" spans="1:29" ht="42.75">
      <c r="A19" s="526"/>
      <c r="B19" s="2447" t="s">
        <v>2522</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577"/>
      <c r="Q19" s="1506" t="str">
        <f>B19</f>
        <v>公共配套设施</v>
      </c>
      <c r="R19" s="1507" t="s">
        <v>8</v>
      </c>
      <c r="S19" s="1508">
        <f>F19</f>
        <v>100</v>
      </c>
      <c r="T19" s="1507" t="s">
        <v>8</v>
      </c>
      <c r="U19" s="1508">
        <f>H19</f>
        <v>100</v>
      </c>
      <c r="V19" s="1507" t="s">
        <v>8</v>
      </c>
      <c r="W19" s="1508">
        <f>J19</f>
        <v>100</v>
      </c>
      <c r="X19" s="1501"/>
      <c r="Y19" s="3577"/>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8"/>
      <c r="L20" s="2024"/>
      <c r="M20" s="2016"/>
      <c r="N20" s="2016"/>
      <c r="O20" s="2023"/>
      <c r="P20" s="3577"/>
      <c r="Q20" s="1506"/>
      <c r="R20" s="1507"/>
      <c r="S20" s="1508"/>
      <c r="T20" s="1507"/>
      <c r="U20" s="1508"/>
      <c r="V20" s="1507"/>
      <c r="W20" s="1508"/>
      <c r="X20" s="1501"/>
      <c r="Y20" s="3577"/>
      <c r="Z20" s="1509"/>
      <c r="AA20" s="1510">
        <v>1</v>
      </c>
      <c r="AB20" s="1510">
        <v>1</v>
      </c>
      <c r="AC20" s="1510">
        <v>1</v>
      </c>
    </row>
    <row r="21" spans="1:29" ht="28.5">
      <c r="A21" s="526"/>
      <c r="B21" s="2435" t="s">
        <v>2534</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577"/>
      <c r="Q21" s="2429" t="str">
        <f>B21</f>
        <v>基础设施水平</v>
      </c>
      <c r="R21" s="1507" t="s">
        <v>8</v>
      </c>
      <c r="S21" s="1508">
        <f>F21</f>
        <v>100</v>
      </c>
      <c r="T21" s="1507" t="s">
        <v>8</v>
      </c>
      <c r="U21" s="1508">
        <f>H21</f>
        <v>100</v>
      </c>
      <c r="V21" s="1507" t="s">
        <v>8</v>
      </c>
      <c r="W21" s="1508">
        <f>J21</f>
        <v>100</v>
      </c>
      <c r="X21" s="2431"/>
      <c r="Y21" s="3577"/>
      <c r="Z21" s="2430"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6"/>
      <c r="L22" s="2024"/>
      <c r="M22" s="2016"/>
      <c r="N22" s="2016"/>
      <c r="O22" s="2023"/>
      <c r="P22" s="3577"/>
      <c r="Q22" s="2429"/>
      <c r="R22" s="1507"/>
      <c r="S22" s="1508"/>
      <c r="T22" s="1507"/>
      <c r="U22" s="1508"/>
      <c r="V22" s="1507"/>
      <c r="W22" s="1508"/>
      <c r="X22" s="2431"/>
      <c r="Y22" s="3577"/>
      <c r="Z22" s="2430"/>
      <c r="AA22" s="1510">
        <v>1</v>
      </c>
      <c r="AB22" s="1510">
        <v>1</v>
      </c>
      <c r="AC22" s="1510">
        <v>1</v>
      </c>
    </row>
    <row r="23" spans="1:29" ht="71.25">
      <c r="A23" s="526"/>
      <c r="B23" s="860" t="s">
        <v>770</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577"/>
      <c r="Q23" s="1506" t="str">
        <f>B23</f>
        <v>环境质量</v>
      </c>
      <c r="R23" s="1507" t="s">
        <v>8</v>
      </c>
      <c r="S23" s="1508">
        <f>F23</f>
        <v>100</v>
      </c>
      <c r="T23" s="1507" t="s">
        <v>8</v>
      </c>
      <c r="U23" s="1508">
        <f>H23</f>
        <v>100</v>
      </c>
      <c r="V23" s="1507" t="s">
        <v>8</v>
      </c>
      <c r="W23" s="1508">
        <f>J23</f>
        <v>100</v>
      </c>
      <c r="X23" s="1501"/>
      <c r="Y23" s="3577"/>
      <c r="Z23" s="1509" t="str">
        <f>Q23</f>
        <v>环境质量</v>
      </c>
      <c r="AA23" s="1510">
        <f t="shared" si="3"/>
        <v>1</v>
      </c>
      <c r="AB23" s="1510">
        <f t="shared" si="4"/>
        <v>1</v>
      </c>
      <c r="AC23" s="1510">
        <f t="shared" si="5"/>
        <v>1</v>
      </c>
    </row>
    <row r="24" spans="1:29" ht="15">
      <c r="A24" s="526"/>
      <c r="B24" s="911"/>
      <c r="C24" s="570"/>
      <c r="D24" s="549"/>
      <c r="E24" s="550"/>
      <c r="F24" s="551"/>
      <c r="G24" s="552"/>
      <c r="H24" s="549"/>
      <c r="I24" s="550"/>
      <c r="J24" s="549"/>
      <c r="K24" s="888"/>
      <c r="L24" s="2024"/>
      <c r="M24" s="2016"/>
      <c r="N24" s="2016"/>
      <c r="O24" s="2023"/>
      <c r="P24" s="3577"/>
      <c r="Q24" s="1506"/>
      <c r="R24" s="1507"/>
      <c r="S24" s="1508"/>
      <c r="T24" s="1507"/>
      <c r="U24" s="1508"/>
      <c r="V24" s="1507"/>
      <c r="W24" s="1508"/>
      <c r="X24" s="1501"/>
      <c r="Y24" s="3577"/>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77"/>
      <c r="Q25" s="1506">
        <f>B25</f>
        <v>111</v>
      </c>
      <c r="R25" s="1507" t="s">
        <v>8</v>
      </c>
      <c r="S25" s="1508">
        <f>F25</f>
        <v>100</v>
      </c>
      <c r="T25" s="1507" t="s">
        <v>8</v>
      </c>
      <c r="U25" s="1508">
        <f>H25</f>
        <v>100</v>
      </c>
      <c r="V25" s="1507" t="s">
        <v>8</v>
      </c>
      <c r="W25" s="1508">
        <f>J25</f>
        <v>100</v>
      </c>
      <c r="X25" s="1501"/>
      <c r="Y25" s="3577"/>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77"/>
      <c r="Q26" s="1506">
        <f t="shared" ref="Q26:Q40" si="11">B26</f>
        <v>111</v>
      </c>
      <c r="R26" s="1507" t="s">
        <v>8</v>
      </c>
      <c r="S26" s="1508">
        <f>F26</f>
        <v>100</v>
      </c>
      <c r="T26" s="1507" t="s">
        <v>8</v>
      </c>
      <c r="U26" s="1508">
        <f>H26</f>
        <v>100</v>
      </c>
      <c r="V26" s="1507" t="s">
        <v>8</v>
      </c>
      <c r="W26" s="1508">
        <f>J26</f>
        <v>100</v>
      </c>
      <c r="X26" s="1501"/>
      <c r="Y26" s="3577"/>
      <c r="Z26" s="1509">
        <f>Q26</f>
        <v>111</v>
      </c>
      <c r="AA26" s="1510">
        <f t="shared" si="3"/>
        <v>1</v>
      </c>
      <c r="AB26" s="1510">
        <f t="shared" si="4"/>
        <v>1</v>
      </c>
      <c r="AC26" s="1510">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77"/>
      <c r="Q27" s="1133">
        <f t="shared" si="11"/>
        <v>111</v>
      </c>
      <c r="R27" s="1502" t="s">
        <v>8</v>
      </c>
      <c r="S27" s="1503">
        <f>F27</f>
        <v>100</v>
      </c>
      <c r="T27" s="1502" t="s">
        <v>8</v>
      </c>
      <c r="U27" s="1503">
        <f>H27</f>
        <v>100</v>
      </c>
      <c r="V27" s="1502" t="s">
        <v>8</v>
      </c>
      <c r="W27" s="1503">
        <f>J27</f>
        <v>100</v>
      </c>
      <c r="X27" s="1504"/>
      <c r="Y27" s="3577"/>
      <c r="Z27" s="1132">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577"/>
      <c r="Q28" s="1506">
        <f t="shared" si="11"/>
        <v>111</v>
      </c>
      <c r="R28" s="1507" t="s">
        <v>8</v>
      </c>
      <c r="S28" s="1508">
        <f t="shared" ref="S28:S40" si="12">F28</f>
        <v>100</v>
      </c>
      <c r="T28" s="1507" t="s">
        <v>8</v>
      </c>
      <c r="U28" s="1508">
        <f t="shared" ref="U28:U40" si="13">H28</f>
        <v>100</v>
      </c>
      <c r="V28" s="1507" t="s">
        <v>8</v>
      </c>
      <c r="W28" s="1508">
        <f t="shared" ref="W28:W40" si="14">J28</f>
        <v>100</v>
      </c>
      <c r="X28" s="1501"/>
      <c r="Y28" s="3577"/>
      <c r="Z28" s="1509">
        <f t="shared" ref="Z28:Z40" si="15">Q28</f>
        <v>111</v>
      </c>
      <c r="AA28" s="1510">
        <f t="shared" si="3"/>
        <v>1</v>
      </c>
      <c r="AB28" s="1510">
        <f t="shared" si="4"/>
        <v>1</v>
      </c>
      <c r="AC28" s="1510">
        <f t="shared" si="5"/>
        <v>1</v>
      </c>
    </row>
    <row r="29" spans="1:29" ht="15">
      <c r="A29" s="2624" t="s">
        <v>2730</v>
      </c>
      <c r="B29" s="170" t="s">
        <v>772</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578" t="s">
        <v>542</v>
      </c>
      <c r="Q29" s="1506" t="str">
        <f t="shared" si="11"/>
        <v>建筑类型</v>
      </c>
      <c r="R29" s="1507" t="s">
        <v>8</v>
      </c>
      <c r="S29" s="1508">
        <f t="shared" si="12"/>
        <v>100</v>
      </c>
      <c r="T29" s="1507" t="s">
        <v>8</v>
      </c>
      <c r="U29" s="1508">
        <f t="shared" si="13"/>
        <v>100</v>
      </c>
      <c r="V29" s="1507" t="s">
        <v>8</v>
      </c>
      <c r="W29" s="1508">
        <f t="shared" si="14"/>
        <v>100</v>
      </c>
      <c r="X29" s="1501"/>
      <c r="Y29" s="3579" t="s">
        <v>542</v>
      </c>
      <c r="Z29" s="1509" t="str">
        <f t="shared" si="15"/>
        <v>建筑类型</v>
      </c>
      <c r="AA29" s="1510">
        <f t="shared" si="3"/>
        <v>1</v>
      </c>
      <c r="AB29" s="1510">
        <f t="shared" si="4"/>
        <v>1</v>
      </c>
      <c r="AC29" s="1510">
        <f t="shared" si="5"/>
        <v>1</v>
      </c>
    </row>
    <row r="30" spans="1:29" s="1292" customFormat="1" ht="15">
      <c r="A30" s="597"/>
      <c r="B30" s="521" t="s">
        <v>718</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79"/>
      <c r="Q30" s="1535" t="str">
        <f t="shared" si="11"/>
        <v>项目建筑规模</v>
      </c>
      <c r="R30" s="1511" t="s">
        <v>8</v>
      </c>
      <c r="S30" s="1512" t="e">
        <f t="shared" si="12"/>
        <v>#N/A</v>
      </c>
      <c r="T30" s="1511" t="s">
        <v>8</v>
      </c>
      <c r="U30" s="1512" t="e">
        <f t="shared" si="13"/>
        <v>#N/A</v>
      </c>
      <c r="V30" s="1511" t="s">
        <v>8</v>
      </c>
      <c r="W30" s="1512" t="e">
        <f t="shared" si="14"/>
        <v>#N/A</v>
      </c>
      <c r="X30" s="1513"/>
      <c r="Y30" s="3579"/>
      <c r="Z30" s="1514" t="str">
        <f t="shared" si="15"/>
        <v>项目建筑规模</v>
      </c>
      <c r="AA30" s="1510" t="e">
        <f t="shared" si="3"/>
        <v>#N/A</v>
      </c>
      <c r="AB30" s="1510" t="e">
        <f t="shared" si="4"/>
        <v>#N/A</v>
      </c>
      <c r="AC30" s="1510" t="e">
        <f t="shared" si="5"/>
        <v>#N/A</v>
      </c>
    </row>
    <row r="31" spans="1:29" ht="15">
      <c r="A31" s="588"/>
      <c r="B31" s="521" t="s">
        <v>719</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79"/>
      <c r="Q31" s="1506" t="str">
        <f t="shared" si="11"/>
        <v>建筑结构</v>
      </c>
      <c r="R31" s="1507" t="s">
        <v>8</v>
      </c>
      <c r="S31" s="1508">
        <f t="shared" si="12"/>
        <v>100</v>
      </c>
      <c r="T31" s="1507" t="s">
        <v>8</v>
      </c>
      <c r="U31" s="1508">
        <f t="shared" si="13"/>
        <v>100</v>
      </c>
      <c r="V31" s="1507" t="s">
        <v>8</v>
      </c>
      <c r="W31" s="1508">
        <f t="shared" si="14"/>
        <v>100</v>
      </c>
      <c r="X31" s="1501"/>
      <c r="Y31" s="3579"/>
      <c r="Z31" s="1509" t="str">
        <f t="shared" si="15"/>
        <v>建筑结构</v>
      </c>
      <c r="AA31" s="1510">
        <f t="shared" si="3"/>
        <v>1</v>
      </c>
      <c r="AB31" s="1510">
        <f t="shared" si="4"/>
        <v>1</v>
      </c>
      <c r="AC31" s="1510">
        <f t="shared" si="5"/>
        <v>1</v>
      </c>
    </row>
    <row r="32" spans="1:29" ht="15">
      <c r="A32" s="588"/>
      <c r="B32" s="521" t="s">
        <v>755</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79"/>
      <c r="Q32" s="1506" t="str">
        <f t="shared" si="11"/>
        <v>公共部分装修</v>
      </c>
      <c r="R32" s="1507" t="s">
        <v>8</v>
      </c>
      <c r="S32" s="1508">
        <f t="shared" si="12"/>
        <v>100</v>
      </c>
      <c r="T32" s="1507" t="s">
        <v>8</v>
      </c>
      <c r="U32" s="1508">
        <f t="shared" si="13"/>
        <v>100</v>
      </c>
      <c r="V32" s="1507" t="s">
        <v>8</v>
      </c>
      <c r="W32" s="1508">
        <f t="shared" si="14"/>
        <v>100</v>
      </c>
      <c r="X32" s="1501"/>
      <c r="Y32" s="3579"/>
      <c r="Z32" s="1509" t="str">
        <f t="shared" si="15"/>
        <v>公共部分装修</v>
      </c>
      <c r="AA32" s="1510">
        <f t="shared" si="3"/>
        <v>1</v>
      </c>
      <c r="AB32" s="1510">
        <f t="shared" si="4"/>
        <v>1</v>
      </c>
      <c r="AC32" s="1510">
        <f t="shared" si="5"/>
        <v>1</v>
      </c>
    </row>
    <row r="33" spans="1:29" ht="15">
      <c r="A33" s="588"/>
      <c r="B33" s="521" t="s">
        <v>756</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579"/>
      <c r="Q33" s="1506" t="str">
        <f t="shared" si="11"/>
        <v>成新度</v>
      </c>
      <c r="R33" s="1507" t="s">
        <v>8</v>
      </c>
      <c r="S33" s="1508" t="e">
        <f t="shared" si="12"/>
        <v>#N/A</v>
      </c>
      <c r="T33" s="1507" t="s">
        <v>8</v>
      </c>
      <c r="U33" s="1508" t="e">
        <f t="shared" si="13"/>
        <v>#N/A</v>
      </c>
      <c r="V33" s="1507" t="s">
        <v>8</v>
      </c>
      <c r="W33" s="1508" t="e">
        <f t="shared" si="14"/>
        <v>#N/A</v>
      </c>
      <c r="X33" s="1501"/>
      <c r="Y33" s="3579"/>
      <c r="Z33" s="1509" t="str">
        <f t="shared" si="15"/>
        <v>成新度</v>
      </c>
      <c r="AA33" s="1510" t="e">
        <f t="shared" si="3"/>
        <v>#N/A</v>
      </c>
      <c r="AB33" s="1510" t="e">
        <f t="shared" si="4"/>
        <v>#N/A</v>
      </c>
      <c r="AC33" s="1510" t="e">
        <f t="shared" si="5"/>
        <v>#N/A</v>
      </c>
    </row>
    <row r="34" spans="1:29" s="1202" customFormat="1" ht="15">
      <c r="A34" s="594"/>
      <c r="B34" s="521" t="s">
        <v>774</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79"/>
      <c r="Q34" s="1133" t="str">
        <f t="shared" si="11"/>
        <v>物业管理</v>
      </c>
      <c r="R34" s="1502" t="s">
        <v>8</v>
      </c>
      <c r="S34" s="1503">
        <f t="shared" si="12"/>
        <v>100</v>
      </c>
      <c r="T34" s="1502" t="s">
        <v>8</v>
      </c>
      <c r="U34" s="1503">
        <f t="shared" si="13"/>
        <v>100</v>
      </c>
      <c r="V34" s="1502" t="s">
        <v>8</v>
      </c>
      <c r="W34" s="1503">
        <f t="shared" si="14"/>
        <v>100</v>
      </c>
      <c r="X34" s="1504"/>
      <c r="Y34" s="3579"/>
      <c r="Z34" s="1132" t="str">
        <f t="shared" si="15"/>
        <v>物业管理</v>
      </c>
      <c r="AA34" s="1505">
        <f t="shared" si="3"/>
        <v>1</v>
      </c>
      <c r="AB34" s="1505">
        <f t="shared" si="4"/>
        <v>1</v>
      </c>
      <c r="AC34" s="1505">
        <f t="shared" si="5"/>
        <v>1</v>
      </c>
    </row>
    <row r="35" spans="1:29" ht="15">
      <c r="A35" s="588"/>
      <c r="B35" s="1809" t="s">
        <v>2541</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79" t="s">
        <v>542</v>
      </c>
      <c r="Q35" s="1506" t="str">
        <f t="shared" si="11"/>
        <v>市政基础设施</v>
      </c>
      <c r="R35" s="1507" t="s">
        <v>8</v>
      </c>
      <c r="S35" s="1508">
        <f t="shared" si="12"/>
        <v>100</v>
      </c>
      <c r="T35" s="1507" t="s">
        <v>8</v>
      </c>
      <c r="U35" s="1508">
        <f t="shared" si="13"/>
        <v>100</v>
      </c>
      <c r="V35" s="1507" t="s">
        <v>8</v>
      </c>
      <c r="W35" s="1508">
        <f t="shared" si="14"/>
        <v>100</v>
      </c>
      <c r="X35" s="1501"/>
      <c r="Y35" s="3579" t="s">
        <v>542</v>
      </c>
      <c r="Z35" s="1509" t="str">
        <f t="shared" si="15"/>
        <v>市政基础设施</v>
      </c>
      <c r="AA35" s="1510">
        <f t="shared" si="3"/>
        <v>1</v>
      </c>
      <c r="AB35" s="1510">
        <f t="shared" si="4"/>
        <v>1</v>
      </c>
      <c r="AC35" s="1510">
        <f t="shared" si="5"/>
        <v>1</v>
      </c>
    </row>
    <row r="36" spans="1:29" ht="15">
      <c r="A36" s="588"/>
      <c r="B36" s="521" t="s">
        <v>762</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79"/>
      <c r="Q36" s="1506" t="str">
        <f t="shared" si="11"/>
        <v>内部装修</v>
      </c>
      <c r="R36" s="1507" t="s">
        <v>8</v>
      </c>
      <c r="S36" s="1508">
        <f t="shared" si="12"/>
        <v>100</v>
      </c>
      <c r="T36" s="1507" t="s">
        <v>8</v>
      </c>
      <c r="U36" s="1508">
        <f t="shared" si="13"/>
        <v>100</v>
      </c>
      <c r="V36" s="1507" t="s">
        <v>8</v>
      </c>
      <c r="W36" s="1508">
        <f t="shared" si="14"/>
        <v>100</v>
      </c>
      <c r="X36" s="1501"/>
      <c r="Y36" s="3579"/>
      <c r="Z36" s="1509" t="str">
        <f t="shared" si="15"/>
        <v>内部装修</v>
      </c>
      <c r="AA36" s="1510">
        <f t="shared" si="3"/>
        <v>1</v>
      </c>
      <c r="AB36" s="1510">
        <f t="shared" si="4"/>
        <v>1</v>
      </c>
      <c r="AC36" s="1510">
        <f t="shared" si="5"/>
        <v>1</v>
      </c>
    </row>
    <row r="37" spans="1:29" ht="15">
      <c r="A37" s="588"/>
      <c r="B37" s="521" t="s">
        <v>782</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79"/>
      <c r="Q37" s="1506" t="str">
        <f t="shared" si="11"/>
        <v>内部装修状况</v>
      </c>
      <c r="R37" s="1507" t="s">
        <v>8</v>
      </c>
      <c r="S37" s="1508">
        <f t="shared" si="12"/>
        <v>100</v>
      </c>
      <c r="T37" s="1507" t="s">
        <v>8</v>
      </c>
      <c r="U37" s="1508">
        <f t="shared" si="13"/>
        <v>100</v>
      </c>
      <c r="V37" s="1507" t="s">
        <v>8</v>
      </c>
      <c r="W37" s="1508">
        <f t="shared" si="14"/>
        <v>100</v>
      </c>
      <c r="X37" s="1501"/>
      <c r="Y37" s="3579"/>
      <c r="Z37" s="1509" t="str">
        <f t="shared" si="15"/>
        <v>内部装修状况</v>
      </c>
      <c r="AA37" s="1510">
        <f t="shared" si="3"/>
        <v>1</v>
      </c>
      <c r="AB37" s="1510">
        <f t="shared" si="4"/>
        <v>1</v>
      </c>
      <c r="AC37" s="1510">
        <f t="shared" si="5"/>
        <v>1</v>
      </c>
    </row>
    <row r="38" spans="1:29" s="1292"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579"/>
      <c r="Q38" s="1535">
        <f t="shared" si="11"/>
        <v>111</v>
      </c>
      <c r="R38" s="1511" t="s">
        <v>8</v>
      </c>
      <c r="S38" s="1512">
        <f t="shared" si="12"/>
        <v>100</v>
      </c>
      <c r="T38" s="1511" t="s">
        <v>8</v>
      </c>
      <c r="U38" s="1512">
        <f t="shared" si="13"/>
        <v>100</v>
      </c>
      <c r="V38" s="1511" t="s">
        <v>8</v>
      </c>
      <c r="W38" s="1512">
        <f t="shared" si="14"/>
        <v>100</v>
      </c>
      <c r="X38" s="1513"/>
      <c r="Y38" s="3579"/>
      <c r="Z38" s="1514">
        <f t="shared" si="15"/>
        <v>111</v>
      </c>
      <c r="AA38" s="1510">
        <f t="shared" si="3"/>
        <v>1</v>
      </c>
      <c r="AB38" s="1510">
        <f t="shared" si="4"/>
        <v>1</v>
      </c>
      <c r="AC38" s="1510">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579"/>
      <c r="Q39" s="1506">
        <f t="shared" si="11"/>
        <v>111</v>
      </c>
      <c r="R39" s="1507" t="s">
        <v>8</v>
      </c>
      <c r="S39" s="1508">
        <f t="shared" si="12"/>
        <v>100</v>
      </c>
      <c r="T39" s="1507" t="s">
        <v>8</v>
      </c>
      <c r="U39" s="1508">
        <f t="shared" si="13"/>
        <v>100</v>
      </c>
      <c r="V39" s="1507" t="s">
        <v>8</v>
      </c>
      <c r="W39" s="1508">
        <f t="shared" si="14"/>
        <v>100</v>
      </c>
      <c r="X39" s="1501"/>
      <c r="Y39" s="3579"/>
      <c r="Z39" s="1509">
        <f t="shared" si="15"/>
        <v>111</v>
      </c>
      <c r="AA39" s="1510">
        <f t="shared" si="3"/>
        <v>1</v>
      </c>
      <c r="AB39" s="1510">
        <f t="shared" si="4"/>
        <v>1</v>
      </c>
      <c r="AC39" s="1510">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680"/>
      <c r="Q40" s="1506">
        <f t="shared" si="11"/>
        <v>111</v>
      </c>
      <c r="R40" s="1507" t="s">
        <v>8</v>
      </c>
      <c r="S40" s="1508">
        <f t="shared" si="12"/>
        <v>100</v>
      </c>
      <c r="T40" s="1507" t="s">
        <v>8</v>
      </c>
      <c r="U40" s="1508">
        <f t="shared" si="13"/>
        <v>100</v>
      </c>
      <c r="V40" s="1507" t="s">
        <v>8</v>
      </c>
      <c r="W40" s="1508">
        <f t="shared" si="14"/>
        <v>100</v>
      </c>
      <c r="X40" s="1501"/>
      <c r="Y40" s="3680"/>
      <c r="Z40" s="1509">
        <f t="shared" si="15"/>
        <v>111</v>
      </c>
      <c r="AA40" s="1510">
        <f t="shared" si="3"/>
        <v>1</v>
      </c>
      <c r="AB40" s="1510">
        <f t="shared" si="4"/>
        <v>1</v>
      </c>
      <c r="AC40" s="1510">
        <f t="shared" si="5"/>
        <v>1</v>
      </c>
    </row>
    <row r="41" spans="1:29" ht="15">
      <c r="A41" s="601" t="s">
        <v>728</v>
      </c>
      <c r="B41" s="876"/>
      <c r="C41" s="2470" t="s">
        <v>1</v>
      </c>
      <c r="D41" s="2471"/>
      <c r="E41" s="2472"/>
      <c r="F41" s="2473"/>
      <c r="G41" s="2474"/>
      <c r="H41" s="2475"/>
      <c r="I41" s="2472"/>
      <c r="J41" s="2475"/>
      <c r="K41" s="1540"/>
      <c r="L41" s="2026"/>
      <c r="M41" s="2027"/>
      <c r="N41" s="2016"/>
      <c r="O41" s="2027"/>
      <c r="P41" s="3574" t="str">
        <f>A41</f>
        <v>成交单价（元/平方米）</v>
      </c>
      <c r="Q41" s="3574"/>
      <c r="R41" s="3679">
        <f>E41</f>
        <v>0</v>
      </c>
      <c r="S41" s="3679"/>
      <c r="T41" s="3679">
        <f>G41</f>
        <v>0</v>
      </c>
      <c r="U41" s="3679"/>
      <c r="V41" s="3679">
        <f>I41</f>
        <v>0</v>
      </c>
      <c r="W41" s="3679"/>
      <c r="X41" s="1496"/>
      <c r="Y41" s="1515"/>
      <c r="Z41" s="1496"/>
      <c r="AA41" s="1496"/>
      <c r="AB41" s="1496"/>
      <c r="AC41" s="1496"/>
    </row>
    <row r="42" spans="1:29" ht="15.75" thickBot="1">
      <c r="A42" s="609" t="s">
        <v>2735</v>
      </c>
      <c r="B42" s="877"/>
      <c r="C42" s="2476" t="e">
        <f>R43</f>
        <v>#DIV/0!</v>
      </c>
      <c r="D42" s="3013" t="s">
        <v>2960</v>
      </c>
      <c r="E42" s="2477" t="e">
        <f>R42</f>
        <v>#DIV/0!</v>
      </c>
      <c r="F42" s="3014"/>
      <c r="G42" s="2476" t="e">
        <f>T42</f>
        <v>#DIV/0!</v>
      </c>
      <c r="H42" s="3014"/>
      <c r="I42" s="2477" t="e">
        <f>V42</f>
        <v>#DIV/0!</v>
      </c>
      <c r="J42" s="3014"/>
      <c r="K42" s="3022">
        <f>F42+H42+J42</f>
        <v>0</v>
      </c>
      <c r="L42" s="2026"/>
      <c r="M42" s="2027"/>
      <c r="N42" s="2016"/>
      <c r="O42" s="2027"/>
      <c r="P42" s="3574" t="str">
        <f>A42</f>
        <v>比较价格（元/平方米）</v>
      </c>
      <c r="Q42" s="3574"/>
      <c r="R42" s="3679" t="e">
        <f>IF(F1="售价",ROUND(PRODUCT(R41,AA7:AA40),0),ROUND(PRODUCT(R41,AA7:AA40),1))</f>
        <v>#DIV/0!</v>
      </c>
      <c r="S42" s="3679"/>
      <c r="T42" s="3679" t="e">
        <f>IF(F1="售价",ROUND(PRODUCT(T41,AB7:AB40),0),ROUND(PRODUCT(T41,AB7:AB40),1))</f>
        <v>#DIV/0!</v>
      </c>
      <c r="U42" s="3679"/>
      <c r="V42" s="3679" t="e">
        <f>IF(F1="售价",ROUND(PRODUCT(V41,AC7:AC40),0),ROUND(PRODUCT(V41,AC7:AC40),1))</f>
        <v>#DIV/0!</v>
      </c>
      <c r="W42" s="3679"/>
      <c r="X42" s="1496"/>
      <c r="Y42" s="1496"/>
      <c r="Z42" s="1496"/>
      <c r="AA42" s="1496"/>
      <c r="AB42" s="1496"/>
      <c r="AC42" s="1496"/>
    </row>
    <row r="43" spans="1:29" ht="15.75" thickBot="1">
      <c r="A43" s="613" t="s">
        <v>2893</v>
      </c>
      <c r="B43" s="614"/>
      <c r="C43" s="2478" t="e">
        <f>R43</f>
        <v>#DIV/0!</v>
      </c>
      <c r="D43" s="2478"/>
      <c r="E43" s="2478"/>
      <c r="F43" s="2478"/>
      <c r="G43" s="2478"/>
      <c r="H43" s="2478"/>
      <c r="I43" s="2478"/>
      <c r="J43" s="2478"/>
      <c r="K43" s="1541"/>
      <c r="L43" s="2026"/>
      <c r="M43" s="2027"/>
      <c r="N43" s="2027"/>
      <c r="O43" s="2027"/>
      <c r="P43" s="3595" t="str">
        <f>A43</f>
        <v>估价对象XX用房的比较价格（楼面单价，元/平方米）</v>
      </c>
      <c r="Q43" s="3596"/>
      <c r="R43" s="3678" t="e">
        <f>IF(F1="售价",ROUND(IF(D42="简单平均",AVERAGE(R42:V42),R42*F42+T42*H42+V42*J42),0),ROUND(IF(D42="简单平均",AVERAGE(R42:V42),R42*F42+T42*H42+V42*J42),1))</f>
        <v>#DIV/0!</v>
      </c>
      <c r="S43" s="3678"/>
      <c r="T43" s="3678"/>
      <c r="U43" s="3678"/>
      <c r="V43" s="3678"/>
      <c r="W43" s="3678"/>
      <c r="X43" s="1496"/>
      <c r="Y43" s="1496"/>
      <c r="Z43" s="1496"/>
      <c r="AA43" s="1496"/>
      <c r="AB43" s="1496"/>
      <c r="AC43" s="1496"/>
    </row>
    <row r="44" spans="1:29">
      <c r="A44" s="3210"/>
      <c r="B44" s="3210"/>
      <c r="C44" s="3210"/>
      <c r="D44" s="3210"/>
      <c r="E44" s="3210"/>
      <c r="F44" s="3210"/>
      <c r="G44" s="3212"/>
      <c r="H44" s="3210"/>
      <c r="I44" s="3210"/>
      <c r="J44" s="3210"/>
      <c r="K44" s="3213"/>
      <c r="L44" s="2031"/>
      <c r="M44" s="2027"/>
      <c r="N44" s="2027"/>
      <c r="O44" s="2027"/>
      <c r="P44" s="2027"/>
      <c r="Q44" s="2027"/>
      <c r="R44" s="2027"/>
      <c r="S44" s="2027"/>
      <c r="T44" s="2027"/>
      <c r="U44" s="2027"/>
      <c r="V44" s="2027"/>
      <c r="W44" s="2027"/>
      <c r="X44" s="2027"/>
      <c r="Y44" s="2027"/>
      <c r="Z44" s="2027"/>
      <c r="AA44" s="2027"/>
      <c r="AB44" s="2027"/>
      <c r="AC44" s="2027"/>
    </row>
    <row r="45" spans="1:29">
      <c r="A45" s="3210"/>
      <c r="B45" s="3210"/>
      <c r="C45" s="3210"/>
      <c r="D45" s="3210"/>
      <c r="E45" s="3210"/>
      <c r="F45" s="3210"/>
      <c r="G45" s="3210"/>
      <c r="H45" s="3210"/>
      <c r="I45" s="3210"/>
      <c r="J45" s="3210"/>
      <c r="K45" s="3213"/>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0"/>
      <c r="B46" s="3210"/>
      <c r="C46" s="616" t="s">
        <v>549</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3"/>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0"/>
      <c r="B47" s="3210"/>
      <c r="C47" s="616" t="s">
        <v>550</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3"/>
      <c r="L47" s="2031"/>
      <c r="M47" s="2027"/>
      <c r="N47" s="2027"/>
      <c r="O47" s="2027"/>
      <c r="P47" s="2027"/>
      <c r="Q47" s="2027"/>
      <c r="R47" s="2027"/>
      <c r="S47" s="2027"/>
      <c r="T47" s="2027"/>
      <c r="U47" s="2027"/>
      <c r="V47" s="2027"/>
      <c r="W47" s="2027"/>
      <c r="X47" s="2027"/>
      <c r="Y47" s="2027"/>
      <c r="Z47" s="2027"/>
      <c r="AA47" s="2027"/>
      <c r="AB47" s="2027"/>
      <c r="AC47" s="2027"/>
    </row>
    <row r="48" spans="1:29" s="1297" customFormat="1" ht="13.5" customHeight="1">
      <c r="A48" s="3211"/>
      <c r="B48" s="3211"/>
      <c r="C48" s="616" t="s">
        <v>551</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4"/>
      <c r="L48" s="2034"/>
      <c r="M48" s="2028"/>
      <c r="N48" s="2028"/>
      <c r="O48" s="2028"/>
      <c r="P48" s="2028"/>
      <c r="Q48" s="2028"/>
      <c r="R48" s="2028"/>
      <c r="S48" s="2028"/>
      <c r="T48" s="2028"/>
      <c r="U48" s="2028"/>
      <c r="V48" s="2028"/>
      <c r="W48" s="2028"/>
      <c r="X48" s="2028"/>
      <c r="Y48" s="2028"/>
      <c r="Z48" s="2028"/>
      <c r="AA48" s="2028"/>
      <c r="AB48" s="2028"/>
      <c r="AC48" s="2028"/>
    </row>
    <row r="49" spans="1:29" s="1297"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566</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299" customFormat="1" ht="15">
      <c r="A52" s="637" t="s">
        <v>521</v>
      </c>
      <c r="B52" s="638"/>
      <c r="C52" s="2519" t="str">
        <f>YEAR(C7)&amp;"-"&amp;MONTH(C7)</f>
        <v>2021-9</v>
      </c>
      <c r="D52" s="2521">
        <f>EDATE(C52,-1)</f>
        <v>44409</v>
      </c>
      <c r="E52" s="2521">
        <f t="shared" ref="E52:O52" si="16">EDATE(D52,-1)</f>
        <v>44378</v>
      </c>
      <c r="F52" s="2521">
        <f t="shared" si="16"/>
        <v>44348</v>
      </c>
      <c r="G52" s="2521">
        <f t="shared" si="16"/>
        <v>44317</v>
      </c>
      <c r="H52" s="2521">
        <f t="shared" si="16"/>
        <v>44287</v>
      </c>
      <c r="I52" s="2521">
        <f t="shared" si="16"/>
        <v>44256</v>
      </c>
      <c r="J52" s="2521">
        <f t="shared" si="16"/>
        <v>44228</v>
      </c>
      <c r="K52" s="2521">
        <f t="shared" si="16"/>
        <v>44197</v>
      </c>
      <c r="L52" s="2521">
        <f t="shared" si="16"/>
        <v>44166</v>
      </c>
      <c r="M52" s="2521">
        <f t="shared" si="16"/>
        <v>44136</v>
      </c>
      <c r="N52" s="2521">
        <f t="shared" si="16"/>
        <v>44105</v>
      </c>
      <c r="O52" s="2521">
        <f t="shared" si="16"/>
        <v>44075</v>
      </c>
      <c r="P52" s="2041"/>
      <c r="Q52" s="2042"/>
      <c r="R52" s="2042"/>
      <c r="S52" s="2042"/>
      <c r="T52" s="2042"/>
      <c r="U52" s="2042"/>
      <c r="V52" s="2042"/>
      <c r="W52" s="2042"/>
      <c r="X52" s="2042"/>
      <c r="Y52" s="2042"/>
      <c r="Z52" s="2042"/>
      <c r="AA52" s="2042"/>
      <c r="AB52" s="2042"/>
      <c r="AC52" s="2042"/>
    </row>
    <row r="53" spans="1:29" s="1202"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2" customFormat="1" ht="15.75" thickBot="1">
      <c r="A54" s="645" t="s">
        <v>567</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2" customFormat="1" ht="15">
      <c r="A55" s="651" t="s">
        <v>523</v>
      </c>
      <c r="B55" s="640"/>
      <c r="C55" s="652" t="s">
        <v>568</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2"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569</v>
      </c>
      <c r="B57" s="657" t="s">
        <v>526</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529</v>
      </c>
      <c r="C59" s="666" t="s">
        <v>729</v>
      </c>
      <c r="D59" s="666" t="s">
        <v>730</v>
      </c>
      <c r="E59" s="666" t="s">
        <v>731</v>
      </c>
      <c r="F59" s="666" t="s">
        <v>732</v>
      </c>
      <c r="G59" s="666" t="s">
        <v>733</v>
      </c>
      <c r="H59" s="666" t="s">
        <v>734</v>
      </c>
      <c r="I59" s="666" t="s">
        <v>735</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530</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2"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2"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2"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2"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2"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2"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531</v>
      </c>
      <c r="B70" s="657" t="s">
        <v>577</v>
      </c>
      <c r="C70" s="695" t="s">
        <v>571</v>
      </c>
      <c r="D70" s="695" t="s">
        <v>572</v>
      </c>
      <c r="E70" s="695" t="s">
        <v>573</v>
      </c>
      <c r="F70" s="695" t="s">
        <v>574</v>
      </c>
      <c r="G70" s="695" t="s">
        <v>575</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578</v>
      </c>
      <c r="C72" s="700" t="s">
        <v>571</v>
      </c>
      <c r="D72" s="700" t="s">
        <v>572</v>
      </c>
      <c r="E72" s="700" t="s">
        <v>573</v>
      </c>
      <c r="F72" s="700" t="s">
        <v>574</v>
      </c>
      <c r="G72" s="700" t="s">
        <v>575</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2533</v>
      </c>
      <c r="C74" s="700" t="s">
        <v>571</v>
      </c>
      <c r="D74" s="700" t="s">
        <v>572</v>
      </c>
      <c r="E74" s="700" t="s">
        <v>573</v>
      </c>
      <c r="F74" s="700" t="s">
        <v>574</v>
      </c>
      <c r="G74" s="700" t="s">
        <v>575</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2534</v>
      </c>
      <c r="C76" s="2442" t="s">
        <v>2535</v>
      </c>
      <c r="D76" s="2442" t="s">
        <v>2536</v>
      </c>
      <c r="E76" s="2442" t="s">
        <v>2537</v>
      </c>
      <c r="F76" s="2442" t="s">
        <v>2538</v>
      </c>
      <c r="G76" s="2442" t="s">
        <v>2539</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776</v>
      </c>
      <c r="C78" s="700" t="s">
        <v>571</v>
      </c>
      <c r="D78" s="700" t="s">
        <v>572</v>
      </c>
      <c r="E78" s="700" t="s">
        <v>573</v>
      </c>
      <c r="F78" s="700" t="s">
        <v>574</v>
      </c>
      <c r="G78" s="700" t="s">
        <v>575</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2"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2"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2"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2"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2"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543</v>
      </c>
      <c r="B88" s="657" t="s">
        <v>739</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740</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2"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741</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743</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744</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2" customFormat="1" ht="15" thickTop="1">
      <c r="A100" s="720"/>
      <c r="B100" s="665" t="s">
        <v>745</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2532</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747</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783</v>
      </c>
      <c r="C106" s="700" t="s">
        <v>571</v>
      </c>
      <c r="D106" s="700" t="s">
        <v>572</v>
      </c>
      <c r="E106" s="700" t="s">
        <v>573</v>
      </c>
      <c r="F106" s="700" t="s">
        <v>574</v>
      </c>
      <c r="G106" s="700" t="s">
        <v>575</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2"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2"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xr:uid="{00000000-0002-0000-2800-000000000000}">
      <formula1>土地年限区间</formula1>
    </dataValidation>
    <dataValidation type="list" allowBlank="1" showInputMessage="1" showErrorMessage="1" sqref="D1" xr:uid="{00000000-0002-0000-2800-000001000000}">
      <formula1>项目类型</formula1>
    </dataValidation>
    <dataValidation type="list" allowBlank="1" showInputMessage="1" showErrorMessage="1" sqref="C20 G20 I20 E20" xr:uid="{00000000-0002-0000-2800-000002000000}">
      <formula1>公共配套设施</formula1>
    </dataValidation>
    <dataValidation type="list" allowBlank="1" showInputMessage="1" showErrorMessage="1" sqref="E18 G18 I18 C18" xr:uid="{00000000-0002-0000-2800-000003000000}">
      <formula1>交通便捷度</formula1>
    </dataValidation>
    <dataValidation type="list" allowBlank="1" showInputMessage="1" showErrorMessage="1" sqref="E24 G24 I24 C24" xr:uid="{00000000-0002-0000-2800-000004000000}">
      <formula1>环境</formula1>
    </dataValidation>
    <dataValidation type="list" allowBlank="1" showInputMessage="1" showErrorMessage="1" sqref="C8 E8 G8 I8" xr:uid="{00000000-0002-0000-2800-000005000000}">
      <formula1>工业交易情况</formula1>
    </dataValidation>
    <dataValidation type="list" allowBlank="1" showInputMessage="1" showErrorMessage="1" sqref="E9 G9 I9" xr:uid="{00000000-0002-0000-2800-000006000000}">
      <formula1>工业用途</formula1>
    </dataValidation>
    <dataValidation type="list" allowBlank="1" showInputMessage="1" showErrorMessage="1" sqref="C29 E29 G29 I29" xr:uid="{00000000-0002-0000-2800-000007000000}">
      <formula1>工业建筑类型</formula1>
    </dataValidation>
    <dataValidation type="list" allowBlank="1" showInputMessage="1" showErrorMessage="1" sqref="C31 E31 G31 I31" xr:uid="{00000000-0002-0000-2800-000008000000}">
      <formula1>工业建筑结构</formula1>
    </dataValidation>
    <dataValidation type="list" allowBlank="1" showInputMessage="1" showErrorMessage="1" sqref="C32 E32 G32 I32" xr:uid="{00000000-0002-0000-2800-000009000000}">
      <formula1>工业公共部分装修</formula1>
    </dataValidation>
    <dataValidation type="list" allowBlank="1" showInputMessage="1" showErrorMessage="1" sqref="C34 E34 G34 I34" xr:uid="{00000000-0002-0000-2800-00000A000000}">
      <formula1>工业物业管理</formula1>
    </dataValidation>
    <dataValidation type="list" allowBlank="1" showInputMessage="1" showErrorMessage="1" sqref="C35 E35 G35 I35" xr:uid="{00000000-0002-0000-2800-00000B000000}">
      <formula1>工业基础设施水平</formula1>
    </dataValidation>
    <dataValidation type="list" allowBlank="1" showInputMessage="1" showErrorMessage="1" sqref="C36 E36 G36 I36" xr:uid="{00000000-0002-0000-2800-00000C000000}">
      <formula1>工业内部装修</formula1>
    </dataValidation>
    <dataValidation type="list" allowBlank="1" showInputMessage="1" showErrorMessage="1" sqref="C37 E37 G37 I37" xr:uid="{00000000-0002-0000-2800-00000D000000}">
      <formula1>内部装修维护情况</formula1>
    </dataValidation>
    <dataValidation type="list" allowBlank="1" showInputMessage="1" showErrorMessage="1" sqref="C16 E16 G16 I16" xr:uid="{00000000-0002-0000-2800-00000E000000}">
      <formula1>产业集聚程度</formula1>
    </dataValidation>
    <dataValidation type="list" allowBlank="1" showInputMessage="1" showErrorMessage="1" sqref="C22 E22 G22 I22" xr:uid="{00000000-0002-0000-2800-00000F000000}">
      <formula1>基础设施水平</formula1>
    </dataValidation>
    <dataValidation type="list" allowBlank="1" showInputMessage="1" showErrorMessage="1" sqref="F1" xr:uid="{00000000-0002-0000-2800-000010000000}">
      <formula1>"售价,租金"</formula1>
    </dataValidation>
    <dataValidation type="list" allowBlank="1" showInputMessage="1" showErrorMessage="1" sqref="D42" xr:uid="{00000000-0002-0000-28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710</v>
      </c>
      <c r="B1" s="912"/>
      <c r="C1" s="498" t="s">
        <v>784</v>
      </c>
      <c r="D1" s="838"/>
      <c r="E1" s="500"/>
      <c r="F1" s="2524"/>
      <c r="G1" s="1531" t="s">
        <v>785</v>
      </c>
      <c r="H1" s="500"/>
      <c r="I1" s="500"/>
      <c r="J1" s="500"/>
      <c r="K1" s="501"/>
      <c r="L1" s="3206"/>
      <c r="M1" s="3207"/>
      <c r="N1" s="3207"/>
      <c r="O1" s="3207"/>
      <c r="P1" s="2014"/>
      <c r="Q1" s="2014"/>
      <c r="R1" s="2014"/>
      <c r="S1" s="2014"/>
      <c r="T1" s="2014"/>
      <c r="U1" s="2014"/>
      <c r="V1" s="2014"/>
      <c r="W1" s="2014"/>
      <c r="X1" s="2014"/>
      <c r="Y1" s="2014"/>
      <c r="Z1" s="2014"/>
      <c r="AA1" s="2014"/>
      <c r="AB1" s="2014"/>
      <c r="AC1" s="3208"/>
    </row>
    <row r="2" spans="1:29" s="1289" customFormat="1" ht="28.5" customHeight="1">
      <c r="A2" s="417" t="s">
        <v>786</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08"/>
    </row>
    <row r="3" spans="1:29" s="1289" customFormat="1" ht="28.5" customHeight="1" thickBot="1">
      <c r="A3" s="503" t="s">
        <v>787</v>
      </c>
      <c r="B3" s="504" t="e">
        <f>IF(B37="元/平方米",C39,ROUND(B2*10000/D3,0))</f>
        <v>#DIV/0!</v>
      </c>
      <c r="C3" s="841" t="s">
        <v>788</v>
      </c>
      <c r="D3" s="840">
        <f>SUMIF('数据-汇总表'!$C19:$C33,D1,'数据-汇总表'!$E19:$E33)</f>
        <v>0</v>
      </c>
      <c r="E3" s="1762" t="s">
        <v>2060</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09"/>
      <c r="AC3" s="1944"/>
    </row>
    <row r="4" spans="1:29" ht="15">
      <c r="A4" s="506" t="s">
        <v>789</v>
      </c>
      <c r="B4" s="507"/>
      <c r="C4" s="3580" t="s">
        <v>790</v>
      </c>
      <c r="D4" s="3581"/>
      <c r="E4" s="3580" t="s">
        <v>791</v>
      </c>
      <c r="F4" s="3581"/>
      <c r="G4" s="3580" t="s">
        <v>792</v>
      </c>
      <c r="H4" s="3581"/>
      <c r="I4" s="3580" t="s">
        <v>793</v>
      </c>
      <c r="J4" s="3581"/>
      <c r="K4" s="508" t="s">
        <v>794</v>
      </c>
      <c r="L4" s="2015"/>
      <c r="M4" s="2016"/>
      <c r="N4" s="2016"/>
      <c r="O4" s="2016"/>
      <c r="P4" s="3582" t="s">
        <v>795</v>
      </c>
      <c r="Q4" s="3583"/>
      <c r="R4" s="3568" t="s">
        <v>791</v>
      </c>
      <c r="S4" s="3569"/>
      <c r="T4" s="3568" t="s">
        <v>792</v>
      </c>
      <c r="U4" s="3569"/>
      <c r="V4" s="3588" t="s">
        <v>793</v>
      </c>
      <c r="W4" s="3588"/>
      <c r="X4" s="1501"/>
      <c r="Y4" s="3568" t="s">
        <v>795</v>
      </c>
      <c r="Z4" s="3569"/>
      <c r="AA4" s="3563" t="s">
        <v>791</v>
      </c>
      <c r="AB4" s="3564" t="s">
        <v>792</v>
      </c>
      <c r="AC4" s="3563" t="s">
        <v>793</v>
      </c>
    </row>
    <row r="5" spans="1:29" ht="15">
      <c r="A5" s="509"/>
      <c r="B5" s="510"/>
      <c r="C5" s="3591" t="s">
        <v>2887</v>
      </c>
      <c r="D5" s="3592"/>
      <c r="E5" s="3591" t="s">
        <v>2888</v>
      </c>
      <c r="F5" s="3592"/>
      <c r="G5" s="3591" t="s">
        <v>2889</v>
      </c>
      <c r="H5" s="3592"/>
      <c r="I5" s="3591" t="s">
        <v>2890</v>
      </c>
      <c r="J5" s="3592"/>
      <c r="K5" s="508"/>
      <c r="L5" s="2015"/>
      <c r="M5" s="2016"/>
      <c r="N5" s="2016"/>
      <c r="O5" s="2016"/>
      <c r="P5" s="3584"/>
      <c r="Q5" s="3585"/>
      <c r="R5" s="3570"/>
      <c r="S5" s="3571"/>
      <c r="T5" s="3570"/>
      <c r="U5" s="3571"/>
      <c r="V5" s="3588"/>
      <c r="W5" s="3588"/>
      <c r="X5" s="1501"/>
      <c r="Y5" s="3570"/>
      <c r="Z5" s="3571"/>
      <c r="AA5" s="3564"/>
      <c r="AB5" s="3564"/>
      <c r="AC5" s="3564"/>
    </row>
    <row r="6" spans="1:29" ht="15.75" thickBot="1">
      <c r="A6" s="511"/>
      <c r="B6" s="512"/>
      <c r="C6" s="3589" t="s">
        <v>2891</v>
      </c>
      <c r="D6" s="3590"/>
      <c r="E6" s="3593" t="s">
        <v>2891</v>
      </c>
      <c r="F6" s="3594"/>
      <c r="G6" s="3589" t="s">
        <v>2891</v>
      </c>
      <c r="H6" s="3590"/>
      <c r="I6" s="3589" t="s">
        <v>2891</v>
      </c>
      <c r="J6" s="3590"/>
      <c r="K6" s="508" t="s">
        <v>520</v>
      </c>
      <c r="L6" s="2015"/>
      <c r="M6" s="2016"/>
      <c r="N6" s="2016"/>
      <c r="O6" s="2016"/>
      <c r="P6" s="3586"/>
      <c r="Q6" s="3587"/>
      <c r="R6" s="3570"/>
      <c r="S6" s="3571"/>
      <c r="T6" s="3572"/>
      <c r="U6" s="3573"/>
      <c r="V6" s="3588"/>
      <c r="W6" s="3588"/>
      <c r="X6" s="1501"/>
      <c r="Y6" s="3572"/>
      <c r="Z6" s="3573"/>
      <c r="AA6" s="3565"/>
      <c r="AB6" s="3565"/>
      <c r="AC6" s="3565"/>
    </row>
    <row r="7" spans="1:29" s="1202" customFormat="1" ht="15.75" thickBot="1">
      <c r="A7" s="2629"/>
      <c r="B7" s="2636" t="s">
        <v>521</v>
      </c>
      <c r="C7" s="513">
        <f>'数据-取费表'!B2</f>
        <v>44463</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66" t="s">
        <v>522</v>
      </c>
      <c r="Q7" s="3575"/>
      <c r="R7" s="1502" t="s">
        <v>8</v>
      </c>
      <c r="S7" s="1503">
        <f t="shared" ref="S7:S14" si="0">F7</f>
        <v>0</v>
      </c>
      <c r="T7" s="1502" t="s">
        <v>8</v>
      </c>
      <c r="U7" s="1503">
        <f t="shared" ref="U7:U14" si="1">H7</f>
        <v>0</v>
      </c>
      <c r="V7" s="1502" t="s">
        <v>8</v>
      </c>
      <c r="W7" s="1503">
        <f t="shared" ref="W7:W14" si="2">J7</f>
        <v>0</v>
      </c>
      <c r="X7" s="1504"/>
      <c r="Y7" s="3566" t="s">
        <v>522</v>
      </c>
      <c r="Z7" s="3567"/>
      <c r="AA7" s="1505" t="e">
        <f>D7/F7</f>
        <v>#DIV/0!</v>
      </c>
      <c r="AB7" s="1505" t="e">
        <f>D7/H7</f>
        <v>#DIV/0!</v>
      </c>
      <c r="AC7" s="1505" t="e">
        <f>D7/J7</f>
        <v>#DIV/0!</v>
      </c>
    </row>
    <row r="8" spans="1:29" s="1202" customFormat="1" ht="15.75" thickBot="1">
      <c r="A8" s="2630"/>
      <c r="B8" s="2637" t="s">
        <v>523</v>
      </c>
      <c r="C8" s="519" t="s">
        <v>568</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66" t="s">
        <v>525</v>
      </c>
      <c r="Q8" s="3567"/>
      <c r="R8" s="1502" t="s">
        <v>8</v>
      </c>
      <c r="S8" s="1503">
        <f t="shared" si="0"/>
        <v>0</v>
      </c>
      <c r="T8" s="1502" t="s">
        <v>8</v>
      </c>
      <c r="U8" s="1503">
        <f t="shared" si="1"/>
        <v>0</v>
      </c>
      <c r="V8" s="1502" t="s">
        <v>8</v>
      </c>
      <c r="W8" s="1503">
        <f t="shared" si="2"/>
        <v>0</v>
      </c>
      <c r="X8" s="1504"/>
      <c r="Y8" s="3566" t="s">
        <v>525</v>
      </c>
      <c r="Z8" s="3567"/>
      <c r="AA8" s="1505" t="e">
        <f t="shared" ref="AA8:AA36" si="3">D8/F8</f>
        <v>#DIV/0!</v>
      </c>
      <c r="AB8" s="1505" t="e">
        <f t="shared" ref="AB8:AB36" si="4">D8/H8</f>
        <v>#DIV/0!</v>
      </c>
      <c r="AC8" s="1505" t="e">
        <f t="shared" ref="AC8:AC36" si="5">D8/J8</f>
        <v>#DIV/0!</v>
      </c>
    </row>
    <row r="9" spans="1:29" s="1202" customFormat="1" ht="15">
      <c r="A9" s="2631"/>
      <c r="B9" s="2638" t="s">
        <v>2731</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574" t="s">
        <v>527</v>
      </c>
      <c r="Q9" s="1133" t="str">
        <f t="shared" ref="Q9:Q14" si="6">B9</f>
        <v>用途</v>
      </c>
      <c r="R9" s="1502" t="s">
        <v>8</v>
      </c>
      <c r="S9" s="1503">
        <f t="shared" si="0"/>
        <v>100</v>
      </c>
      <c r="T9" s="1502" t="s">
        <v>8</v>
      </c>
      <c r="U9" s="1503">
        <f t="shared" si="1"/>
        <v>100</v>
      </c>
      <c r="V9" s="1502" t="s">
        <v>8</v>
      </c>
      <c r="W9" s="1503">
        <f t="shared" si="2"/>
        <v>100</v>
      </c>
      <c r="X9" s="1504"/>
      <c r="Y9" s="3525" t="s">
        <v>528</v>
      </c>
      <c r="Z9" s="1132" t="str">
        <f t="shared" ref="Z9:Z14" si="7">Q9</f>
        <v>用途</v>
      </c>
      <c r="AA9" s="1505">
        <f t="shared" si="3"/>
        <v>1</v>
      </c>
      <c r="AB9" s="1505">
        <f t="shared" si="4"/>
        <v>1</v>
      </c>
      <c r="AC9" s="1505">
        <f t="shared" si="5"/>
        <v>1</v>
      </c>
    </row>
    <row r="10" spans="1:29" s="1291" customFormat="1" ht="27">
      <c r="A10" s="2632"/>
      <c r="B10" s="2637" t="s">
        <v>2732</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574"/>
      <c r="Q10" s="1133" t="str">
        <f t="shared" si="6"/>
        <v>土地使用年限（年）</v>
      </c>
      <c r="R10" s="1502" t="s">
        <v>8</v>
      </c>
      <c r="S10" s="1503">
        <f t="shared" si="0"/>
        <v>100</v>
      </c>
      <c r="T10" s="1502" t="s">
        <v>8</v>
      </c>
      <c r="U10" s="1503">
        <f t="shared" si="1"/>
        <v>100</v>
      </c>
      <c r="V10" s="1502" t="s">
        <v>8</v>
      </c>
      <c r="W10" s="1503">
        <f t="shared" si="2"/>
        <v>100</v>
      </c>
      <c r="X10" s="1504"/>
      <c r="Y10" s="3525"/>
      <c r="Z10" s="1132" t="str">
        <f t="shared" si="7"/>
        <v>土地使用年限（年）</v>
      </c>
      <c r="AA10" s="1505">
        <f t="shared" si="3"/>
        <v>1</v>
      </c>
      <c r="AB10" s="1505">
        <f t="shared" si="4"/>
        <v>1</v>
      </c>
      <c r="AC10" s="1505">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574"/>
      <c r="Q11" s="1133">
        <f t="shared" si="6"/>
        <v>111</v>
      </c>
      <c r="R11" s="1502" t="s">
        <v>8</v>
      </c>
      <c r="S11" s="1503">
        <f t="shared" si="0"/>
        <v>100</v>
      </c>
      <c r="T11" s="1502" t="s">
        <v>8</v>
      </c>
      <c r="U11" s="1503">
        <f t="shared" si="1"/>
        <v>100</v>
      </c>
      <c r="V11" s="1502" t="s">
        <v>8</v>
      </c>
      <c r="W11" s="1503">
        <f t="shared" si="2"/>
        <v>100</v>
      </c>
      <c r="X11" s="1504"/>
      <c r="Y11" s="3525"/>
      <c r="Z11" s="1132">
        <f t="shared" si="7"/>
        <v>111</v>
      </c>
      <c r="AA11" s="1505">
        <f t="shared" si="3"/>
        <v>1</v>
      </c>
      <c r="AB11" s="1505">
        <f t="shared" si="4"/>
        <v>1</v>
      </c>
      <c r="AC11" s="1505">
        <f t="shared" si="5"/>
        <v>1</v>
      </c>
    </row>
    <row r="12" spans="1:29" s="1202"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574"/>
      <c r="Q12" s="1133">
        <f t="shared" si="6"/>
        <v>111</v>
      </c>
      <c r="R12" s="1502" t="s">
        <v>8</v>
      </c>
      <c r="S12" s="1503">
        <f t="shared" si="0"/>
        <v>100</v>
      </c>
      <c r="T12" s="1502" t="s">
        <v>8</v>
      </c>
      <c r="U12" s="1503">
        <f t="shared" si="1"/>
        <v>100</v>
      </c>
      <c r="V12" s="1502" t="s">
        <v>8</v>
      </c>
      <c r="W12" s="1503">
        <f t="shared" si="2"/>
        <v>100</v>
      </c>
      <c r="X12" s="1504"/>
      <c r="Y12" s="3525"/>
      <c r="Z12" s="1132">
        <f t="shared" si="7"/>
        <v>111</v>
      </c>
      <c r="AA12" s="1505">
        <f>D12/F12</f>
        <v>1</v>
      </c>
      <c r="AB12" s="1505">
        <f>D12/H12</f>
        <v>1</v>
      </c>
      <c r="AC12" s="1505">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574"/>
      <c r="Q13" s="1133">
        <f t="shared" si="6"/>
        <v>111</v>
      </c>
      <c r="R13" s="1502" t="s">
        <v>8</v>
      </c>
      <c r="S13" s="1503">
        <f t="shared" si="0"/>
        <v>100</v>
      </c>
      <c r="T13" s="1502" t="s">
        <v>8</v>
      </c>
      <c r="U13" s="1503">
        <f t="shared" si="1"/>
        <v>100</v>
      </c>
      <c r="V13" s="1502" t="s">
        <v>8</v>
      </c>
      <c r="W13" s="1503">
        <f t="shared" si="2"/>
        <v>100</v>
      </c>
      <c r="X13" s="1504"/>
      <c r="Y13" s="3525"/>
      <c r="Z13" s="1132">
        <f t="shared" si="7"/>
        <v>111</v>
      </c>
      <c r="AA13" s="1505">
        <f t="shared" si="3"/>
        <v>1</v>
      </c>
      <c r="AB13" s="1505">
        <f t="shared" si="4"/>
        <v>1</v>
      </c>
      <c r="AC13" s="1505">
        <f t="shared" si="5"/>
        <v>1</v>
      </c>
    </row>
    <row r="14" spans="1:29" ht="99.75">
      <c r="A14" s="2627" t="s">
        <v>2729</v>
      </c>
      <c r="B14" s="541" t="s">
        <v>535</v>
      </c>
      <c r="C14" s="910" t="str">
        <f>IF(B1="工业",估价对象房地状况!G4,估价对象房地状况!C6)</f>
        <v>估价对象周边有通14路、通50路、通64路等公交线路；距地铁7号线（花庄站）约2公里，交通便捷度一般</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576" t="s">
        <v>532</v>
      </c>
      <c r="Q14" s="1506" t="str">
        <f t="shared" si="6"/>
        <v>交通便捷度</v>
      </c>
      <c r="R14" s="1507" t="s">
        <v>8</v>
      </c>
      <c r="S14" s="1508">
        <f t="shared" si="0"/>
        <v>100</v>
      </c>
      <c r="T14" s="1507" t="s">
        <v>8</v>
      </c>
      <c r="U14" s="1508">
        <f t="shared" si="1"/>
        <v>100</v>
      </c>
      <c r="V14" s="1507" t="s">
        <v>8</v>
      </c>
      <c r="W14" s="1508">
        <f t="shared" si="2"/>
        <v>100</v>
      </c>
      <c r="X14" s="1501"/>
      <c r="Y14" s="3576" t="s">
        <v>532</v>
      </c>
      <c r="Z14" s="1509" t="str">
        <f t="shared" si="7"/>
        <v>交通便捷度</v>
      </c>
      <c r="AA14" s="1510">
        <f t="shared" si="3"/>
        <v>1</v>
      </c>
      <c r="AB14" s="1510">
        <f t="shared" si="4"/>
        <v>1</v>
      </c>
      <c r="AC14" s="1510">
        <f t="shared" si="5"/>
        <v>1</v>
      </c>
    </row>
    <row r="15" spans="1:29" ht="15">
      <c r="A15" s="509"/>
      <c r="B15" s="913"/>
      <c r="C15" s="570"/>
      <c r="D15" s="549"/>
      <c r="E15" s="570"/>
      <c r="F15" s="551"/>
      <c r="G15" s="570"/>
      <c r="H15" s="553"/>
      <c r="I15" s="570"/>
      <c r="J15" s="549"/>
      <c r="K15" s="888"/>
      <c r="L15" s="2024"/>
      <c r="M15" s="2016"/>
      <c r="N15" s="2016"/>
      <c r="O15" s="2023"/>
      <c r="P15" s="3577"/>
      <c r="Q15" s="1506"/>
      <c r="R15" s="1507"/>
      <c r="S15" s="1508"/>
      <c r="T15" s="1507"/>
      <c r="U15" s="1508"/>
      <c r="V15" s="1507"/>
      <c r="W15" s="1508"/>
      <c r="X15" s="1501"/>
      <c r="Y15" s="3577"/>
      <c r="Z15" s="1509"/>
      <c r="AA15" s="1510">
        <v>1</v>
      </c>
      <c r="AB15" s="1510">
        <v>1</v>
      </c>
      <c r="AC15" s="1510">
        <v>1</v>
      </c>
    </row>
    <row r="16" spans="1:29" ht="213.75">
      <c r="A16" s="509"/>
      <c r="B16" s="2447" t="s">
        <v>2522</v>
      </c>
      <c r="C16" s="861" t="str">
        <f>IF(B1="工业",估价对象房地状况!G5,估价对象房地状况!C7)</f>
        <v>估价对象所在区域有张家湾中心幼儿园、张家湾中心小学、张家湾中学等教育资源，有中国建设银行、北京市农村商业银行等金融机构，有世纪华联超市等商业服务设施，有北京运通中医医院等医疗设施，公共服务设施齐备度一般</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577"/>
      <c r="Q16" s="1506" t="str">
        <f>B16</f>
        <v>公共配套设施</v>
      </c>
      <c r="R16" s="1507" t="s">
        <v>8</v>
      </c>
      <c r="S16" s="1508">
        <f>F16</f>
        <v>100</v>
      </c>
      <c r="T16" s="1507" t="s">
        <v>8</v>
      </c>
      <c r="U16" s="1508">
        <f>H16</f>
        <v>100</v>
      </c>
      <c r="V16" s="1507" t="s">
        <v>8</v>
      </c>
      <c r="W16" s="1508">
        <f>J16</f>
        <v>100</v>
      </c>
      <c r="X16" s="1501"/>
      <c r="Y16" s="3577"/>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8"/>
      <c r="L17" s="2024"/>
      <c r="M17" s="2016"/>
      <c r="N17" s="2016"/>
      <c r="O17" s="2023"/>
      <c r="P17" s="3577"/>
      <c r="Q17" s="1506"/>
      <c r="R17" s="1507"/>
      <c r="S17" s="1508"/>
      <c r="T17" s="1507"/>
      <c r="U17" s="1508"/>
      <c r="V17" s="1507"/>
      <c r="W17" s="1508"/>
      <c r="X17" s="1501"/>
      <c r="Y17" s="3577"/>
      <c r="Z17" s="1509"/>
      <c r="AA17" s="1510">
        <v>1</v>
      </c>
      <c r="AB17" s="1510">
        <v>1</v>
      </c>
      <c r="AC17" s="1510">
        <v>1</v>
      </c>
    </row>
    <row r="18" spans="1:29" ht="15">
      <c r="A18" s="509"/>
      <c r="B18" s="2435" t="s">
        <v>2534</v>
      </c>
      <c r="C18" s="861" t="str">
        <f>IF(B1="工业",估价对象房地状况!G6,估价对象房地状况!C8)</f>
        <v>七通</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577"/>
      <c r="Q18" s="2429" t="str">
        <f>B18</f>
        <v>基础设施水平</v>
      </c>
      <c r="R18" s="1507" t="s">
        <v>8</v>
      </c>
      <c r="S18" s="1508">
        <f>F18</f>
        <v>100</v>
      </c>
      <c r="T18" s="1507" t="s">
        <v>8</v>
      </c>
      <c r="U18" s="1508">
        <f>H18</f>
        <v>100</v>
      </c>
      <c r="V18" s="1507" t="s">
        <v>8</v>
      </c>
      <c r="W18" s="1508">
        <f>J18</f>
        <v>100</v>
      </c>
      <c r="X18" s="2431"/>
      <c r="Y18" s="3577"/>
      <c r="Z18" s="2430"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6"/>
      <c r="L19" s="2024"/>
      <c r="M19" s="2016"/>
      <c r="N19" s="2016"/>
      <c r="O19" s="2023"/>
      <c r="P19" s="3577"/>
      <c r="Q19" s="2429"/>
      <c r="R19" s="1507"/>
      <c r="S19" s="1508"/>
      <c r="T19" s="1507"/>
      <c r="U19" s="1508"/>
      <c r="V19" s="1507"/>
      <c r="W19" s="1508"/>
      <c r="X19" s="2431"/>
      <c r="Y19" s="3577"/>
      <c r="Z19" s="2430"/>
      <c r="AA19" s="1510">
        <v>1</v>
      </c>
      <c r="AB19" s="1510">
        <v>1</v>
      </c>
      <c r="AC19" s="1510">
        <v>1</v>
      </c>
    </row>
    <row r="20" spans="1:29" ht="99.75">
      <c r="A20" s="509"/>
      <c r="B20" s="554" t="s">
        <v>796</v>
      </c>
      <c r="C20" s="861" t="str">
        <f>IF(B1="工业",估价对象房地状况!G7,估价对象房地状况!C9)</f>
        <v>区域自然环境：通州大运河森林公园、凉水河；人文环境：北京环球度假区；综合评价环境状况较好</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577"/>
      <c r="Q20" s="1506" t="str">
        <f>B20</f>
        <v>自然及人文环境</v>
      </c>
      <c r="R20" s="1507" t="s">
        <v>8</v>
      </c>
      <c r="S20" s="1508">
        <f>F20</f>
        <v>100</v>
      </c>
      <c r="T20" s="1507" t="s">
        <v>8</v>
      </c>
      <c r="U20" s="1508">
        <f>H20</f>
        <v>100</v>
      </c>
      <c r="V20" s="1507" t="s">
        <v>8</v>
      </c>
      <c r="W20" s="1508">
        <f>J20</f>
        <v>100</v>
      </c>
      <c r="X20" s="1501"/>
      <c r="Y20" s="3577"/>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8"/>
      <c r="L21" s="2024"/>
      <c r="M21" s="2016"/>
      <c r="N21" s="2016"/>
      <c r="O21" s="2023"/>
      <c r="P21" s="3577"/>
      <c r="Q21" s="1506"/>
      <c r="R21" s="1507"/>
      <c r="S21" s="1508"/>
      <c r="T21" s="1507"/>
      <c r="U21" s="1508"/>
      <c r="V21" s="1507"/>
      <c r="W21" s="1508"/>
      <c r="X21" s="1501"/>
      <c r="Y21" s="3577"/>
      <c r="Z21" s="1509"/>
      <c r="AA21" s="1510">
        <v>1</v>
      </c>
      <c r="AB21" s="1510">
        <v>1</v>
      </c>
      <c r="AC21" s="1510">
        <v>1</v>
      </c>
    </row>
    <row r="22" spans="1:29" ht="15">
      <c r="A22" s="509"/>
      <c r="B22" s="554" t="s">
        <v>797</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77"/>
      <c r="Q22" s="1506" t="str">
        <f>B22</f>
        <v>楼层</v>
      </c>
      <c r="R22" s="1507" t="s">
        <v>8</v>
      </c>
      <c r="S22" s="1508">
        <f>F22</f>
        <v>100</v>
      </c>
      <c r="T22" s="1507" t="s">
        <v>8</v>
      </c>
      <c r="U22" s="1508">
        <f>H22</f>
        <v>100</v>
      </c>
      <c r="V22" s="1507" t="s">
        <v>8</v>
      </c>
      <c r="W22" s="1508">
        <f>J22</f>
        <v>100</v>
      </c>
      <c r="X22" s="1501"/>
      <c r="Y22" s="3577"/>
      <c r="Z22" s="1509" t="str">
        <f>Q22</f>
        <v>楼层</v>
      </c>
      <c r="AA22" s="1510">
        <f t="shared" si="3"/>
        <v>1</v>
      </c>
      <c r="AB22" s="1510">
        <f t="shared" si="4"/>
        <v>1</v>
      </c>
      <c r="AC22" s="1510">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77"/>
      <c r="Q23" s="1506">
        <f>B23</f>
        <v>111</v>
      </c>
      <c r="R23" s="1507" t="s">
        <v>8</v>
      </c>
      <c r="S23" s="1508">
        <f>F23</f>
        <v>100</v>
      </c>
      <c r="T23" s="1507" t="s">
        <v>8</v>
      </c>
      <c r="U23" s="1508">
        <f>H23</f>
        <v>100</v>
      </c>
      <c r="V23" s="1507" t="s">
        <v>8</v>
      </c>
      <c r="W23" s="1508">
        <f>J23</f>
        <v>100</v>
      </c>
      <c r="X23" s="1501"/>
      <c r="Y23" s="3577"/>
      <c r="Z23" s="1509">
        <f>Q23</f>
        <v>111</v>
      </c>
      <c r="AA23" s="1510">
        <f t="shared" si="3"/>
        <v>1</v>
      </c>
      <c r="AB23" s="1510">
        <f t="shared" si="4"/>
        <v>1</v>
      </c>
      <c r="AC23" s="1510">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77"/>
      <c r="Q24" s="1506">
        <f t="shared" ref="Q24:Q36" si="11">B24</f>
        <v>111</v>
      </c>
      <c r="R24" s="1507" t="s">
        <v>8</v>
      </c>
      <c r="S24" s="1508">
        <f>F24</f>
        <v>100</v>
      </c>
      <c r="T24" s="1507" t="s">
        <v>8</v>
      </c>
      <c r="U24" s="1508">
        <f>H24</f>
        <v>100</v>
      </c>
      <c r="V24" s="1507" t="s">
        <v>8</v>
      </c>
      <c r="W24" s="1508">
        <f>J24</f>
        <v>100</v>
      </c>
      <c r="X24" s="1501"/>
      <c r="Y24" s="3577"/>
      <c r="Z24" s="1509">
        <f>Q24</f>
        <v>111</v>
      </c>
      <c r="AA24" s="1510">
        <f t="shared" si="3"/>
        <v>1</v>
      </c>
      <c r="AB24" s="1510">
        <f t="shared" si="4"/>
        <v>1</v>
      </c>
      <c r="AC24" s="1510">
        <f t="shared" si="5"/>
        <v>1</v>
      </c>
    </row>
    <row r="25" spans="1:29" s="1202"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577"/>
      <c r="Q25" s="1133">
        <f t="shared" si="11"/>
        <v>111</v>
      </c>
      <c r="R25" s="1502" t="s">
        <v>8</v>
      </c>
      <c r="S25" s="1503">
        <f>F25</f>
        <v>100</v>
      </c>
      <c r="T25" s="1502" t="s">
        <v>8</v>
      </c>
      <c r="U25" s="1503">
        <f>H25</f>
        <v>100</v>
      </c>
      <c r="V25" s="1502" t="s">
        <v>8</v>
      </c>
      <c r="W25" s="1503">
        <f>J25</f>
        <v>100</v>
      </c>
      <c r="X25" s="1504"/>
      <c r="Y25" s="3577"/>
      <c r="Z25" s="1132">
        <f>Q25</f>
        <v>111</v>
      </c>
      <c r="AA25" s="1510">
        <f>D25/F25</f>
        <v>1</v>
      </c>
      <c r="AB25" s="1510">
        <f>D25/H25</f>
        <v>1</v>
      </c>
      <c r="AC25" s="1510">
        <f>D25/J25</f>
        <v>1</v>
      </c>
    </row>
    <row r="26" spans="1:29" ht="15">
      <c r="A26" s="2624" t="s">
        <v>2730</v>
      </c>
      <c r="B26" s="168" t="s">
        <v>798</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78" t="s">
        <v>542</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579" t="s">
        <v>542</v>
      </c>
      <c r="Z26" s="1509" t="str">
        <f t="shared" ref="Z26:Z36" si="15">Q26</f>
        <v>配套类型</v>
      </c>
      <c r="AA26" s="1510">
        <f t="shared" si="3"/>
        <v>1</v>
      </c>
      <c r="AB26" s="1510">
        <f t="shared" si="4"/>
        <v>1</v>
      </c>
      <c r="AC26" s="1510">
        <f t="shared" si="5"/>
        <v>1</v>
      </c>
    </row>
    <row r="27" spans="1:29" s="1292" customFormat="1" ht="15">
      <c r="A27" s="918"/>
      <c r="B27" s="576" t="s">
        <v>799</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579"/>
      <c r="Q27" s="1535" t="str">
        <f t="shared" si="11"/>
        <v>项目停车位配比</v>
      </c>
      <c r="R27" s="1511" t="s">
        <v>8</v>
      </c>
      <c r="S27" s="1512">
        <f t="shared" si="12"/>
        <v>100</v>
      </c>
      <c r="T27" s="1511" t="s">
        <v>8</v>
      </c>
      <c r="U27" s="1512">
        <f t="shared" si="13"/>
        <v>100</v>
      </c>
      <c r="V27" s="1511" t="s">
        <v>8</v>
      </c>
      <c r="W27" s="1512">
        <f t="shared" si="14"/>
        <v>100</v>
      </c>
      <c r="X27" s="1513"/>
      <c r="Y27" s="3579"/>
      <c r="Z27" s="1514" t="str">
        <f t="shared" si="15"/>
        <v>项目停车位配比</v>
      </c>
      <c r="AA27" s="1510">
        <f t="shared" si="3"/>
        <v>1</v>
      </c>
      <c r="AB27" s="1510">
        <f t="shared" si="4"/>
        <v>1</v>
      </c>
      <c r="AC27" s="1510">
        <f t="shared" si="5"/>
        <v>1</v>
      </c>
    </row>
    <row r="28" spans="1:29" ht="15">
      <c r="A28" s="920"/>
      <c r="B28" s="576" t="s">
        <v>800</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79"/>
      <c r="Q28" s="1506" t="str">
        <f t="shared" si="11"/>
        <v>公共部分装修</v>
      </c>
      <c r="R28" s="1507" t="s">
        <v>8</v>
      </c>
      <c r="S28" s="1508">
        <f t="shared" si="12"/>
        <v>100</v>
      </c>
      <c r="T28" s="1507" t="s">
        <v>8</v>
      </c>
      <c r="U28" s="1508">
        <f t="shared" si="13"/>
        <v>100</v>
      </c>
      <c r="V28" s="1507" t="s">
        <v>8</v>
      </c>
      <c r="W28" s="1508">
        <f t="shared" si="14"/>
        <v>100</v>
      </c>
      <c r="X28" s="1501"/>
      <c r="Y28" s="3579"/>
      <c r="Z28" s="1509" t="str">
        <f t="shared" si="15"/>
        <v>公共部分装修</v>
      </c>
      <c r="AA28" s="1510">
        <f t="shared" si="3"/>
        <v>1</v>
      </c>
      <c r="AB28" s="1510">
        <f t="shared" si="4"/>
        <v>1</v>
      </c>
      <c r="AC28" s="1510">
        <f t="shared" si="5"/>
        <v>1</v>
      </c>
    </row>
    <row r="29" spans="1:29" ht="15">
      <c r="A29" s="920"/>
      <c r="B29" s="576" t="s">
        <v>801</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579"/>
      <c r="Q29" s="1506" t="str">
        <f t="shared" si="11"/>
        <v>成新率</v>
      </c>
      <c r="R29" s="1507" t="s">
        <v>8</v>
      </c>
      <c r="S29" s="1508" t="e">
        <f t="shared" si="12"/>
        <v>#N/A</v>
      </c>
      <c r="T29" s="1507" t="s">
        <v>8</v>
      </c>
      <c r="U29" s="1508" t="e">
        <f t="shared" si="13"/>
        <v>#N/A</v>
      </c>
      <c r="V29" s="1507" t="s">
        <v>8</v>
      </c>
      <c r="W29" s="1508" t="e">
        <f t="shared" si="14"/>
        <v>#N/A</v>
      </c>
      <c r="X29" s="1501"/>
      <c r="Y29" s="3579"/>
      <c r="Z29" s="1509" t="str">
        <f t="shared" si="15"/>
        <v>成新率</v>
      </c>
      <c r="AA29" s="1510" t="e">
        <f t="shared" si="3"/>
        <v>#N/A</v>
      </c>
      <c r="AB29" s="1510" t="e">
        <f t="shared" si="4"/>
        <v>#N/A</v>
      </c>
      <c r="AC29" s="1510" t="e">
        <f t="shared" si="5"/>
        <v>#N/A</v>
      </c>
    </row>
    <row r="30" spans="1:29" ht="15">
      <c r="A30" s="920"/>
      <c r="B30" s="576" t="s">
        <v>802</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579"/>
      <c r="Q30" s="1506" t="str">
        <f t="shared" si="11"/>
        <v>物业等级</v>
      </c>
      <c r="R30" s="1507" t="s">
        <v>8</v>
      </c>
      <c r="S30" s="1508">
        <f t="shared" si="12"/>
        <v>100</v>
      </c>
      <c r="T30" s="1507" t="s">
        <v>8</v>
      </c>
      <c r="U30" s="1508">
        <f t="shared" si="13"/>
        <v>100</v>
      </c>
      <c r="V30" s="1507" t="s">
        <v>8</v>
      </c>
      <c r="W30" s="1508">
        <f t="shared" si="14"/>
        <v>100</v>
      </c>
      <c r="X30" s="1501"/>
      <c r="Y30" s="3579"/>
      <c r="Z30" s="1509" t="str">
        <f t="shared" si="15"/>
        <v>物业等级</v>
      </c>
      <c r="AA30" s="1510">
        <f t="shared" si="3"/>
        <v>1</v>
      </c>
      <c r="AB30" s="1510">
        <f t="shared" si="4"/>
        <v>1</v>
      </c>
      <c r="AC30" s="1510">
        <f t="shared" si="5"/>
        <v>1</v>
      </c>
    </row>
    <row r="31" spans="1:29" s="1202" customFormat="1" ht="15">
      <c r="A31" s="922"/>
      <c r="B31" s="576" t="s">
        <v>803</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579"/>
      <c r="Q31" s="1133" t="str">
        <f t="shared" si="11"/>
        <v>停车位面积</v>
      </c>
      <c r="R31" s="1502" t="s">
        <v>8</v>
      </c>
      <c r="S31" s="1503" t="e">
        <f t="shared" si="12"/>
        <v>#N/A</v>
      </c>
      <c r="T31" s="1502" t="s">
        <v>8</v>
      </c>
      <c r="U31" s="1503" t="e">
        <f t="shared" si="13"/>
        <v>#N/A</v>
      </c>
      <c r="V31" s="1502" t="s">
        <v>8</v>
      </c>
      <c r="W31" s="1503" t="e">
        <f t="shared" si="14"/>
        <v>#N/A</v>
      </c>
      <c r="X31" s="1504"/>
      <c r="Y31" s="3579"/>
      <c r="Z31" s="1132" t="str">
        <f t="shared" si="15"/>
        <v>停车位面积</v>
      </c>
      <c r="AA31" s="1505" t="e">
        <f t="shared" si="3"/>
        <v>#N/A</v>
      </c>
      <c r="AB31" s="1505" t="e">
        <f t="shared" si="4"/>
        <v>#N/A</v>
      </c>
      <c r="AC31" s="1505" t="e">
        <f t="shared" si="5"/>
        <v>#N/A</v>
      </c>
    </row>
    <row r="32" spans="1:29" ht="15">
      <c r="A32" s="920"/>
      <c r="B32" s="576" t="s">
        <v>804</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79" t="s">
        <v>542</v>
      </c>
      <c r="Q32" s="1506" t="str">
        <f t="shared" si="11"/>
        <v>车位类型</v>
      </c>
      <c r="R32" s="1507" t="s">
        <v>8</v>
      </c>
      <c r="S32" s="1508">
        <f t="shared" si="12"/>
        <v>100</v>
      </c>
      <c r="T32" s="1507" t="s">
        <v>8</v>
      </c>
      <c r="U32" s="1508">
        <f t="shared" si="13"/>
        <v>100</v>
      </c>
      <c r="V32" s="1507" t="s">
        <v>8</v>
      </c>
      <c r="W32" s="1508">
        <f t="shared" si="14"/>
        <v>100</v>
      </c>
      <c r="X32" s="1501"/>
      <c r="Y32" s="3579" t="s">
        <v>542</v>
      </c>
      <c r="Z32" s="1509" t="str">
        <f t="shared" si="15"/>
        <v>车位类型</v>
      </c>
      <c r="AA32" s="1510">
        <f t="shared" si="3"/>
        <v>1</v>
      </c>
      <c r="AB32" s="1510">
        <f t="shared" si="4"/>
        <v>1</v>
      </c>
      <c r="AC32" s="1510">
        <f t="shared" si="5"/>
        <v>1</v>
      </c>
    </row>
    <row r="33" spans="1:29" ht="15">
      <c r="A33" s="920"/>
      <c r="B33" s="576" t="s">
        <v>805</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79"/>
      <c r="Q33" s="1506" t="str">
        <f t="shared" si="11"/>
        <v>是否直接入户</v>
      </c>
      <c r="R33" s="1507" t="s">
        <v>8</v>
      </c>
      <c r="S33" s="1508">
        <f t="shared" si="12"/>
        <v>100</v>
      </c>
      <c r="T33" s="1507" t="s">
        <v>8</v>
      </c>
      <c r="U33" s="1508">
        <f t="shared" si="13"/>
        <v>100</v>
      </c>
      <c r="V33" s="1507" t="s">
        <v>8</v>
      </c>
      <c r="W33" s="1508">
        <f t="shared" si="14"/>
        <v>100</v>
      </c>
      <c r="X33" s="1501"/>
      <c r="Y33" s="3579"/>
      <c r="Z33" s="1509" t="str">
        <f t="shared" si="15"/>
        <v>是否直接入户</v>
      </c>
      <c r="AA33" s="1510">
        <f t="shared" si="3"/>
        <v>1</v>
      </c>
      <c r="AB33" s="1510">
        <f t="shared" si="4"/>
        <v>1</v>
      </c>
      <c r="AC33" s="1510">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79"/>
      <c r="Q34" s="1506">
        <f t="shared" si="11"/>
        <v>111</v>
      </c>
      <c r="R34" s="1507" t="s">
        <v>8</v>
      </c>
      <c r="S34" s="1508">
        <f t="shared" si="12"/>
        <v>100</v>
      </c>
      <c r="T34" s="1507" t="s">
        <v>8</v>
      </c>
      <c r="U34" s="1508">
        <f t="shared" si="13"/>
        <v>100</v>
      </c>
      <c r="V34" s="1507" t="s">
        <v>8</v>
      </c>
      <c r="W34" s="1508">
        <f t="shared" si="14"/>
        <v>100</v>
      </c>
      <c r="X34" s="1501"/>
      <c r="Y34" s="3579"/>
      <c r="Z34" s="1509">
        <f t="shared" si="15"/>
        <v>111</v>
      </c>
      <c r="AA34" s="1510">
        <f t="shared" si="3"/>
        <v>1</v>
      </c>
      <c r="AB34" s="1510">
        <f t="shared" si="4"/>
        <v>1</v>
      </c>
      <c r="AC34" s="1510">
        <f t="shared" si="5"/>
        <v>1</v>
      </c>
    </row>
    <row r="35" spans="1:29" s="1292"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79"/>
      <c r="Q35" s="1535">
        <f t="shared" si="11"/>
        <v>111</v>
      </c>
      <c r="R35" s="1511" t="s">
        <v>8</v>
      </c>
      <c r="S35" s="1512">
        <f t="shared" si="12"/>
        <v>100</v>
      </c>
      <c r="T35" s="1511" t="s">
        <v>8</v>
      </c>
      <c r="U35" s="1512">
        <f t="shared" si="13"/>
        <v>100</v>
      </c>
      <c r="V35" s="1511" t="s">
        <v>8</v>
      </c>
      <c r="W35" s="1512">
        <f t="shared" si="14"/>
        <v>100</v>
      </c>
      <c r="X35" s="1513"/>
      <c r="Y35" s="3579"/>
      <c r="Z35" s="1514">
        <f t="shared" si="15"/>
        <v>111</v>
      </c>
      <c r="AA35" s="1510">
        <f t="shared" si="3"/>
        <v>1</v>
      </c>
      <c r="AB35" s="1510">
        <f t="shared" si="4"/>
        <v>1</v>
      </c>
      <c r="AC35" s="1510">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79"/>
      <c r="Q36" s="1506">
        <f t="shared" si="11"/>
        <v>111</v>
      </c>
      <c r="R36" s="1507" t="s">
        <v>8</v>
      </c>
      <c r="S36" s="1508">
        <f t="shared" si="12"/>
        <v>100</v>
      </c>
      <c r="T36" s="1507" t="s">
        <v>8</v>
      </c>
      <c r="U36" s="1508">
        <f t="shared" si="13"/>
        <v>100</v>
      </c>
      <c r="V36" s="1507" t="s">
        <v>8</v>
      </c>
      <c r="W36" s="1508">
        <f t="shared" si="14"/>
        <v>100</v>
      </c>
      <c r="X36" s="1501"/>
      <c r="Y36" s="3579"/>
      <c r="Z36" s="1509">
        <f t="shared" si="15"/>
        <v>111</v>
      </c>
      <c r="AA36" s="1510">
        <f t="shared" si="3"/>
        <v>1</v>
      </c>
      <c r="AB36" s="1510">
        <f t="shared" si="4"/>
        <v>1</v>
      </c>
      <c r="AC36" s="1510">
        <f t="shared" si="5"/>
        <v>1</v>
      </c>
    </row>
    <row r="37" spans="1:29" ht="15">
      <c r="A37" s="1760" t="s">
        <v>2061</v>
      </c>
      <c r="B37" s="1761" t="s">
        <v>2062</v>
      </c>
      <c r="C37" s="2470" t="s">
        <v>1</v>
      </c>
      <c r="D37" s="2471"/>
      <c r="E37" s="2472"/>
      <c r="F37" s="2473"/>
      <c r="G37" s="2474"/>
      <c r="H37" s="2475"/>
      <c r="I37" s="2472"/>
      <c r="J37" s="2475"/>
      <c r="K37" s="1540"/>
      <c r="L37" s="2026"/>
      <c r="M37" s="2027"/>
      <c r="N37" s="2016"/>
      <c r="O37" s="2027"/>
      <c r="P37" s="3574" t="str">
        <f>A37</f>
        <v>成交单价</v>
      </c>
      <c r="Q37" s="3574"/>
      <c r="R37" s="3679">
        <f>E37</f>
        <v>0</v>
      </c>
      <c r="S37" s="3679"/>
      <c r="T37" s="3679">
        <f>G37</f>
        <v>0</v>
      </c>
      <c r="U37" s="3679"/>
      <c r="V37" s="3679">
        <f>I37</f>
        <v>0</v>
      </c>
      <c r="W37" s="3679"/>
      <c r="X37" s="1496"/>
      <c r="Y37" s="1515"/>
      <c r="Z37" s="1496"/>
      <c r="AA37" s="1496"/>
      <c r="AB37" s="1496"/>
      <c r="AC37" s="1496"/>
    </row>
    <row r="38" spans="1:29" ht="15.75" thickBot="1">
      <c r="A38" s="609" t="s">
        <v>2735</v>
      </c>
      <c r="B38" s="877"/>
      <c r="C38" s="2476" t="e">
        <f>R39</f>
        <v>#DIV/0!</v>
      </c>
      <c r="D38" s="3013" t="s">
        <v>2960</v>
      </c>
      <c r="E38" s="2477" t="e">
        <f>R38</f>
        <v>#DIV/0!</v>
      </c>
      <c r="F38" s="3014"/>
      <c r="G38" s="2476" t="e">
        <f>T38</f>
        <v>#DIV/0!</v>
      </c>
      <c r="H38" s="3014"/>
      <c r="I38" s="2477" t="e">
        <f>V38</f>
        <v>#DIV/0!</v>
      </c>
      <c r="J38" s="3014"/>
      <c r="K38" s="3022">
        <f>F38+H38+J38</f>
        <v>0</v>
      </c>
      <c r="L38" s="2026"/>
      <c r="M38" s="2027"/>
      <c r="N38" s="2027"/>
      <c r="O38" s="2027"/>
      <c r="P38" s="3574" t="str">
        <f>A38</f>
        <v>比较价格（元/平方米）</v>
      </c>
      <c r="Q38" s="3574"/>
      <c r="R38" s="3679" t="e">
        <f>IF(F1="售价",ROUND(PRODUCT(R37,AA7:AA36),0),ROUND(PRODUCT(R37,AA7:AA36),1))</f>
        <v>#DIV/0!</v>
      </c>
      <c r="S38" s="3679"/>
      <c r="T38" s="3679" t="e">
        <f>IF(F1="售价",ROUND(PRODUCT(T37,AB7:AB36),0),ROUND(PRODUCT(T37,AB7:AB36),1))</f>
        <v>#DIV/0!</v>
      </c>
      <c r="U38" s="3679"/>
      <c r="V38" s="3679" t="e">
        <f>IF(F1="售价",ROUND(PRODUCT(V37,AC7:AC36),0),ROUND(PRODUCT(V37,AC7:AC36),1))</f>
        <v>#DIV/0!</v>
      </c>
      <c r="W38" s="3679"/>
      <c r="X38" s="1496"/>
      <c r="Y38" s="1496"/>
      <c r="Z38" s="1496"/>
      <c r="AA38" s="1496"/>
      <c r="AB38" s="1496"/>
      <c r="AC38" s="1496"/>
    </row>
    <row r="39" spans="1:29" ht="15.75" thickBot="1">
      <c r="A39" s="613" t="s">
        <v>2893</v>
      </c>
      <c r="B39" s="614"/>
      <c r="C39" s="2478" t="e">
        <f>R39</f>
        <v>#DIV/0!</v>
      </c>
      <c r="D39" s="2478"/>
      <c r="E39" s="2478"/>
      <c r="F39" s="2478"/>
      <c r="G39" s="2478"/>
      <c r="H39" s="2478"/>
      <c r="I39" s="2478"/>
      <c r="J39" s="2478"/>
      <c r="K39" s="1541"/>
      <c r="L39" s="2026"/>
      <c r="M39" s="2027"/>
      <c r="N39" s="2027"/>
      <c r="O39" s="2027"/>
      <c r="P39" s="3595" t="str">
        <f>A39</f>
        <v>估价对象XX用房的比较价格（楼面单价，元/平方米）</v>
      </c>
      <c r="Q39" s="3596"/>
      <c r="R39" s="3678" t="e">
        <f>IF(F1="售价",ROUND(IF(D38="简单平均",AVERAGE(R38:W38),R38*F38+T38*H38+V38*J38),0),ROUND(IF(D38="简单平均",AVERAGE(R38:V38),R38*F38+T38*H38+V38*J38),1))</f>
        <v>#DIV/0!</v>
      </c>
      <c r="S39" s="3678"/>
      <c r="T39" s="3678"/>
      <c r="U39" s="3678"/>
      <c r="V39" s="3678"/>
      <c r="W39" s="3678"/>
      <c r="X39" s="1496"/>
      <c r="Y39" s="1496"/>
      <c r="Z39" s="1496"/>
      <c r="AA39" s="1496"/>
      <c r="AB39" s="1496"/>
      <c r="AC39" s="1496"/>
    </row>
    <row r="40" spans="1:29">
      <c r="A40" s="3210"/>
      <c r="B40" s="3210"/>
      <c r="C40" s="3210"/>
      <c r="D40" s="3210"/>
      <c r="E40" s="3210"/>
      <c r="F40" s="3210"/>
      <c r="G40" s="3212"/>
      <c r="H40" s="3210"/>
      <c r="I40" s="3210"/>
      <c r="J40" s="3210"/>
      <c r="K40" s="3213"/>
      <c r="L40" s="2031"/>
      <c r="M40" s="2027"/>
      <c r="N40" s="2027"/>
      <c r="O40" s="2027"/>
      <c r="P40" s="2027"/>
      <c r="Q40" s="2027"/>
      <c r="R40" s="2027"/>
      <c r="S40" s="2027"/>
      <c r="T40" s="2027"/>
      <c r="U40" s="2027"/>
      <c r="V40" s="2027"/>
      <c r="W40" s="2027"/>
      <c r="X40" s="2027"/>
      <c r="Y40" s="2027"/>
      <c r="Z40" s="2027"/>
      <c r="AA40" s="2027"/>
      <c r="AB40" s="2027"/>
      <c r="AC40" s="2027"/>
    </row>
    <row r="41" spans="1:29">
      <c r="A41" s="3210"/>
      <c r="B41" s="3210"/>
      <c r="C41" s="3210"/>
      <c r="D41" s="3210"/>
      <c r="E41" s="3210"/>
      <c r="F41" s="3210"/>
      <c r="G41" s="3210"/>
      <c r="H41" s="3210"/>
      <c r="I41" s="3210"/>
      <c r="J41" s="3210"/>
      <c r="K41" s="3213"/>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0"/>
      <c r="B42" s="3210"/>
      <c r="C42" s="616" t="s">
        <v>549</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3"/>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0"/>
      <c r="B43" s="3210"/>
      <c r="C43" s="616" t="s">
        <v>550</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3"/>
      <c r="L43" s="2031"/>
      <c r="M43" s="2027"/>
      <c r="N43" s="2027"/>
      <c r="O43" s="2027"/>
      <c r="P43" s="2027"/>
      <c r="Q43" s="2027"/>
      <c r="R43" s="2027"/>
      <c r="S43" s="2027"/>
      <c r="T43" s="2027"/>
      <c r="U43" s="2027"/>
      <c r="V43" s="2027"/>
      <c r="W43" s="2027"/>
      <c r="X43" s="2027"/>
      <c r="Y43" s="2027"/>
      <c r="Z43" s="2027"/>
      <c r="AA43" s="2027"/>
      <c r="AB43" s="2027"/>
      <c r="AC43" s="2027"/>
    </row>
    <row r="44" spans="1:29" s="1297" customFormat="1" ht="13.5" customHeight="1">
      <c r="A44" s="3211"/>
      <c r="B44" s="3211"/>
      <c r="C44" s="616" t="s">
        <v>551</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4"/>
      <c r="L44" s="2034"/>
      <c r="M44" s="2028"/>
      <c r="N44" s="2028"/>
      <c r="O44" s="2028"/>
      <c r="P44" s="2028"/>
      <c r="Q44" s="2028"/>
      <c r="R44" s="2028"/>
      <c r="S44" s="2028"/>
      <c r="T44" s="2028"/>
      <c r="U44" s="2028"/>
      <c r="V44" s="2028"/>
      <c r="W44" s="2028"/>
      <c r="X44" s="2028"/>
      <c r="Y44" s="2028"/>
      <c r="Z44" s="2028"/>
      <c r="AA44" s="2028"/>
      <c r="AB44" s="2028"/>
      <c r="AC44" s="2028"/>
    </row>
    <row r="45" spans="1:29" s="1297"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566</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299" customFormat="1" ht="15">
      <c r="A48" s="637" t="s">
        <v>521</v>
      </c>
      <c r="B48" s="638"/>
      <c r="C48" s="2519" t="str">
        <f>YEAR(C7)&amp;"-"&amp;MONTH(C7)</f>
        <v>2021-9</v>
      </c>
      <c r="D48" s="2521">
        <f>EDATE(C48,-1)</f>
        <v>44409</v>
      </c>
      <c r="E48" s="2521">
        <f t="shared" ref="E48:O48" si="16">EDATE(D48,-1)</f>
        <v>44378</v>
      </c>
      <c r="F48" s="2521">
        <f t="shared" si="16"/>
        <v>44348</v>
      </c>
      <c r="G48" s="2521">
        <f t="shared" si="16"/>
        <v>44317</v>
      </c>
      <c r="H48" s="2521">
        <f t="shared" si="16"/>
        <v>44287</v>
      </c>
      <c r="I48" s="2521">
        <f t="shared" si="16"/>
        <v>44256</v>
      </c>
      <c r="J48" s="2521">
        <f t="shared" si="16"/>
        <v>44228</v>
      </c>
      <c r="K48" s="2521">
        <f t="shared" si="16"/>
        <v>44197</v>
      </c>
      <c r="L48" s="2521">
        <f t="shared" si="16"/>
        <v>44166</v>
      </c>
      <c r="M48" s="2521">
        <f t="shared" si="16"/>
        <v>44136</v>
      </c>
      <c r="N48" s="2521">
        <f t="shared" si="16"/>
        <v>44105</v>
      </c>
      <c r="O48" s="2521">
        <f t="shared" si="16"/>
        <v>44075</v>
      </c>
      <c r="P48" s="2041"/>
      <c r="Q48" s="2042"/>
      <c r="R48" s="2042"/>
      <c r="S48" s="2042"/>
      <c r="T48" s="2042"/>
      <c r="U48" s="2042"/>
      <c r="V48" s="2042"/>
      <c r="W48" s="2042"/>
      <c r="X48" s="2042"/>
      <c r="Y48" s="2042"/>
      <c r="Z48" s="2042"/>
      <c r="AA48" s="2042"/>
      <c r="AB48" s="2042"/>
      <c r="AC48" s="2042"/>
    </row>
    <row r="49" spans="1:29" s="1202"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2" customFormat="1" ht="15.75" thickBot="1">
      <c r="A50" s="645" t="s">
        <v>567</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2" customFormat="1" ht="15">
      <c r="A51" s="651" t="s">
        <v>523</v>
      </c>
      <c r="B51" s="640"/>
      <c r="C51" s="652" t="s">
        <v>568</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2"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569</v>
      </c>
      <c r="B53" s="657" t="s">
        <v>526</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529</v>
      </c>
      <c r="C55" s="666" t="s">
        <v>729</v>
      </c>
      <c r="D55" s="666" t="s">
        <v>730</v>
      </c>
      <c r="E55" s="666" t="s">
        <v>731</v>
      </c>
      <c r="F55" s="666" t="s">
        <v>732</v>
      </c>
      <c r="G55" s="666" t="s">
        <v>733</v>
      </c>
      <c r="H55" s="666" t="s">
        <v>734</v>
      </c>
      <c r="I55" s="666" t="s">
        <v>735</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2"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2"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2"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2"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531</v>
      </c>
      <c r="B63" s="657" t="s">
        <v>578</v>
      </c>
      <c r="C63" s="695" t="s">
        <v>571</v>
      </c>
      <c r="D63" s="695" t="s">
        <v>572</v>
      </c>
      <c r="E63" s="695" t="s">
        <v>573</v>
      </c>
      <c r="F63" s="695" t="s">
        <v>574</v>
      </c>
      <c r="G63" s="695" t="s">
        <v>575</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2533</v>
      </c>
      <c r="C65" s="700" t="s">
        <v>571</v>
      </c>
      <c r="D65" s="700" t="s">
        <v>572</v>
      </c>
      <c r="E65" s="700" t="s">
        <v>573</v>
      </c>
      <c r="F65" s="700" t="s">
        <v>574</v>
      </c>
      <c r="G65" s="700" t="s">
        <v>575</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2534</v>
      </c>
      <c r="C67" s="2442" t="s">
        <v>2535</v>
      </c>
      <c r="D67" s="2442" t="s">
        <v>2536</v>
      </c>
      <c r="E67" s="2442" t="s">
        <v>2537</v>
      </c>
      <c r="F67" s="2442" t="s">
        <v>2538</v>
      </c>
      <c r="G67" s="2442" t="s">
        <v>2539</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736</v>
      </c>
      <c r="C69" s="700" t="s">
        <v>571</v>
      </c>
      <c r="D69" s="700" t="s">
        <v>572</v>
      </c>
      <c r="E69" s="700" t="s">
        <v>573</v>
      </c>
      <c r="F69" s="700" t="s">
        <v>574</v>
      </c>
      <c r="G69" s="700" t="s">
        <v>575</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737</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2"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2"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2"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2"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2"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543</v>
      </c>
      <c r="B79" s="657" t="s">
        <v>806</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807</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2"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743</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808</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809</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2" customFormat="1" ht="15" thickTop="1">
      <c r="A90" s="720"/>
      <c r="B90" s="665" t="s">
        <v>810</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2"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811</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812</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2"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2"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xr:uid="{00000000-0002-0000-2900-000000000000}">
      <formula1>土地年限区间</formula1>
    </dataValidation>
    <dataValidation type="list" allowBlank="1" showInputMessage="1" showErrorMessage="1" sqref="D1" xr:uid="{00000000-0002-0000-2900-000001000000}">
      <formula1>项目类型</formula1>
    </dataValidation>
    <dataValidation type="list" allowBlank="1" showInputMessage="1" showErrorMessage="1" sqref="G17 C17 I17 E17" xr:uid="{00000000-0002-0000-2900-000002000000}">
      <formula1>公共配套设施</formula1>
    </dataValidation>
    <dataValidation type="list" allowBlank="1" showInputMessage="1" showErrorMessage="1" sqref="G15 E15 C15 I15" xr:uid="{00000000-0002-0000-2900-000003000000}">
      <formula1>交通便捷度</formula1>
    </dataValidation>
    <dataValidation type="list" allowBlank="1" showInputMessage="1" showErrorMessage="1" sqref="C8 E8 G8 I8" xr:uid="{00000000-0002-0000-2900-000004000000}">
      <formula1>车位交易情况</formula1>
    </dataValidation>
    <dataValidation type="list" allowBlank="1" showInputMessage="1" showErrorMessage="1" sqref="E9 G9 I9" xr:uid="{00000000-0002-0000-2900-000005000000}">
      <formula1>车位用途</formula1>
    </dataValidation>
    <dataValidation type="list" allowBlank="1" showInputMessage="1" showErrorMessage="1" sqref="C22 E22 G22 I22" xr:uid="{00000000-0002-0000-2900-000006000000}">
      <formula1>车位楼层</formula1>
    </dataValidation>
    <dataValidation type="list" allowBlank="1" showInputMessage="1" showErrorMessage="1" sqref="C30 E30 G30 I30" xr:uid="{00000000-0002-0000-2900-000007000000}">
      <formula1>车位物业等级</formula1>
    </dataValidation>
    <dataValidation type="list" allowBlank="1" showInputMessage="1" showErrorMessage="1" sqref="C32 E32 G32 I32" xr:uid="{00000000-0002-0000-2900-000008000000}">
      <formula1>车位类型</formula1>
    </dataValidation>
    <dataValidation type="list" allowBlank="1" showInputMessage="1" showErrorMessage="1" sqref="C33 E33 G33 I33" xr:uid="{00000000-0002-0000-2900-000009000000}">
      <formula1>是否直接入户</formula1>
    </dataValidation>
    <dataValidation type="list" allowBlank="1" showInputMessage="1" showErrorMessage="1" sqref="B1" xr:uid="{00000000-0002-0000-2900-00000A000000}">
      <formula1>地类判定</formula1>
    </dataValidation>
    <dataValidation type="list" allowBlank="1" showInputMessage="1" showErrorMessage="1" sqref="I26 E26 G26" xr:uid="{00000000-0002-0000-2900-00000B000000}">
      <formula1>车位配套类型</formula1>
    </dataValidation>
    <dataValidation type="list" allowBlank="1" showInputMessage="1" showErrorMessage="1" sqref="C28 E28 G28 I28" xr:uid="{00000000-0002-0000-2900-00000C000000}">
      <formula1>车位公共部分装修</formula1>
    </dataValidation>
    <dataValidation type="list" allowBlank="1" showInputMessage="1" showErrorMessage="1" sqref="B37" xr:uid="{00000000-0002-0000-2900-00000D000000}">
      <formula1>"元/平方米,元/车位"</formula1>
    </dataValidation>
    <dataValidation type="list" allowBlank="1" showInputMessage="1" showErrorMessage="1" sqref="C21 E21 G21 I21" xr:uid="{00000000-0002-0000-2900-00000E000000}">
      <formula1>环境</formula1>
    </dataValidation>
    <dataValidation type="list" allowBlank="1" showInputMessage="1" showErrorMessage="1" sqref="C19 E19 G19 I19" xr:uid="{00000000-0002-0000-2900-00000F000000}">
      <formula1>基础设施水平</formula1>
    </dataValidation>
    <dataValidation type="list" allowBlank="1" showInputMessage="1" showErrorMessage="1" sqref="F1" xr:uid="{00000000-0002-0000-2900-000010000000}">
      <formula1>"售价,租金"</formula1>
    </dataValidation>
    <dataValidation type="list" allowBlank="1" showInputMessage="1" showErrorMessage="1" sqref="D38" xr:uid="{00000000-0002-0000-29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710</v>
      </c>
      <c r="B1" s="912"/>
      <c r="C1" s="498" t="s">
        <v>784</v>
      </c>
      <c r="D1" s="838"/>
      <c r="E1" s="500"/>
      <c r="F1" s="2524"/>
      <c r="G1" s="1531" t="s">
        <v>785</v>
      </c>
      <c r="H1" s="500"/>
      <c r="I1" s="500"/>
      <c r="J1" s="500"/>
      <c r="K1" s="501"/>
      <c r="L1" s="3206"/>
      <c r="M1" s="3207"/>
      <c r="N1" s="3207"/>
      <c r="O1" s="3207"/>
      <c r="P1" s="2014"/>
      <c r="Q1" s="2014"/>
      <c r="R1" s="2014"/>
      <c r="S1" s="2014"/>
      <c r="T1" s="2014"/>
      <c r="U1" s="2014"/>
      <c r="V1" s="2014"/>
      <c r="W1" s="2014"/>
      <c r="X1" s="2014"/>
      <c r="Y1" s="2014"/>
      <c r="Z1" s="2014"/>
      <c r="AA1" s="2014"/>
      <c r="AB1" s="2014"/>
      <c r="AC1" s="3208"/>
    </row>
    <row r="2" spans="1:29" s="1289" customFormat="1" ht="28.5" customHeight="1">
      <c r="A2" s="417" t="s">
        <v>786</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08"/>
    </row>
    <row r="3" spans="1:29" s="1289" customFormat="1" ht="28.5" customHeight="1" thickBot="1">
      <c r="A3" s="503" t="s">
        <v>787</v>
      </c>
      <c r="B3" s="504" t="e">
        <f>C37</f>
        <v>#DIV/0!</v>
      </c>
      <c r="C3" s="841" t="s">
        <v>788</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09"/>
      <c r="AC3" s="1944"/>
    </row>
    <row r="4" spans="1:29" ht="15">
      <c r="A4" s="506" t="s">
        <v>789</v>
      </c>
      <c r="B4" s="507"/>
      <c r="C4" s="3580" t="s">
        <v>790</v>
      </c>
      <c r="D4" s="3581"/>
      <c r="E4" s="3605" t="s">
        <v>791</v>
      </c>
      <c r="F4" s="3606"/>
      <c r="G4" s="3580" t="s">
        <v>792</v>
      </c>
      <c r="H4" s="3581"/>
      <c r="I4" s="3580" t="s">
        <v>793</v>
      </c>
      <c r="J4" s="3581"/>
      <c r="K4" s="508" t="s">
        <v>794</v>
      </c>
      <c r="L4" s="2015"/>
      <c r="M4" s="2016"/>
      <c r="N4" s="2016"/>
      <c r="O4" s="2016"/>
      <c r="P4" s="3582" t="s">
        <v>795</v>
      </c>
      <c r="Q4" s="3583"/>
      <c r="R4" s="3568" t="s">
        <v>791</v>
      </c>
      <c r="S4" s="3569"/>
      <c r="T4" s="3568" t="s">
        <v>792</v>
      </c>
      <c r="U4" s="3569"/>
      <c r="V4" s="3588" t="s">
        <v>793</v>
      </c>
      <c r="W4" s="3588"/>
      <c r="X4" s="1501"/>
      <c r="Y4" s="3568" t="s">
        <v>795</v>
      </c>
      <c r="Z4" s="3569"/>
      <c r="AA4" s="3563" t="s">
        <v>791</v>
      </c>
      <c r="AB4" s="3564" t="s">
        <v>792</v>
      </c>
      <c r="AC4" s="3563" t="s">
        <v>793</v>
      </c>
    </row>
    <row r="5" spans="1:29" ht="15">
      <c r="A5" s="509"/>
      <c r="B5" s="510"/>
      <c r="C5" s="3591" t="s">
        <v>2887</v>
      </c>
      <c r="D5" s="3592"/>
      <c r="E5" s="3607" t="s">
        <v>2888</v>
      </c>
      <c r="F5" s="3608"/>
      <c r="G5" s="3591" t="s">
        <v>2889</v>
      </c>
      <c r="H5" s="3592"/>
      <c r="I5" s="3591" t="s">
        <v>2890</v>
      </c>
      <c r="J5" s="3592"/>
      <c r="K5" s="508"/>
      <c r="L5" s="2015"/>
      <c r="M5" s="2016"/>
      <c r="N5" s="2016"/>
      <c r="O5" s="2016"/>
      <c r="P5" s="3584"/>
      <c r="Q5" s="3585"/>
      <c r="R5" s="3570"/>
      <c r="S5" s="3571"/>
      <c r="T5" s="3570"/>
      <c r="U5" s="3571"/>
      <c r="V5" s="3588"/>
      <c r="W5" s="3588"/>
      <c r="X5" s="1501"/>
      <c r="Y5" s="3570"/>
      <c r="Z5" s="3571"/>
      <c r="AA5" s="3564"/>
      <c r="AB5" s="3564"/>
      <c r="AC5" s="3564"/>
    </row>
    <row r="6" spans="1:29" ht="15.75" thickBot="1">
      <c r="A6" s="511"/>
      <c r="B6" s="512"/>
      <c r="C6" s="3589" t="s">
        <v>2891</v>
      </c>
      <c r="D6" s="3590"/>
      <c r="E6" s="3609" t="s">
        <v>2891</v>
      </c>
      <c r="F6" s="3610"/>
      <c r="G6" s="3589" t="s">
        <v>2891</v>
      </c>
      <c r="H6" s="3590"/>
      <c r="I6" s="3589" t="s">
        <v>2891</v>
      </c>
      <c r="J6" s="3590"/>
      <c r="K6" s="508" t="s">
        <v>520</v>
      </c>
      <c r="L6" s="2015"/>
      <c r="M6" s="2016"/>
      <c r="N6" s="2016"/>
      <c r="O6" s="2016"/>
      <c r="P6" s="3586"/>
      <c r="Q6" s="3587"/>
      <c r="R6" s="3570"/>
      <c r="S6" s="3571"/>
      <c r="T6" s="3572"/>
      <c r="U6" s="3573"/>
      <c r="V6" s="3588"/>
      <c r="W6" s="3588"/>
      <c r="X6" s="1501"/>
      <c r="Y6" s="3572"/>
      <c r="Z6" s="3573"/>
      <c r="AA6" s="3565"/>
      <c r="AB6" s="3565"/>
      <c r="AC6" s="3565"/>
    </row>
    <row r="7" spans="1:29" s="1202" customFormat="1" ht="15.75" thickBot="1">
      <c r="A7" s="2629"/>
      <c r="B7" s="2636" t="s">
        <v>521</v>
      </c>
      <c r="C7" s="513">
        <f>'数据-取费表'!B2</f>
        <v>44463</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66" t="s">
        <v>522</v>
      </c>
      <c r="Q7" s="3575"/>
      <c r="R7" s="1502" t="s">
        <v>8</v>
      </c>
      <c r="S7" s="1503">
        <f t="shared" ref="S7:S14" si="0">F7</f>
        <v>0</v>
      </c>
      <c r="T7" s="1502" t="s">
        <v>8</v>
      </c>
      <c r="U7" s="1503">
        <f t="shared" ref="U7:U14" si="1">H7</f>
        <v>0</v>
      </c>
      <c r="V7" s="1502" t="s">
        <v>8</v>
      </c>
      <c r="W7" s="1503">
        <f t="shared" ref="W7:W14" si="2">J7</f>
        <v>0</v>
      </c>
      <c r="X7" s="1504"/>
      <c r="Y7" s="3566" t="s">
        <v>522</v>
      </c>
      <c r="Z7" s="3567"/>
      <c r="AA7" s="1505" t="e">
        <f>D7/F7</f>
        <v>#DIV/0!</v>
      </c>
      <c r="AB7" s="1505" t="e">
        <f>D7/H7</f>
        <v>#DIV/0!</v>
      </c>
      <c r="AC7" s="1505" t="e">
        <f>D7/J7</f>
        <v>#DIV/0!</v>
      </c>
    </row>
    <row r="8" spans="1:29" s="1202" customFormat="1" ht="15.75" thickBot="1">
      <c r="A8" s="2630"/>
      <c r="B8" s="2637" t="s">
        <v>523</v>
      </c>
      <c r="C8" s="519" t="s">
        <v>568</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66" t="s">
        <v>525</v>
      </c>
      <c r="Q8" s="3567"/>
      <c r="R8" s="1502" t="s">
        <v>8</v>
      </c>
      <c r="S8" s="1503">
        <f t="shared" si="0"/>
        <v>0</v>
      </c>
      <c r="T8" s="1502" t="s">
        <v>8</v>
      </c>
      <c r="U8" s="1503">
        <f t="shared" si="1"/>
        <v>0</v>
      </c>
      <c r="V8" s="1502" t="s">
        <v>8</v>
      </c>
      <c r="W8" s="1503">
        <f t="shared" si="2"/>
        <v>0</v>
      </c>
      <c r="X8" s="1504"/>
      <c r="Y8" s="3566" t="s">
        <v>525</v>
      </c>
      <c r="Z8" s="3567"/>
      <c r="AA8" s="1505" t="e">
        <f t="shared" ref="AA8:AA34" si="3">D8/F8</f>
        <v>#DIV/0!</v>
      </c>
      <c r="AB8" s="1505" t="e">
        <f t="shared" ref="AB8:AB34" si="4">D8/H8</f>
        <v>#DIV/0!</v>
      </c>
      <c r="AC8" s="1505" t="e">
        <f t="shared" ref="AC8:AC34" si="5">D8/J8</f>
        <v>#DIV/0!</v>
      </c>
    </row>
    <row r="9" spans="1:29" s="1202" customFormat="1" ht="15">
      <c r="A9" s="2631"/>
      <c r="B9" s="2638" t="s">
        <v>2731</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574" t="s">
        <v>527</v>
      </c>
      <c r="Q9" s="1133" t="str">
        <f t="shared" ref="Q9:Q14" si="6">B9</f>
        <v>用途</v>
      </c>
      <c r="R9" s="1502" t="s">
        <v>8</v>
      </c>
      <c r="S9" s="1503">
        <f t="shared" si="0"/>
        <v>100</v>
      </c>
      <c r="T9" s="1502" t="s">
        <v>8</v>
      </c>
      <c r="U9" s="1503">
        <f t="shared" si="1"/>
        <v>100</v>
      </c>
      <c r="V9" s="1502" t="s">
        <v>8</v>
      </c>
      <c r="W9" s="1503">
        <f t="shared" si="2"/>
        <v>100</v>
      </c>
      <c r="X9" s="1504"/>
      <c r="Y9" s="3525" t="s">
        <v>528</v>
      </c>
      <c r="Z9" s="1132" t="str">
        <f t="shared" ref="Z9:Z14" si="7">Q9</f>
        <v>用途</v>
      </c>
      <c r="AA9" s="1505">
        <f t="shared" si="3"/>
        <v>1</v>
      </c>
      <c r="AB9" s="1505">
        <f t="shared" si="4"/>
        <v>1</v>
      </c>
      <c r="AC9" s="1505">
        <f t="shared" si="5"/>
        <v>1</v>
      </c>
    </row>
    <row r="10" spans="1:29" s="1291" customFormat="1" ht="27">
      <c r="A10" s="2632"/>
      <c r="B10" s="2637" t="s">
        <v>2732</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574"/>
      <c r="Q10" s="1133" t="str">
        <f t="shared" si="6"/>
        <v>土地使用年限（年）</v>
      </c>
      <c r="R10" s="1502" t="s">
        <v>8</v>
      </c>
      <c r="S10" s="1503">
        <f t="shared" si="0"/>
        <v>100</v>
      </c>
      <c r="T10" s="1502" t="s">
        <v>8</v>
      </c>
      <c r="U10" s="1503">
        <f t="shared" si="1"/>
        <v>100</v>
      </c>
      <c r="V10" s="1502" t="s">
        <v>8</v>
      </c>
      <c r="W10" s="1503">
        <f t="shared" si="2"/>
        <v>100</v>
      </c>
      <c r="X10" s="1504"/>
      <c r="Y10" s="3525"/>
      <c r="Z10" s="1132" t="str">
        <f t="shared" si="7"/>
        <v>土地使用年限（年）</v>
      </c>
      <c r="AA10" s="1505">
        <f t="shared" si="3"/>
        <v>1</v>
      </c>
      <c r="AB10" s="1505">
        <f t="shared" si="4"/>
        <v>1</v>
      </c>
      <c r="AC10" s="1505">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574"/>
      <c r="Q11" s="1133">
        <f t="shared" si="6"/>
        <v>111</v>
      </c>
      <c r="R11" s="1502" t="s">
        <v>8</v>
      </c>
      <c r="S11" s="1503">
        <f t="shared" si="0"/>
        <v>100</v>
      </c>
      <c r="T11" s="1502" t="s">
        <v>8</v>
      </c>
      <c r="U11" s="1503">
        <f t="shared" si="1"/>
        <v>100</v>
      </c>
      <c r="V11" s="1502" t="s">
        <v>8</v>
      </c>
      <c r="W11" s="1503">
        <f t="shared" si="2"/>
        <v>100</v>
      </c>
      <c r="X11" s="1504"/>
      <c r="Y11" s="3525"/>
      <c r="Z11" s="1132">
        <f t="shared" si="7"/>
        <v>111</v>
      </c>
      <c r="AA11" s="1505">
        <f t="shared" si="3"/>
        <v>1</v>
      </c>
      <c r="AB11" s="1505">
        <f t="shared" si="4"/>
        <v>1</v>
      </c>
      <c r="AC11" s="1505">
        <f t="shared" si="5"/>
        <v>1</v>
      </c>
    </row>
    <row r="12" spans="1:29" s="1202"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574"/>
      <c r="Q12" s="1133">
        <f t="shared" si="6"/>
        <v>111</v>
      </c>
      <c r="R12" s="1502" t="s">
        <v>8</v>
      </c>
      <c r="S12" s="1503">
        <f t="shared" si="0"/>
        <v>100</v>
      </c>
      <c r="T12" s="1502" t="s">
        <v>8</v>
      </c>
      <c r="U12" s="1503">
        <f t="shared" si="1"/>
        <v>100</v>
      </c>
      <c r="V12" s="1502" t="s">
        <v>8</v>
      </c>
      <c r="W12" s="1503">
        <f t="shared" si="2"/>
        <v>100</v>
      </c>
      <c r="X12" s="1504"/>
      <c r="Y12" s="3525"/>
      <c r="Z12" s="1132">
        <f t="shared" si="7"/>
        <v>111</v>
      </c>
      <c r="AA12" s="1505">
        <f>D12/F12</f>
        <v>1</v>
      </c>
      <c r="AB12" s="1505">
        <f>D12/H12</f>
        <v>1</v>
      </c>
      <c r="AC12" s="1505">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574"/>
      <c r="Q13" s="1133">
        <f t="shared" si="6"/>
        <v>111</v>
      </c>
      <c r="R13" s="1502" t="s">
        <v>8</v>
      </c>
      <c r="S13" s="1503">
        <f t="shared" si="0"/>
        <v>100</v>
      </c>
      <c r="T13" s="1502" t="s">
        <v>8</v>
      </c>
      <c r="U13" s="1503">
        <f t="shared" si="1"/>
        <v>100</v>
      </c>
      <c r="V13" s="1502" t="s">
        <v>8</v>
      </c>
      <c r="W13" s="1503">
        <f t="shared" si="2"/>
        <v>100</v>
      </c>
      <c r="X13" s="1504"/>
      <c r="Y13" s="3525"/>
      <c r="Z13" s="1132">
        <f t="shared" si="7"/>
        <v>111</v>
      </c>
      <c r="AA13" s="1505">
        <f t="shared" si="3"/>
        <v>1</v>
      </c>
      <c r="AB13" s="1505">
        <f t="shared" si="4"/>
        <v>1</v>
      </c>
      <c r="AC13" s="1505">
        <f t="shared" si="5"/>
        <v>1</v>
      </c>
    </row>
    <row r="14" spans="1:29" ht="99.75">
      <c r="A14" s="2627" t="s">
        <v>2729</v>
      </c>
      <c r="B14" s="164" t="s">
        <v>535</v>
      </c>
      <c r="C14" s="910" t="str">
        <f>IF(B1="工业",估价对象房地状况!G4,估价对象房地状况!C6)</f>
        <v>估价对象周边有通14路、通50路、通64路等公交线路；距地铁7号线（花庄站）约2公里，交通便捷度一般</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576" t="s">
        <v>532</v>
      </c>
      <c r="Q14" s="1506" t="str">
        <f t="shared" si="6"/>
        <v>交通便捷度</v>
      </c>
      <c r="R14" s="1507" t="s">
        <v>8</v>
      </c>
      <c r="S14" s="1508">
        <f t="shared" si="0"/>
        <v>100</v>
      </c>
      <c r="T14" s="1507" t="s">
        <v>8</v>
      </c>
      <c r="U14" s="1508">
        <f t="shared" si="1"/>
        <v>100</v>
      </c>
      <c r="V14" s="1507" t="s">
        <v>8</v>
      </c>
      <c r="W14" s="1508">
        <f t="shared" si="2"/>
        <v>100</v>
      </c>
      <c r="X14" s="1501"/>
      <c r="Y14" s="3576" t="s">
        <v>532</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8"/>
      <c r="L15" s="2024"/>
      <c r="M15" s="2016"/>
      <c r="N15" s="2016"/>
      <c r="O15" s="2023"/>
      <c r="P15" s="3577"/>
      <c r="Q15" s="1506"/>
      <c r="R15" s="1507"/>
      <c r="S15" s="1508"/>
      <c r="T15" s="1507"/>
      <c r="U15" s="1508"/>
      <c r="V15" s="1507"/>
      <c r="W15" s="1508"/>
      <c r="X15" s="1501"/>
      <c r="Y15" s="3577"/>
      <c r="Z15" s="1509"/>
      <c r="AA15" s="1510">
        <v>1</v>
      </c>
      <c r="AB15" s="1510">
        <v>1</v>
      </c>
      <c r="AC15" s="1510">
        <v>1</v>
      </c>
    </row>
    <row r="16" spans="1:29" ht="213.75">
      <c r="A16" s="526"/>
      <c r="B16" s="2447" t="s">
        <v>2522</v>
      </c>
      <c r="C16" s="861" t="str">
        <f>IF(B1="工业",估价对象房地状况!G5,估价对象房地状况!C7)</f>
        <v>估价对象所在区域有张家湾中心幼儿园、张家湾中心小学、张家湾中学等教育资源，有中国建设银行、北京市农村商业银行等金融机构，有世纪华联超市等商业服务设施，有北京运通中医医院等医疗设施，公共服务设施齐备度一般</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577"/>
      <c r="Q16" s="1506" t="str">
        <f>B16</f>
        <v>公共配套设施</v>
      </c>
      <c r="R16" s="1507" t="s">
        <v>8</v>
      </c>
      <c r="S16" s="1508">
        <f>F16</f>
        <v>100</v>
      </c>
      <c r="T16" s="1507" t="s">
        <v>8</v>
      </c>
      <c r="U16" s="1508">
        <f>H16</f>
        <v>100</v>
      </c>
      <c r="V16" s="1507" t="s">
        <v>8</v>
      </c>
      <c r="W16" s="1508">
        <f>J16</f>
        <v>100</v>
      </c>
      <c r="X16" s="1501"/>
      <c r="Y16" s="3577"/>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8"/>
      <c r="L17" s="2024"/>
      <c r="M17" s="2016"/>
      <c r="N17" s="2016"/>
      <c r="O17" s="2023"/>
      <c r="P17" s="3577"/>
      <c r="Q17" s="1506"/>
      <c r="R17" s="1507"/>
      <c r="S17" s="1508"/>
      <c r="T17" s="1507"/>
      <c r="U17" s="1508"/>
      <c r="V17" s="1507"/>
      <c r="W17" s="1508"/>
      <c r="X17" s="1501"/>
      <c r="Y17" s="3577"/>
      <c r="Z17" s="1509"/>
      <c r="AA17" s="1510">
        <v>1</v>
      </c>
      <c r="AB17" s="1510">
        <v>1</v>
      </c>
      <c r="AC17" s="1510">
        <v>1</v>
      </c>
    </row>
    <row r="18" spans="1:29" ht="15">
      <c r="A18" s="526"/>
      <c r="B18" s="2435" t="s">
        <v>2534</v>
      </c>
      <c r="C18" s="861" t="str">
        <f>IF(B1="工业",估价对象房地状况!G6,估价对象房地状况!C8)</f>
        <v>七通</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577"/>
      <c r="Q18" s="2429" t="str">
        <f>B18</f>
        <v>基础设施水平</v>
      </c>
      <c r="R18" s="1507" t="s">
        <v>8</v>
      </c>
      <c r="S18" s="1508">
        <f>F18</f>
        <v>100</v>
      </c>
      <c r="T18" s="1507" t="s">
        <v>8</v>
      </c>
      <c r="U18" s="1508">
        <f>H18</f>
        <v>100</v>
      </c>
      <c r="V18" s="1507" t="s">
        <v>8</v>
      </c>
      <c r="W18" s="1508">
        <f>J18</f>
        <v>100</v>
      </c>
      <c r="X18" s="2431"/>
      <c r="Y18" s="3577"/>
      <c r="Z18" s="2430"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6"/>
      <c r="L19" s="2024"/>
      <c r="M19" s="2016"/>
      <c r="N19" s="2016"/>
      <c r="O19" s="2023"/>
      <c r="P19" s="3577"/>
      <c r="Q19" s="2429"/>
      <c r="R19" s="1507"/>
      <c r="S19" s="1508"/>
      <c r="T19" s="1507"/>
      <c r="U19" s="1508"/>
      <c r="V19" s="1507"/>
      <c r="W19" s="1508"/>
      <c r="X19" s="2431"/>
      <c r="Y19" s="3577"/>
      <c r="Z19" s="2430"/>
      <c r="AA19" s="1510">
        <v>1</v>
      </c>
      <c r="AB19" s="1510">
        <v>1</v>
      </c>
      <c r="AC19" s="1510">
        <v>1</v>
      </c>
    </row>
    <row r="20" spans="1:29" ht="99.75">
      <c r="A20" s="526"/>
      <c r="B20" s="860" t="s">
        <v>796</v>
      </c>
      <c r="C20" s="861" t="str">
        <f>IF(B1="工业",估价对象房地状况!G7,估价对象房地状况!C9)</f>
        <v>区域自然环境：通州大运河森林公园、凉水河；人文环境：北京环球度假区；综合评价环境状况较好</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577"/>
      <c r="Q20" s="1506" t="str">
        <f>B20</f>
        <v>自然及人文环境</v>
      </c>
      <c r="R20" s="1507" t="s">
        <v>8</v>
      </c>
      <c r="S20" s="1508">
        <f>F20</f>
        <v>100</v>
      </c>
      <c r="T20" s="1507" t="s">
        <v>8</v>
      </c>
      <c r="U20" s="1508">
        <f>H20</f>
        <v>100</v>
      </c>
      <c r="V20" s="1507" t="s">
        <v>8</v>
      </c>
      <c r="W20" s="1508">
        <f>J20</f>
        <v>100</v>
      </c>
      <c r="X20" s="1501"/>
      <c r="Y20" s="3577"/>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8"/>
      <c r="L21" s="2024"/>
      <c r="M21" s="2016"/>
      <c r="N21" s="2016"/>
      <c r="O21" s="2023"/>
      <c r="P21" s="3577"/>
      <c r="Q21" s="1506"/>
      <c r="R21" s="1507"/>
      <c r="S21" s="1508"/>
      <c r="T21" s="1507"/>
      <c r="U21" s="1508"/>
      <c r="V21" s="1507"/>
      <c r="W21" s="1508"/>
      <c r="X21" s="1501"/>
      <c r="Y21" s="3577"/>
      <c r="Z21" s="1509"/>
      <c r="AA21" s="1510">
        <v>1</v>
      </c>
      <c r="AB21" s="1510">
        <v>1</v>
      </c>
      <c r="AC21" s="1510">
        <v>1</v>
      </c>
    </row>
    <row r="22" spans="1:29" ht="15">
      <c r="A22" s="526"/>
      <c r="B22" s="860" t="s">
        <v>797</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77"/>
      <c r="Q22" s="1506" t="str">
        <f>B22</f>
        <v>楼层</v>
      </c>
      <c r="R22" s="1507" t="s">
        <v>8</v>
      </c>
      <c r="S22" s="1508">
        <f>F22</f>
        <v>100</v>
      </c>
      <c r="T22" s="1507" t="s">
        <v>8</v>
      </c>
      <c r="U22" s="1508">
        <f>H22</f>
        <v>100</v>
      </c>
      <c r="V22" s="1507" t="s">
        <v>8</v>
      </c>
      <c r="W22" s="1508">
        <f>J22</f>
        <v>100</v>
      </c>
      <c r="X22" s="1501"/>
      <c r="Y22" s="3577"/>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77"/>
      <c r="Q23" s="1506">
        <f>B23</f>
        <v>111</v>
      </c>
      <c r="R23" s="1507" t="s">
        <v>8</v>
      </c>
      <c r="S23" s="1508">
        <f>F23</f>
        <v>100</v>
      </c>
      <c r="T23" s="1507" t="s">
        <v>8</v>
      </c>
      <c r="U23" s="1508">
        <f>H23</f>
        <v>100</v>
      </c>
      <c r="V23" s="1507" t="s">
        <v>8</v>
      </c>
      <c r="W23" s="1508">
        <f>J23</f>
        <v>100</v>
      </c>
      <c r="X23" s="1501"/>
      <c r="Y23" s="3577"/>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77"/>
      <c r="Q24" s="1506">
        <f t="shared" ref="Q24:Q34" si="11">B24</f>
        <v>111</v>
      </c>
      <c r="R24" s="1507" t="s">
        <v>8</v>
      </c>
      <c r="S24" s="1508">
        <f>F24</f>
        <v>100</v>
      </c>
      <c r="T24" s="1507" t="s">
        <v>8</v>
      </c>
      <c r="U24" s="1508">
        <f>H24</f>
        <v>100</v>
      </c>
      <c r="V24" s="1507" t="s">
        <v>8</v>
      </c>
      <c r="W24" s="1508">
        <f>J24</f>
        <v>100</v>
      </c>
      <c r="X24" s="1501"/>
      <c r="Y24" s="3577"/>
      <c r="Z24" s="1509">
        <f>Q24</f>
        <v>111</v>
      </c>
      <c r="AA24" s="1510">
        <f t="shared" si="3"/>
        <v>1</v>
      </c>
      <c r="AB24" s="1510">
        <f t="shared" si="4"/>
        <v>1</v>
      </c>
      <c r="AC24" s="1510">
        <f t="shared" si="5"/>
        <v>1</v>
      </c>
    </row>
    <row r="25" spans="1:29" s="1202"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577"/>
      <c r="Q25" s="1133">
        <f t="shared" si="11"/>
        <v>111</v>
      </c>
      <c r="R25" s="1502" t="s">
        <v>8</v>
      </c>
      <c r="S25" s="1503">
        <f>F25</f>
        <v>100</v>
      </c>
      <c r="T25" s="1502" t="s">
        <v>8</v>
      </c>
      <c r="U25" s="1503">
        <f>H25</f>
        <v>100</v>
      </c>
      <c r="V25" s="1502" t="s">
        <v>8</v>
      </c>
      <c r="W25" s="1503">
        <f>J25</f>
        <v>100</v>
      </c>
      <c r="X25" s="1504"/>
      <c r="Y25" s="3577"/>
      <c r="Z25" s="1132">
        <f>Q25</f>
        <v>111</v>
      </c>
      <c r="AA25" s="1510">
        <f>D25/F25</f>
        <v>1</v>
      </c>
      <c r="AB25" s="1510">
        <f>D25/H25</f>
        <v>1</v>
      </c>
      <c r="AC25" s="1510">
        <f>D25/J25</f>
        <v>1</v>
      </c>
    </row>
    <row r="26" spans="1:29" ht="15">
      <c r="A26" s="2624" t="s">
        <v>2730</v>
      </c>
      <c r="B26" s="170" t="s">
        <v>800</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578" t="s">
        <v>813</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579" t="s">
        <v>813</v>
      </c>
      <c r="Z26" s="1509" t="str">
        <f t="shared" ref="Z26:Z34" si="15">Q26</f>
        <v>公共部分装修</v>
      </c>
      <c r="AA26" s="1510">
        <f t="shared" si="3"/>
        <v>1</v>
      </c>
      <c r="AB26" s="1510">
        <f t="shared" si="4"/>
        <v>1</v>
      </c>
      <c r="AC26" s="1510">
        <f t="shared" si="5"/>
        <v>1</v>
      </c>
    </row>
    <row r="27" spans="1:29" s="1292" customFormat="1" ht="15">
      <c r="A27" s="597"/>
      <c r="B27" s="521" t="s">
        <v>801</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579"/>
      <c r="Q27" s="1535" t="str">
        <f t="shared" si="11"/>
        <v>成新率</v>
      </c>
      <c r="R27" s="1511" t="s">
        <v>8</v>
      </c>
      <c r="S27" s="1512" t="e">
        <f t="shared" si="12"/>
        <v>#N/A</v>
      </c>
      <c r="T27" s="1511" t="s">
        <v>8</v>
      </c>
      <c r="U27" s="1512" t="e">
        <f t="shared" si="13"/>
        <v>#N/A</v>
      </c>
      <c r="V27" s="1511" t="s">
        <v>8</v>
      </c>
      <c r="W27" s="1512" t="e">
        <f t="shared" si="14"/>
        <v>#N/A</v>
      </c>
      <c r="X27" s="1513"/>
      <c r="Y27" s="3579"/>
      <c r="Z27" s="1514" t="str">
        <f t="shared" si="15"/>
        <v>成新率</v>
      </c>
      <c r="AA27" s="1510" t="e">
        <f t="shared" si="3"/>
        <v>#N/A</v>
      </c>
      <c r="AB27" s="1510" t="e">
        <f t="shared" si="4"/>
        <v>#N/A</v>
      </c>
      <c r="AC27" s="1510" t="e">
        <f t="shared" si="5"/>
        <v>#N/A</v>
      </c>
    </row>
    <row r="28" spans="1:29" ht="15">
      <c r="A28" s="588"/>
      <c r="B28" s="521" t="s">
        <v>802</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79"/>
      <c r="Q28" s="1506" t="str">
        <f t="shared" si="11"/>
        <v>物业等级</v>
      </c>
      <c r="R28" s="1507" t="s">
        <v>8</v>
      </c>
      <c r="S28" s="1508">
        <f t="shared" si="12"/>
        <v>100</v>
      </c>
      <c r="T28" s="1507" t="s">
        <v>8</v>
      </c>
      <c r="U28" s="1508">
        <f t="shared" si="13"/>
        <v>100</v>
      </c>
      <c r="V28" s="1507" t="s">
        <v>8</v>
      </c>
      <c r="W28" s="1508">
        <f t="shared" si="14"/>
        <v>100</v>
      </c>
      <c r="X28" s="1501"/>
      <c r="Y28" s="3579"/>
      <c r="Z28" s="1509" t="str">
        <f t="shared" si="15"/>
        <v>物业等级</v>
      </c>
      <c r="AA28" s="1510">
        <f t="shared" si="3"/>
        <v>1</v>
      </c>
      <c r="AB28" s="1510">
        <f t="shared" si="4"/>
        <v>1</v>
      </c>
      <c r="AC28" s="1510">
        <f t="shared" si="5"/>
        <v>1</v>
      </c>
    </row>
    <row r="29" spans="1:29" ht="15">
      <c r="A29" s="588"/>
      <c r="B29" s="521" t="s">
        <v>814</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579"/>
      <c r="Q29" s="1506" t="str">
        <f t="shared" si="11"/>
        <v>有无电梯</v>
      </c>
      <c r="R29" s="1507" t="s">
        <v>8</v>
      </c>
      <c r="S29" s="1508">
        <f t="shared" si="12"/>
        <v>100</v>
      </c>
      <c r="T29" s="1507" t="s">
        <v>8</v>
      </c>
      <c r="U29" s="1508">
        <f t="shared" si="13"/>
        <v>100</v>
      </c>
      <c r="V29" s="1507" t="s">
        <v>8</v>
      </c>
      <c r="W29" s="1508">
        <f t="shared" si="14"/>
        <v>100</v>
      </c>
      <c r="X29" s="1501"/>
      <c r="Y29" s="3579"/>
      <c r="Z29" s="1509" t="str">
        <f t="shared" si="15"/>
        <v>有无电梯</v>
      </c>
      <c r="AA29" s="1510">
        <f t="shared" si="3"/>
        <v>1</v>
      </c>
      <c r="AB29" s="1510">
        <f t="shared" si="4"/>
        <v>1</v>
      </c>
      <c r="AC29" s="1510">
        <f t="shared" si="5"/>
        <v>1</v>
      </c>
    </row>
    <row r="30" spans="1:29" ht="15">
      <c r="A30" s="588"/>
      <c r="B30" s="521" t="s">
        <v>815</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579"/>
      <c r="Q30" s="1506" t="str">
        <f t="shared" si="11"/>
        <v>建筑面积</v>
      </c>
      <c r="R30" s="1507" t="s">
        <v>8</v>
      </c>
      <c r="S30" s="1508" t="e">
        <f t="shared" si="12"/>
        <v>#N/A</v>
      </c>
      <c r="T30" s="1507" t="s">
        <v>8</v>
      </c>
      <c r="U30" s="1508" t="e">
        <f t="shared" si="13"/>
        <v>#N/A</v>
      </c>
      <c r="V30" s="1507" t="s">
        <v>8</v>
      </c>
      <c r="W30" s="1508" t="e">
        <f t="shared" si="14"/>
        <v>#N/A</v>
      </c>
      <c r="X30" s="1501"/>
      <c r="Y30" s="3579"/>
      <c r="Z30" s="1509" t="str">
        <f t="shared" si="15"/>
        <v>建筑面积</v>
      </c>
      <c r="AA30" s="1510" t="e">
        <f t="shared" si="3"/>
        <v>#N/A</v>
      </c>
      <c r="AB30" s="1510" t="e">
        <f t="shared" si="4"/>
        <v>#N/A</v>
      </c>
      <c r="AC30" s="1510" t="e">
        <f t="shared" si="5"/>
        <v>#N/A</v>
      </c>
    </row>
    <row r="31" spans="1:29" s="1202" customFormat="1" ht="15">
      <c r="A31" s="594"/>
      <c r="B31" s="521" t="s">
        <v>816</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579"/>
      <c r="Q31" s="1133" t="str">
        <f t="shared" si="11"/>
        <v>是否封闭</v>
      </c>
      <c r="R31" s="1502" t="s">
        <v>8</v>
      </c>
      <c r="S31" s="1503">
        <f t="shared" si="12"/>
        <v>100</v>
      </c>
      <c r="T31" s="1502" t="s">
        <v>8</v>
      </c>
      <c r="U31" s="1503">
        <f t="shared" si="13"/>
        <v>100</v>
      </c>
      <c r="V31" s="1502" t="s">
        <v>8</v>
      </c>
      <c r="W31" s="1503">
        <f t="shared" si="14"/>
        <v>100</v>
      </c>
      <c r="X31" s="1504"/>
      <c r="Y31" s="3579"/>
      <c r="Z31" s="1132" t="str">
        <f t="shared" si="15"/>
        <v>是否封闭</v>
      </c>
      <c r="AA31" s="1505">
        <f t="shared" si="3"/>
        <v>1</v>
      </c>
      <c r="AB31" s="1505">
        <f t="shared" si="4"/>
        <v>1</v>
      </c>
      <c r="AC31" s="1505">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579" t="s">
        <v>542</v>
      </c>
      <c r="Q32" s="1506">
        <f t="shared" si="11"/>
        <v>111</v>
      </c>
      <c r="R32" s="1507" t="s">
        <v>8</v>
      </c>
      <c r="S32" s="1508">
        <f t="shared" si="12"/>
        <v>100</v>
      </c>
      <c r="T32" s="1507" t="s">
        <v>8</v>
      </c>
      <c r="U32" s="1508">
        <f t="shared" si="13"/>
        <v>100</v>
      </c>
      <c r="V32" s="1507" t="s">
        <v>8</v>
      </c>
      <c r="W32" s="1508">
        <f t="shared" si="14"/>
        <v>100</v>
      </c>
      <c r="X32" s="1501"/>
      <c r="Y32" s="3579" t="s">
        <v>542</v>
      </c>
      <c r="Z32" s="1509">
        <f t="shared" si="15"/>
        <v>111</v>
      </c>
      <c r="AA32" s="1510">
        <f t="shared" si="3"/>
        <v>1</v>
      </c>
      <c r="AB32" s="1510">
        <f t="shared" si="4"/>
        <v>1</v>
      </c>
      <c r="AC32" s="1510">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579"/>
      <c r="Q33" s="1506">
        <f t="shared" si="11"/>
        <v>111</v>
      </c>
      <c r="R33" s="1507" t="s">
        <v>8</v>
      </c>
      <c r="S33" s="1508">
        <f t="shared" si="12"/>
        <v>100</v>
      </c>
      <c r="T33" s="1507" t="s">
        <v>8</v>
      </c>
      <c r="U33" s="1508">
        <f t="shared" si="13"/>
        <v>100</v>
      </c>
      <c r="V33" s="1507" t="s">
        <v>8</v>
      </c>
      <c r="W33" s="1508">
        <f t="shared" si="14"/>
        <v>100</v>
      </c>
      <c r="X33" s="1501"/>
      <c r="Y33" s="3579"/>
      <c r="Z33" s="1509">
        <f t="shared" si="15"/>
        <v>111</v>
      </c>
      <c r="AA33" s="1510">
        <f t="shared" si="3"/>
        <v>1</v>
      </c>
      <c r="AB33" s="1510">
        <f t="shared" si="4"/>
        <v>1</v>
      </c>
      <c r="AC33" s="1510">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579"/>
      <c r="Q34" s="1506">
        <f t="shared" si="11"/>
        <v>111</v>
      </c>
      <c r="R34" s="1507" t="s">
        <v>8</v>
      </c>
      <c r="S34" s="1508">
        <f t="shared" si="12"/>
        <v>100</v>
      </c>
      <c r="T34" s="1507" t="s">
        <v>8</v>
      </c>
      <c r="U34" s="1508">
        <f t="shared" si="13"/>
        <v>100</v>
      </c>
      <c r="V34" s="1507" t="s">
        <v>8</v>
      </c>
      <c r="W34" s="1508">
        <f t="shared" si="14"/>
        <v>100</v>
      </c>
      <c r="X34" s="1501"/>
      <c r="Y34" s="3579"/>
      <c r="Z34" s="1509">
        <f t="shared" si="15"/>
        <v>111</v>
      </c>
      <c r="AA34" s="1510">
        <f t="shared" si="3"/>
        <v>1</v>
      </c>
      <c r="AB34" s="1510">
        <f t="shared" si="4"/>
        <v>1</v>
      </c>
      <c r="AC34" s="1510">
        <f t="shared" si="5"/>
        <v>1</v>
      </c>
    </row>
    <row r="35" spans="1:29" ht="15">
      <c r="A35" s="601" t="s">
        <v>728</v>
      </c>
      <c r="B35" s="876"/>
      <c r="C35" s="2470" t="s">
        <v>1</v>
      </c>
      <c r="D35" s="2471"/>
      <c r="E35" s="2472"/>
      <c r="F35" s="2473"/>
      <c r="G35" s="2474"/>
      <c r="H35" s="2475"/>
      <c r="I35" s="2472"/>
      <c r="J35" s="2475"/>
      <c r="K35" s="1540"/>
      <c r="L35" s="2026"/>
      <c r="M35" s="2027"/>
      <c r="N35" s="2016"/>
      <c r="O35" s="2027"/>
      <c r="P35" s="3574" t="str">
        <f>A35</f>
        <v>成交单价（元/平方米）</v>
      </c>
      <c r="Q35" s="3574"/>
      <c r="R35" s="3679">
        <f>E35</f>
        <v>0</v>
      </c>
      <c r="S35" s="3679"/>
      <c r="T35" s="3679">
        <f>G35</f>
        <v>0</v>
      </c>
      <c r="U35" s="3679"/>
      <c r="V35" s="3679">
        <f>I35</f>
        <v>0</v>
      </c>
      <c r="W35" s="3679"/>
      <c r="X35" s="1496"/>
      <c r="Y35" s="1515"/>
      <c r="Z35" s="1496"/>
      <c r="AA35" s="1496"/>
      <c r="AB35" s="1496"/>
      <c r="AC35" s="1496"/>
    </row>
    <row r="36" spans="1:29" ht="15.75" thickBot="1">
      <c r="A36" s="609" t="s">
        <v>2735</v>
      </c>
      <c r="B36" s="877"/>
      <c r="C36" s="2476" t="e">
        <f>R37</f>
        <v>#DIV/0!</v>
      </c>
      <c r="D36" s="3013" t="s">
        <v>2961</v>
      </c>
      <c r="E36" s="2477" t="e">
        <f>R36</f>
        <v>#DIV/0!</v>
      </c>
      <c r="F36" s="3014"/>
      <c r="G36" s="2476" t="e">
        <f>T36</f>
        <v>#DIV/0!</v>
      </c>
      <c r="H36" s="3014"/>
      <c r="I36" s="2477" t="e">
        <f>V36</f>
        <v>#DIV/0!</v>
      </c>
      <c r="J36" s="3014"/>
      <c r="K36" s="3022">
        <f>F36+H36+J36</f>
        <v>0</v>
      </c>
      <c r="L36" s="2026"/>
      <c r="M36" s="2027"/>
      <c r="N36" s="2016"/>
      <c r="O36" s="2027"/>
      <c r="P36" s="3574" t="str">
        <f>A36</f>
        <v>比较价格（元/平方米）</v>
      </c>
      <c r="Q36" s="3574"/>
      <c r="R36" s="3679" t="e">
        <f>IF(F1="售价",ROUND(PRODUCT(R35,AA7:AA34),0),ROUND(PRODUCT(R35,AA7:AA34),1))</f>
        <v>#DIV/0!</v>
      </c>
      <c r="S36" s="3679"/>
      <c r="T36" s="3679" t="e">
        <f>IF(F1="售价",ROUND(PRODUCT(T35,AB7:AB34),0),ROUND(PRODUCT(T35,AB7:AB34),1))</f>
        <v>#DIV/0!</v>
      </c>
      <c r="U36" s="3679"/>
      <c r="V36" s="3679" t="e">
        <f>IF(F1="售价",ROUND(PRODUCT(V35,AC7:AC34),0),ROUND(PRODUCT(V35,AC7:AC34),1))</f>
        <v>#DIV/0!</v>
      </c>
      <c r="W36" s="3679"/>
      <c r="X36" s="1496"/>
      <c r="Y36" s="1496"/>
      <c r="Z36" s="1496"/>
      <c r="AA36" s="1496"/>
      <c r="AB36" s="1496"/>
      <c r="AC36" s="1496"/>
    </row>
    <row r="37" spans="1:29" ht="15.75" thickBot="1">
      <c r="A37" s="613" t="s">
        <v>2893</v>
      </c>
      <c r="B37" s="614"/>
      <c r="C37" s="2478" t="e">
        <f>R37</f>
        <v>#DIV/0!</v>
      </c>
      <c r="D37" s="2478"/>
      <c r="E37" s="2478"/>
      <c r="F37" s="2478"/>
      <c r="G37" s="2478"/>
      <c r="H37" s="2478"/>
      <c r="I37" s="2478"/>
      <c r="J37" s="2478"/>
      <c r="K37" s="1541"/>
      <c r="L37" s="2026"/>
      <c r="M37" s="2027"/>
      <c r="N37" s="2027"/>
      <c r="O37" s="2027"/>
      <c r="P37" s="3595" t="str">
        <f>A37</f>
        <v>估价对象XX用房的比较价格（楼面单价，元/平方米）</v>
      </c>
      <c r="Q37" s="3596"/>
      <c r="R37" s="3678" t="e">
        <f>IF(F1="售价",ROUND(IF(D36="简单平均",AVERAGE(R36:W36),R36*F36+T36*H36+V36*J36),0),ROUND(IF(D36="简单平均",AVERAGE(R36:V36),R36*F36+T36*H36+V36*J36),1))</f>
        <v>#DIV/0!</v>
      </c>
      <c r="S37" s="3678"/>
      <c r="T37" s="3678"/>
      <c r="U37" s="3678"/>
      <c r="V37" s="3678"/>
      <c r="W37" s="3678"/>
      <c r="X37" s="1496"/>
      <c r="Y37" s="1496"/>
      <c r="Z37" s="1496"/>
      <c r="AA37" s="1496"/>
      <c r="AB37" s="1496"/>
      <c r="AC37" s="1496"/>
    </row>
    <row r="38" spans="1:29">
      <c r="A38" s="3210"/>
      <c r="B38" s="3210"/>
      <c r="C38" s="3210"/>
      <c r="D38" s="3210"/>
      <c r="E38" s="3210"/>
      <c r="F38" s="3210"/>
      <c r="G38" s="3212"/>
      <c r="H38" s="3210"/>
      <c r="I38" s="3210"/>
      <c r="J38" s="3210"/>
      <c r="K38" s="3213"/>
      <c r="L38" s="2031"/>
      <c r="M38" s="2027"/>
      <c r="N38" s="2027"/>
      <c r="O38" s="2027"/>
      <c r="P38" s="2027"/>
      <c r="Q38" s="2027"/>
      <c r="R38" s="2027"/>
      <c r="S38" s="2027"/>
      <c r="T38" s="2027"/>
      <c r="U38" s="2027"/>
      <c r="V38" s="2027"/>
      <c r="W38" s="2027"/>
      <c r="X38" s="2027"/>
      <c r="Y38" s="2027"/>
      <c r="Z38" s="2027"/>
      <c r="AA38" s="2027"/>
      <c r="AB38" s="2027"/>
      <c r="AC38" s="2027"/>
    </row>
    <row r="39" spans="1:29">
      <c r="A39" s="3210"/>
      <c r="B39" s="3210"/>
      <c r="C39" s="3210"/>
      <c r="D39" s="3210"/>
      <c r="E39" s="3210"/>
      <c r="F39" s="3210"/>
      <c r="G39" s="3210"/>
      <c r="H39" s="3210"/>
      <c r="I39" s="3210"/>
      <c r="J39" s="3210"/>
      <c r="K39" s="3213"/>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0"/>
      <c r="B40" s="3210"/>
      <c r="C40" s="616" t="s">
        <v>549</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3"/>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0"/>
      <c r="B41" s="3210"/>
      <c r="C41" s="616" t="s">
        <v>550</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3"/>
      <c r="L41" s="2031"/>
      <c r="M41" s="2027"/>
      <c r="N41" s="2027"/>
      <c r="O41" s="2027"/>
      <c r="P41" s="2027"/>
      <c r="Q41" s="2027"/>
      <c r="R41" s="2027"/>
      <c r="S41" s="2027"/>
      <c r="T41" s="2027"/>
      <c r="U41" s="2027"/>
      <c r="V41" s="2027"/>
      <c r="W41" s="2027"/>
      <c r="X41" s="2027"/>
      <c r="Y41" s="2027"/>
      <c r="Z41" s="2027"/>
      <c r="AA41" s="2027"/>
      <c r="AB41" s="2027"/>
      <c r="AC41" s="2027"/>
    </row>
    <row r="42" spans="1:29" s="1297" customFormat="1" ht="13.5" customHeight="1">
      <c r="A42" s="3211"/>
      <c r="B42" s="3211"/>
      <c r="C42" s="616" t="s">
        <v>551</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4"/>
      <c r="L42" s="2034"/>
      <c r="M42" s="2028"/>
      <c r="N42" s="2028"/>
      <c r="O42" s="2028"/>
      <c r="P42" s="2028"/>
      <c r="Q42" s="2028"/>
      <c r="R42" s="2028"/>
      <c r="S42" s="2028"/>
      <c r="T42" s="2028"/>
      <c r="U42" s="2028"/>
      <c r="V42" s="2028"/>
      <c r="W42" s="2028"/>
      <c r="X42" s="2028"/>
      <c r="Y42" s="2028"/>
      <c r="Z42" s="2028"/>
      <c r="AA42" s="2028"/>
      <c r="AB42" s="2028"/>
      <c r="AC42" s="2028"/>
    </row>
    <row r="43" spans="1:29" s="1297"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566</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299" customFormat="1" ht="15">
      <c r="A46" s="637" t="s">
        <v>521</v>
      </c>
      <c r="B46" s="638"/>
      <c r="C46" s="2519" t="str">
        <f>YEAR(C7)&amp;"-"&amp;MONTH(C7)</f>
        <v>2021-9</v>
      </c>
      <c r="D46" s="2521">
        <f>EDATE(C46,-1)</f>
        <v>44409</v>
      </c>
      <c r="E46" s="2521">
        <f t="shared" ref="E46:O46" si="16">EDATE(D46,-1)</f>
        <v>44378</v>
      </c>
      <c r="F46" s="2521">
        <f t="shared" si="16"/>
        <v>44348</v>
      </c>
      <c r="G46" s="2521">
        <f t="shared" si="16"/>
        <v>44317</v>
      </c>
      <c r="H46" s="2521">
        <f t="shared" si="16"/>
        <v>44287</v>
      </c>
      <c r="I46" s="2521">
        <f t="shared" si="16"/>
        <v>44256</v>
      </c>
      <c r="J46" s="2521">
        <f t="shared" si="16"/>
        <v>44228</v>
      </c>
      <c r="K46" s="2521">
        <f t="shared" si="16"/>
        <v>44197</v>
      </c>
      <c r="L46" s="2521">
        <f t="shared" si="16"/>
        <v>44166</v>
      </c>
      <c r="M46" s="2521">
        <f t="shared" si="16"/>
        <v>44136</v>
      </c>
      <c r="N46" s="2521">
        <f t="shared" si="16"/>
        <v>44105</v>
      </c>
      <c r="O46" s="2521">
        <f t="shared" si="16"/>
        <v>44075</v>
      </c>
      <c r="P46" s="2041"/>
      <c r="Q46" s="2042"/>
      <c r="R46" s="2042"/>
      <c r="S46" s="2042"/>
      <c r="T46" s="2042"/>
      <c r="U46" s="2042"/>
      <c r="V46" s="2042"/>
      <c r="W46" s="2042"/>
      <c r="X46" s="2042"/>
      <c r="Y46" s="2042"/>
      <c r="Z46" s="2042"/>
      <c r="AA46" s="2042"/>
      <c r="AB46" s="2042"/>
      <c r="AC46" s="2042"/>
    </row>
    <row r="47" spans="1:29" s="1202"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2" customFormat="1" ht="15.75" thickBot="1">
      <c r="A48" s="645" t="s">
        <v>567</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2" customFormat="1" ht="15">
      <c r="A49" s="651" t="s">
        <v>523</v>
      </c>
      <c r="B49" s="640"/>
      <c r="C49" s="652" t="s">
        <v>568</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2"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569</v>
      </c>
      <c r="B51" s="657" t="s">
        <v>526</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529</v>
      </c>
      <c r="C53" s="666" t="s">
        <v>729</v>
      </c>
      <c r="D53" s="666" t="s">
        <v>730</v>
      </c>
      <c r="E53" s="666" t="s">
        <v>731</v>
      </c>
      <c r="F53" s="666" t="s">
        <v>732</v>
      </c>
      <c r="G53" s="666" t="s">
        <v>733</v>
      </c>
      <c r="H53" s="666" t="s">
        <v>734</v>
      </c>
      <c r="I53" s="666" t="s">
        <v>735</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2"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2"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2"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2"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531</v>
      </c>
      <c r="B61" s="657" t="s">
        <v>578</v>
      </c>
      <c r="C61" s="695" t="s">
        <v>571</v>
      </c>
      <c r="D61" s="695" t="s">
        <v>572</v>
      </c>
      <c r="E61" s="695" t="s">
        <v>573</v>
      </c>
      <c r="F61" s="695" t="s">
        <v>574</v>
      </c>
      <c r="G61" s="695" t="s">
        <v>575</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2533</v>
      </c>
      <c r="C63" s="700" t="s">
        <v>571</v>
      </c>
      <c r="D63" s="700" t="s">
        <v>572</v>
      </c>
      <c r="E63" s="700" t="s">
        <v>573</v>
      </c>
      <c r="F63" s="700" t="s">
        <v>574</v>
      </c>
      <c r="G63" s="700" t="s">
        <v>575</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2534</v>
      </c>
      <c r="C65" s="2442" t="s">
        <v>2535</v>
      </c>
      <c r="D65" s="2442" t="s">
        <v>2536</v>
      </c>
      <c r="E65" s="2442" t="s">
        <v>2537</v>
      </c>
      <c r="F65" s="2442" t="s">
        <v>2538</v>
      </c>
      <c r="G65" s="2442" t="s">
        <v>2539</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736</v>
      </c>
      <c r="C67" s="700" t="s">
        <v>571</v>
      </c>
      <c r="D67" s="700" t="s">
        <v>572</v>
      </c>
      <c r="E67" s="700" t="s">
        <v>573</v>
      </c>
      <c r="F67" s="700" t="s">
        <v>574</v>
      </c>
      <c r="G67" s="700" t="s">
        <v>575</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737</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2"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2"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2"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2"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2"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543</v>
      </c>
      <c r="B77" s="657" t="s">
        <v>743</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808</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809</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817</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818</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2" customFormat="1" ht="15" thickTop="1">
      <c r="A89" s="720"/>
      <c r="B89" s="665" t="s">
        <v>819</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2"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xr:uid="{00000000-0002-0000-2A00-000000000000}">
      <formula1>交通便捷度</formula1>
    </dataValidation>
    <dataValidation type="list" allowBlank="1" showInputMessage="1" showErrorMessage="1" sqref="G17 C17 I17 E17" xr:uid="{00000000-0002-0000-2A00-000001000000}">
      <formula1>公共配套设施</formula1>
    </dataValidation>
    <dataValidation type="list" allowBlank="1" showInputMessage="1" showErrorMessage="1" sqref="D1" xr:uid="{00000000-0002-0000-2A00-000002000000}">
      <formula1>项目类型</formula1>
    </dataValidation>
    <dataValidation type="list" allowBlank="1" showInputMessage="1" showErrorMessage="1" sqref="C10 E10 G10 I10" xr:uid="{00000000-0002-0000-2A00-000003000000}">
      <formula1>土地年限区间</formula1>
    </dataValidation>
    <dataValidation type="list" allowBlank="1" showInputMessage="1" showErrorMessage="1" sqref="C8 E8 G8 I8" xr:uid="{00000000-0002-0000-2A00-000004000000}">
      <formula1>仓储交易情况</formula1>
    </dataValidation>
    <dataValidation type="list" allowBlank="1" showInputMessage="1" showErrorMessage="1" sqref="E9 G9 I9" xr:uid="{00000000-0002-0000-2A00-000005000000}">
      <formula1>仓储用途</formula1>
    </dataValidation>
    <dataValidation type="list" allowBlank="1" showInputMessage="1" showErrorMessage="1" sqref="C21 E21 G21 I21" xr:uid="{00000000-0002-0000-2A00-000006000000}">
      <formula1>环境</formula1>
    </dataValidation>
    <dataValidation type="list" allowBlank="1" showInputMessage="1" showErrorMessage="1" sqref="C22 E22 G22 I22" xr:uid="{00000000-0002-0000-2A00-000007000000}">
      <formula1>仓储楼层</formula1>
    </dataValidation>
    <dataValidation type="list" allowBlank="1" showInputMessage="1" showErrorMessage="1" sqref="C26 E26 G26 I26" xr:uid="{00000000-0002-0000-2A00-000008000000}">
      <formula1>仓储公共部分装修</formula1>
    </dataValidation>
    <dataValidation type="list" allowBlank="1" showInputMessage="1" showErrorMessage="1" sqref="C29 E29 G29 I29" xr:uid="{00000000-0002-0000-2A00-000009000000}">
      <formula1>有无电梯</formula1>
    </dataValidation>
    <dataValidation type="list" allowBlank="1" showInputMessage="1" showErrorMessage="1" sqref="C31 E31 G31 I31" xr:uid="{00000000-0002-0000-2A00-00000A000000}">
      <formula1>是否封闭</formula1>
    </dataValidation>
    <dataValidation type="list" allowBlank="1" showInputMessage="1" showErrorMessage="1" sqref="B1" xr:uid="{00000000-0002-0000-2A00-00000B000000}">
      <formula1>地类判定</formula1>
    </dataValidation>
    <dataValidation type="list" allowBlank="1" showInputMessage="1" showErrorMessage="1" sqref="C28 E28 G28 I28" xr:uid="{00000000-0002-0000-2A00-00000C000000}">
      <formula1>仓储物业等级</formula1>
    </dataValidation>
    <dataValidation type="list" allowBlank="1" showInputMessage="1" showErrorMessage="1" sqref="C19 E19 G19 I19" xr:uid="{00000000-0002-0000-2A00-00000D000000}">
      <formula1>基础设施水平</formula1>
    </dataValidation>
    <dataValidation type="list" allowBlank="1" showInputMessage="1" showErrorMessage="1" sqref="F1" xr:uid="{00000000-0002-0000-2A00-00000E000000}">
      <formula1>"售价,租金"</formula1>
    </dataValidation>
    <dataValidation type="list" allowBlank="1" showInputMessage="1" showErrorMessage="1" sqref="D36" xr:uid="{00000000-0002-0000-2A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4"/>
    <col min="19" max="19" width="9" style="1203"/>
    <col min="20" max="35" width="9" style="255"/>
    <col min="36" max="16384" width="9" style="1203"/>
  </cols>
  <sheetData>
    <row r="1" spans="1:45" s="255" customFormat="1" ht="14.25" customHeight="1" thickBot="1">
      <c r="A1" s="363"/>
      <c r="B1" s="2114" t="s">
        <v>2286</v>
      </c>
      <c r="C1" s="3688" t="s">
        <v>2287</v>
      </c>
      <c r="D1" s="3689"/>
      <c r="E1" s="3689"/>
      <c r="F1" s="3689"/>
      <c r="G1" s="3689"/>
      <c r="H1" s="3689"/>
      <c r="I1" s="3689"/>
      <c r="J1" s="3689"/>
      <c r="K1" s="3689"/>
      <c r="L1" s="3689"/>
      <c r="M1" s="3689"/>
      <c r="N1" s="3689"/>
      <c r="O1" s="3689"/>
      <c r="P1" s="3689"/>
      <c r="Q1" s="3689"/>
      <c r="R1" s="3689"/>
      <c r="S1" s="3690"/>
      <c r="T1" s="2114" t="s">
        <v>2288</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59" t="s">
        <v>2289</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6" t="s">
        <v>2886</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8" t="s">
        <v>2885</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8" t="s">
        <v>2884</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7"/>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6" t="s">
        <v>2897</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6" t="s">
        <v>2883</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6" t="s">
        <v>2882</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2290</v>
      </c>
      <c r="B17" s="2158" t="s">
        <v>2291</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820</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821</v>
      </c>
      <c r="B22" s="53">
        <f>SUM(B24:B10000)</f>
        <v>0</v>
      </c>
      <c r="C22" s="3685" t="s">
        <v>20</v>
      </c>
      <c r="D22" s="3686"/>
      <c r="E22" s="3686"/>
      <c r="F22" s="3686"/>
      <c r="G22" s="3686"/>
      <c r="H22" s="3686"/>
      <c r="I22" s="3686"/>
      <c r="J22" s="3686"/>
      <c r="K22" s="3686"/>
      <c r="L22" s="3686"/>
      <c r="M22" s="3686"/>
      <c r="N22" s="3686"/>
      <c r="O22" s="3686"/>
      <c r="P22" s="3686"/>
      <c r="Q22" s="3687"/>
      <c r="R22" s="484" t="e">
        <f>ROUND(S22*10000/B22,0)</f>
        <v>#DIV/0!</v>
      </c>
      <c r="S22" s="53">
        <f>SUM(S24:S10000)</f>
        <v>0</v>
      </c>
    </row>
    <row r="23" spans="1:45" s="1542" customFormat="1" ht="24">
      <c r="A23" s="17" t="s">
        <v>822</v>
      </c>
      <c r="B23" s="2860" t="s">
        <v>2905</v>
      </c>
      <c r="C23" s="17" t="s">
        <v>823</v>
      </c>
      <c r="D23" s="17" t="str">
        <f>B5</f>
        <v>修正项2</v>
      </c>
      <c r="E23" s="17" t="s">
        <v>823</v>
      </c>
      <c r="F23" s="17" t="str">
        <f>B7</f>
        <v>修正项3</v>
      </c>
      <c r="G23" s="17" t="s">
        <v>823</v>
      </c>
      <c r="H23" s="17" t="str">
        <f>B9</f>
        <v>修正项4</v>
      </c>
      <c r="I23" s="17" t="s">
        <v>823</v>
      </c>
      <c r="J23" s="17" t="str">
        <f>B11</f>
        <v>修正项5</v>
      </c>
      <c r="K23" s="17" t="s">
        <v>823</v>
      </c>
      <c r="L23" s="17" t="str">
        <f>B13</f>
        <v>修正项6</v>
      </c>
      <c r="M23" s="17" t="s">
        <v>823</v>
      </c>
      <c r="N23" s="17" t="str">
        <f>B15</f>
        <v>修正项7</v>
      </c>
      <c r="O23" s="17" t="s">
        <v>823</v>
      </c>
      <c r="P23" s="17" t="str">
        <f>B17</f>
        <v>楼层</v>
      </c>
      <c r="Q23" s="17" t="s">
        <v>823</v>
      </c>
      <c r="R23" s="485" t="s">
        <v>824</v>
      </c>
      <c r="S23" s="17" t="s">
        <v>825</v>
      </c>
      <c r="T23" s="18"/>
      <c r="U23" s="18"/>
      <c r="V23" s="18"/>
      <c r="W23" s="18"/>
      <c r="X23" s="18"/>
      <c r="Y23" s="18"/>
      <c r="Z23" s="18"/>
      <c r="AA23" s="18"/>
      <c r="AB23" s="18"/>
      <c r="AC23" s="18"/>
      <c r="AD23" s="18"/>
      <c r="AE23" s="18"/>
      <c r="AF23" s="18"/>
      <c r="AG23" s="18"/>
      <c r="AH23" s="18"/>
      <c r="AI23" s="18"/>
    </row>
    <row r="24" spans="1:45" s="1543" customFormat="1">
      <c r="A24" s="949" t="s">
        <v>826</v>
      </c>
      <c r="B24" s="949"/>
      <c r="C24" s="3272">
        <v>1</v>
      </c>
      <c r="D24" s="3273"/>
      <c r="E24" s="3272">
        <v>1</v>
      </c>
      <c r="F24" s="3273"/>
      <c r="G24" s="3272">
        <v>1</v>
      </c>
      <c r="H24" s="3273"/>
      <c r="I24" s="3272">
        <v>1</v>
      </c>
      <c r="J24" s="3273"/>
      <c r="K24" s="3272">
        <v>1</v>
      </c>
      <c r="L24" s="3273"/>
      <c r="M24" s="3272">
        <v>1</v>
      </c>
      <c r="N24" s="3273"/>
      <c r="O24" s="3272">
        <v>1</v>
      </c>
      <c r="P24" s="3273"/>
      <c r="Q24" s="3272">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B00-000000000000}">
      <formula1>一修多修正项2</formula1>
    </dataValidation>
    <dataValidation type="list" allowBlank="1" showInputMessage="1" showErrorMessage="1" sqref="F24:F524" xr:uid="{00000000-0002-0000-2B00-000001000000}">
      <formula1>一修多修正项3</formula1>
    </dataValidation>
    <dataValidation type="list" allowBlank="1" showInputMessage="1" showErrorMessage="1" sqref="H24:H524" xr:uid="{00000000-0002-0000-2B00-000002000000}">
      <formula1>一修多修正项4</formula1>
    </dataValidation>
    <dataValidation type="list" allowBlank="1" showInputMessage="1" showErrorMessage="1" sqref="J24:J524" xr:uid="{00000000-0002-0000-2B00-000003000000}">
      <formula1>一修多修正项5</formula1>
    </dataValidation>
    <dataValidation type="list" allowBlank="1" showInputMessage="1" showErrorMessage="1" sqref="L24:L524" xr:uid="{00000000-0002-0000-2B00-000004000000}">
      <formula1>一修多修正项6</formula1>
    </dataValidation>
    <dataValidation type="list" allowBlank="1" showInputMessage="1" showErrorMessage="1" sqref="N24:N524" xr:uid="{00000000-0002-0000-2B00-000005000000}">
      <formula1>一修多修正项7</formula1>
    </dataValidation>
    <dataValidation type="list" allowBlank="1" showInputMessage="1" showErrorMessage="1" sqref="P24:P524" xr:uid="{00000000-0002-0000-2B00-000006000000}">
      <formula1>一修多修正项8</formula1>
    </dataValidation>
    <dataValidation type="list" allowBlank="1" showInputMessage="1" showErrorMessage="1" sqref="B23 B2" xr:uid="{00000000-0002-0000-2B00-000007000000}">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L84"/>
  <sheetViews>
    <sheetView topLeftCell="A74" workbookViewId="0">
      <selection activeCell="M90" sqref="M90"/>
    </sheetView>
  </sheetViews>
  <sheetFormatPr defaultRowHeight="13.5"/>
  <cols>
    <col min="1" max="16384" width="9" style="3299"/>
  </cols>
  <sheetData>
    <row r="1" spans="1:12">
      <c r="A1" s="3299" t="s">
        <v>3091</v>
      </c>
    </row>
    <row r="4" spans="1:12">
      <c r="L4" s="3299" t="s">
        <v>3092</v>
      </c>
    </row>
    <row r="38" spans="2:2">
      <c r="B38" s="3299" t="s">
        <v>3093</v>
      </c>
    </row>
    <row r="57" spans="11:11">
      <c r="K57" s="3299" t="s">
        <v>3094</v>
      </c>
    </row>
    <row r="68" spans="2:2">
      <c r="B68" s="3299" t="s">
        <v>3095</v>
      </c>
    </row>
    <row r="84" spans="2:2">
      <c r="B84" s="3299" t="s">
        <v>3096</v>
      </c>
    </row>
  </sheetData>
  <phoneticPr fontId="228"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68"/>
  <sheetViews>
    <sheetView workbookViewId="0">
      <selection activeCell="A18" sqref="A18:XFD18"/>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5" customFormat="1" ht="14.25" thickBot="1">
      <c r="A1" s="2714"/>
      <c r="B1" s="2716" t="s">
        <v>2762</v>
      </c>
      <c r="C1" s="2720">
        <f>项目基本情况!D3</f>
        <v>44463</v>
      </c>
      <c r="H1" s="2655">
        <f>IF(C1&gt;C13,0,MATCH(C1,C$13:C$105,-1))+IF(SUMIF(C13:C105,C1,D13:D105)=0,13,12)</f>
        <v>13</v>
      </c>
      <c r="I1" s="2655">
        <f>MATCH(C2,H3:H7,1)+IF(SUMIF(H3:H7,C2,I3:I7)=0,2,1)</f>
        <v>5</v>
      </c>
      <c r="J1" s="2713">
        <f ca="1">MATCH(C3,H3:H7,1)+IF(SUMIF(H3:H7,C3,J3:J7)=0,2,1)</f>
        <v>2</v>
      </c>
      <c r="N1" s="2655">
        <f>IF(C1&gt;M13,0,MATCH(C1,M$13:M$100,-1))+IF(SUMIF(M13:M100,C1,N13:N100)=0,13,12)</f>
        <v>13</v>
      </c>
      <c r="P1" s="2714"/>
      <c r="Q1" s="2714"/>
      <c r="R1" s="2714"/>
      <c r="S1" s="2714"/>
      <c r="T1" s="2714"/>
      <c r="U1" s="2714"/>
      <c r="V1" s="2714"/>
      <c r="W1" s="2714"/>
      <c r="X1" s="2714"/>
      <c r="Y1" s="2714"/>
      <c r="Z1" s="2714"/>
      <c r="AA1" s="2714"/>
      <c r="AB1" s="2714"/>
      <c r="AC1" s="2714"/>
      <c r="AD1" s="2714"/>
      <c r="AE1" s="2714"/>
      <c r="AF1" s="2714"/>
      <c r="AG1" s="2714"/>
      <c r="AH1" s="2714"/>
      <c r="AI1" s="2714"/>
      <c r="AJ1" s="2714"/>
      <c r="AK1" s="2714"/>
      <c r="AL1" s="2714"/>
      <c r="AM1" s="2714"/>
      <c r="AN1" s="2714"/>
      <c r="AO1" s="2714"/>
      <c r="AP1" s="2714"/>
      <c r="AQ1" s="2714"/>
      <c r="AR1" s="2714"/>
      <c r="AS1" s="2714"/>
      <c r="AT1" s="2714"/>
      <c r="AU1" s="2714"/>
      <c r="AV1" s="2714"/>
      <c r="AW1" s="2714"/>
      <c r="AX1" s="2714"/>
      <c r="AY1" s="2714"/>
      <c r="AZ1" s="2714"/>
      <c r="BA1" s="2714"/>
      <c r="BB1" s="2714"/>
      <c r="BC1" s="2714"/>
      <c r="BD1" s="2714"/>
      <c r="BE1" s="2714"/>
      <c r="BF1" s="2714"/>
      <c r="BG1" s="2714"/>
      <c r="BH1" s="2714"/>
      <c r="BI1" s="2714"/>
      <c r="BJ1" s="2714"/>
      <c r="BK1" s="2714"/>
      <c r="BL1" s="2714"/>
      <c r="BM1" s="2714"/>
      <c r="BN1" s="2714"/>
      <c r="BO1" s="2714"/>
      <c r="BP1" s="2714"/>
      <c r="BQ1" s="2714"/>
      <c r="BR1" s="2714"/>
      <c r="BS1" s="2714"/>
      <c r="BT1" s="2714"/>
      <c r="BU1" s="2714"/>
      <c r="BV1" s="2714"/>
      <c r="BW1" s="2714"/>
      <c r="BX1" s="2714"/>
      <c r="BY1" s="2714"/>
      <c r="BZ1" s="2714"/>
      <c r="CA1" s="2714"/>
      <c r="CB1" s="2714"/>
      <c r="CC1" s="2714"/>
      <c r="CD1" s="2714"/>
      <c r="CE1" s="2714"/>
      <c r="CF1" s="2714"/>
      <c r="CG1" s="2714"/>
      <c r="CH1" s="2714"/>
      <c r="CI1" s="2714"/>
      <c r="CJ1" s="2714"/>
      <c r="CK1" s="2714"/>
      <c r="CL1" s="2714"/>
      <c r="CM1" s="2714"/>
      <c r="CN1" s="2714"/>
      <c r="CO1" s="2714"/>
      <c r="CP1" s="2714"/>
      <c r="CQ1" s="2714"/>
      <c r="CR1" s="2714"/>
      <c r="CS1" s="2714"/>
      <c r="CT1" s="2714"/>
      <c r="CU1" s="2714"/>
      <c r="CV1" s="2714"/>
      <c r="CW1" s="2714"/>
      <c r="CX1" s="2714"/>
      <c r="CY1" s="2714"/>
      <c r="CZ1" s="2714"/>
      <c r="DA1" s="2714"/>
      <c r="DB1" s="2714"/>
      <c r="DC1" s="2714"/>
      <c r="DD1" s="2714"/>
      <c r="DE1" s="2714"/>
      <c r="DF1" s="2714"/>
      <c r="DG1" s="2714"/>
      <c r="DH1" s="2714"/>
      <c r="DI1" s="2714"/>
      <c r="DJ1" s="2714"/>
      <c r="DK1" s="2714"/>
      <c r="DL1" s="2714"/>
      <c r="DM1" s="2714"/>
      <c r="DN1" s="2714"/>
      <c r="DO1" s="2714"/>
      <c r="DP1" s="2714"/>
      <c r="DQ1" s="2714"/>
      <c r="DR1" s="2714"/>
      <c r="DS1" s="2714"/>
      <c r="DT1" s="2714"/>
      <c r="DU1" s="2714"/>
      <c r="DV1" s="2714"/>
      <c r="DW1" s="2714"/>
      <c r="DX1" s="2714"/>
      <c r="DY1" s="2714"/>
      <c r="DZ1" s="2714"/>
      <c r="EA1" s="2714"/>
      <c r="EB1" s="2714"/>
      <c r="EC1" s="2714"/>
      <c r="ED1" s="2714"/>
      <c r="EE1" s="2714"/>
      <c r="EF1" s="2714"/>
      <c r="EG1" s="2714"/>
      <c r="EH1" s="2714"/>
      <c r="EI1" s="2714"/>
      <c r="EJ1" s="2714"/>
      <c r="EK1" s="2714"/>
      <c r="EL1" s="2714"/>
      <c r="EM1" s="2714"/>
      <c r="EN1" s="2714"/>
      <c r="EO1" s="2714"/>
      <c r="EP1" s="2714"/>
      <c r="EQ1" s="2714"/>
      <c r="ER1" s="2714"/>
      <c r="ES1" s="2714"/>
      <c r="ET1" s="2714"/>
      <c r="EU1" s="2714"/>
      <c r="EV1" s="2714"/>
      <c r="EW1" s="2714"/>
      <c r="EX1" s="2714"/>
      <c r="EY1" s="2714"/>
      <c r="EZ1" s="2714"/>
      <c r="FA1" s="2714"/>
      <c r="FB1" s="2714"/>
      <c r="FC1" s="2714"/>
      <c r="FD1" s="2714"/>
      <c r="FE1" s="2714"/>
      <c r="FF1" s="2714"/>
      <c r="FG1" s="2714"/>
      <c r="FH1" s="2714"/>
      <c r="FI1" s="2714"/>
      <c r="FJ1" s="2714"/>
      <c r="FK1" s="2714"/>
      <c r="FL1" s="2714"/>
      <c r="FM1" s="2714"/>
      <c r="FN1" s="2714"/>
      <c r="FO1" s="2714"/>
      <c r="FP1" s="2714"/>
      <c r="FQ1" s="2714"/>
      <c r="FR1" s="2714"/>
      <c r="FS1" s="2714"/>
      <c r="FT1" s="2714"/>
      <c r="FU1" s="2714"/>
      <c r="FV1" s="2714"/>
      <c r="FW1" s="2714"/>
      <c r="FX1" s="2714"/>
      <c r="FY1" s="2714"/>
      <c r="FZ1" s="2714"/>
      <c r="GA1" s="2714"/>
      <c r="GB1" s="2714"/>
      <c r="GC1" s="2714"/>
      <c r="GD1" s="2714"/>
      <c r="GE1" s="2714"/>
      <c r="GF1" s="2714"/>
      <c r="GG1" s="2714"/>
      <c r="GH1" s="2714"/>
      <c r="GI1" s="2714"/>
      <c r="GJ1" s="2714"/>
      <c r="GK1" s="2714"/>
      <c r="GL1" s="2714"/>
      <c r="GM1" s="2714"/>
      <c r="GN1" s="2714"/>
      <c r="GO1" s="2714"/>
      <c r="GP1" s="2714"/>
      <c r="GQ1" s="2714"/>
      <c r="GR1" s="2714"/>
      <c r="GS1" s="2714"/>
      <c r="GT1" s="2714"/>
      <c r="GU1" s="2714"/>
      <c r="GV1" s="2714"/>
      <c r="GW1" s="2714"/>
      <c r="GX1" s="2714"/>
      <c r="GY1" s="2714"/>
      <c r="GZ1" s="2714"/>
      <c r="HA1" s="2714"/>
      <c r="HB1" s="2714"/>
      <c r="HC1" s="2714"/>
      <c r="HD1" s="2714"/>
      <c r="HE1" s="2714"/>
      <c r="HF1" s="2714"/>
      <c r="HG1" s="2714"/>
      <c r="HH1" s="2714"/>
      <c r="HI1" s="2714"/>
      <c r="HJ1" s="2714"/>
      <c r="HK1" s="2714"/>
      <c r="HL1" s="2714"/>
      <c r="HM1" s="2714"/>
      <c r="HN1" s="2714"/>
      <c r="HO1" s="2714"/>
      <c r="HP1" s="2714"/>
      <c r="HQ1" s="2714"/>
      <c r="HR1" s="2714"/>
      <c r="HS1" s="2714"/>
      <c r="HT1" s="2714"/>
      <c r="HU1" s="2714"/>
      <c r="HV1" s="2714"/>
      <c r="HW1" s="2714"/>
      <c r="HX1" s="2714"/>
      <c r="HY1" s="2714"/>
      <c r="HZ1" s="2714"/>
      <c r="IA1" s="2714"/>
      <c r="IB1" s="2714"/>
      <c r="IC1" s="2714"/>
      <c r="ID1" s="2714"/>
      <c r="IE1" s="2714"/>
      <c r="IF1" s="2714"/>
      <c r="IG1" s="2714"/>
      <c r="IH1" s="2714"/>
      <c r="II1" s="2714"/>
      <c r="IJ1" s="2714"/>
      <c r="IK1" s="2714"/>
      <c r="IL1" s="2714"/>
      <c r="IM1" s="2714"/>
      <c r="IN1" s="2714"/>
      <c r="IO1" s="2714"/>
      <c r="IP1" s="2714"/>
      <c r="IQ1" s="2714"/>
      <c r="IR1" s="2714"/>
      <c r="IS1" s="2714"/>
      <c r="IT1" s="2714"/>
      <c r="IU1" s="2714"/>
      <c r="IV1" s="2714"/>
    </row>
    <row r="2" spans="1:257" s="2712" customFormat="1" ht="15" thickTop="1" thickBot="1">
      <c r="A2" s="2657"/>
      <c r="B2" s="2717" t="s">
        <v>2793</v>
      </c>
      <c r="C2" s="2721">
        <f>'数据-取费表'!B22</f>
        <v>2</v>
      </c>
      <c r="D2" s="2716" t="s">
        <v>2763</v>
      </c>
      <c r="E2" s="2719">
        <f ca="1">INDIRECT("I"&amp;$I$1)/100</f>
        <v>3.85E-2</v>
      </c>
      <c r="G2" s="2657"/>
      <c r="H2" s="2657"/>
      <c r="I2" s="2657" t="s">
        <v>2764</v>
      </c>
      <c r="K2" s="2657"/>
      <c r="L2" s="2657"/>
      <c r="M2" s="2657"/>
      <c r="N2" s="2657" t="s">
        <v>2765</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2" customFormat="1">
      <c r="A3" s="2658"/>
      <c r="B3" s="2716" t="s">
        <v>2795</v>
      </c>
      <c r="C3" s="2718">
        <f>'数据-取费表'!B19</f>
        <v>0</v>
      </c>
      <c r="D3" s="2716" t="s">
        <v>2763</v>
      </c>
      <c r="E3" s="2719">
        <f ca="1">INDIRECT("J"&amp;$J$1)/100</f>
        <v>0</v>
      </c>
      <c r="G3" s="2659" t="s">
        <v>2766</v>
      </c>
      <c r="H3" s="2660">
        <v>0</v>
      </c>
      <c r="I3" s="2661">
        <f ca="1">INDIRECT("d"&amp;$H$1)</f>
        <v>3.85</v>
      </c>
      <c r="J3" s="2661">
        <f ca="1">INDIRECT("d"&amp;$H$1)</f>
        <v>3.85</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2" customFormat="1">
      <c r="A4" s="2658"/>
      <c r="B4" s="2716" t="s">
        <v>2794</v>
      </c>
      <c r="C4" s="2719">
        <f ca="1">N4/100</f>
        <v>1.4999999999999999E-2</v>
      </c>
      <c r="G4" s="2665" t="s">
        <v>2767</v>
      </c>
      <c r="H4" s="2666">
        <v>0.5</v>
      </c>
      <c r="I4" s="2667">
        <f ca="1">INDIRECT("e"&amp;$H$1)</f>
        <v>3.85</v>
      </c>
      <c r="J4" s="2667">
        <f ca="1">INDIRECT("e"&amp;$H$1)</f>
        <v>3.85</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2" customFormat="1">
      <c r="A5" s="2658"/>
      <c r="G5" s="2665" t="s">
        <v>2768</v>
      </c>
      <c r="H5" s="2666">
        <v>1</v>
      </c>
      <c r="I5" s="2667">
        <f ca="1">INDIRECT("f"&amp;$H$1)</f>
        <v>3.85</v>
      </c>
      <c r="J5" s="2667">
        <f ca="1">INDIRECT("f"&amp;$H$1)</f>
        <v>3.85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2" customFormat="1">
      <c r="A6" s="2658"/>
      <c r="G6" s="2665" t="s">
        <v>2769</v>
      </c>
      <c r="H6" s="2666">
        <v>3</v>
      </c>
      <c r="I6" s="2667">
        <f ca="1">INDIRECT("g"&amp;$H$1)</f>
        <v>3.85</v>
      </c>
      <c r="J6" s="2667">
        <f ca="1">INDIRECT("g"&amp;$H$1)</f>
        <v>3.85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2" customFormat="1" ht="14.25" thickBot="1">
      <c r="A7" s="2658"/>
      <c r="G7" s="2670" t="s">
        <v>2770</v>
      </c>
      <c r="H7" s="2671">
        <v>5</v>
      </c>
      <c r="I7" s="2672">
        <f ca="1">INDIRECT("h"&amp;$H$1)</f>
        <v>4.6500000000000004</v>
      </c>
      <c r="J7" s="2672">
        <f ca="1">INDIRECT("h"&amp;$H$1)</f>
        <v>4.6500000000000004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2771</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2772</v>
      </c>
      <c r="C10" s="2684"/>
      <c r="D10" s="2684"/>
      <c r="E10" s="2684"/>
      <c r="F10" s="2684"/>
      <c r="G10" s="2684"/>
      <c r="H10" s="2684"/>
      <c r="I10" s="2658"/>
      <c r="J10" s="2658"/>
      <c r="K10" s="2684"/>
      <c r="L10" s="2685" t="s">
        <v>2773</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2774</v>
      </c>
      <c r="C11" s="2689" t="s">
        <v>2775</v>
      </c>
      <c r="D11" s="2690" t="s">
        <v>2776</v>
      </c>
      <c r="E11" s="2691"/>
      <c r="F11" s="2690" t="s">
        <v>2777</v>
      </c>
      <c r="G11" s="2692"/>
      <c r="H11" s="2691"/>
      <c r="I11" s="2690" t="s">
        <v>2778</v>
      </c>
      <c r="J11" s="2691"/>
      <c r="K11" s="2687"/>
      <c r="L11" s="2688" t="s">
        <v>2774</v>
      </c>
      <c r="M11" s="2689" t="s">
        <v>2775</v>
      </c>
      <c r="N11" s="2688" t="s">
        <v>2779</v>
      </c>
      <c r="O11" s="2690" t="s">
        <v>2780</v>
      </c>
      <c r="P11" s="2692"/>
      <c r="Q11" s="2692"/>
      <c r="R11" s="2692"/>
      <c r="S11" s="2692"/>
      <c r="T11" s="2691"/>
      <c r="U11" s="2690" t="s">
        <v>2781</v>
      </c>
      <c r="V11" s="2692"/>
      <c r="W11" s="2691"/>
      <c r="X11" s="2688" t="s">
        <v>2782</v>
      </c>
      <c r="Y11" s="2688" t="s">
        <v>2783</v>
      </c>
      <c r="Z11" s="2688" t="s">
        <v>2784</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2785</v>
      </c>
      <c r="E12" s="2697" t="s">
        <v>2786</v>
      </c>
      <c r="F12" s="2697" t="s">
        <v>2787</v>
      </c>
      <c r="G12" s="2697" t="s">
        <v>2788</v>
      </c>
      <c r="H12" s="2697" t="s">
        <v>2770</v>
      </c>
      <c r="I12" s="2698" t="s">
        <v>2789</v>
      </c>
      <c r="J12" s="2698" t="s">
        <v>2789</v>
      </c>
      <c r="K12" s="2694"/>
      <c r="L12" s="2695"/>
      <c r="M12" s="2696"/>
      <c r="N12" s="2695"/>
      <c r="O12" s="2698" t="s">
        <v>2790</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2791</v>
      </c>
      <c r="C13" s="2702">
        <v>43941</v>
      </c>
      <c r="D13" s="2703">
        <v>3.85</v>
      </c>
      <c r="E13" s="2703">
        <v>3.85</v>
      </c>
      <c r="F13" s="2703">
        <v>3.85</v>
      </c>
      <c r="G13" s="2703">
        <v>3.85</v>
      </c>
      <c r="H13" s="2703">
        <v>4.6500000000000004</v>
      </c>
      <c r="I13" s="2703"/>
      <c r="J13" s="2703"/>
      <c r="K13" s="2700"/>
      <c r="L13" s="2701" t="s">
        <v>2791</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ht="14.25">
      <c r="A14" s="2700"/>
      <c r="B14" s="2707"/>
      <c r="C14" s="2708">
        <v>43881</v>
      </c>
      <c r="D14" s="2707">
        <v>4.05</v>
      </c>
      <c r="E14" s="2707">
        <v>4.05</v>
      </c>
      <c r="F14" s="2707">
        <v>4.05</v>
      </c>
      <c r="G14" s="2707">
        <v>4.05</v>
      </c>
      <c r="H14" s="2707">
        <v>4.75</v>
      </c>
      <c r="I14" s="2707"/>
      <c r="J14" s="2707"/>
      <c r="L14" s="2707"/>
      <c r="M14" s="2708">
        <v>42242</v>
      </c>
      <c r="N14" s="2707">
        <v>0.35</v>
      </c>
      <c r="O14" s="2707">
        <v>1.35</v>
      </c>
      <c r="P14" s="2707">
        <v>1.55</v>
      </c>
      <c r="Q14" s="2707">
        <v>1.75</v>
      </c>
      <c r="R14" s="2707">
        <v>2.35</v>
      </c>
      <c r="S14" s="2707">
        <v>3</v>
      </c>
      <c r="T14" s="2707"/>
      <c r="U14" s="2707"/>
      <c r="V14" s="2707"/>
      <c r="W14" s="2707"/>
      <c r="X14" s="2707"/>
      <c r="Y14" s="2707"/>
      <c r="Z14" s="2707"/>
    </row>
    <row r="15" spans="1:257" ht="14.25">
      <c r="A15" s="2700"/>
      <c r="B15" s="2707"/>
      <c r="C15" s="2708">
        <v>43789</v>
      </c>
      <c r="D15" s="2707">
        <v>4.1500000000000004</v>
      </c>
      <c r="E15" s="2707">
        <v>4.1500000000000004</v>
      </c>
      <c r="F15" s="2707">
        <v>4.1500000000000004</v>
      </c>
      <c r="G15" s="2707">
        <v>4.1500000000000004</v>
      </c>
      <c r="H15" s="2707">
        <v>4.8</v>
      </c>
      <c r="I15" s="2707"/>
      <c r="J15" s="2707"/>
      <c r="L15" s="2707"/>
      <c r="M15" s="2708">
        <v>42183</v>
      </c>
      <c r="N15" s="2707">
        <v>0.35</v>
      </c>
      <c r="O15" s="2707">
        <v>1.6</v>
      </c>
      <c r="P15" s="2707">
        <v>1.8</v>
      </c>
      <c r="Q15" s="2707">
        <v>2</v>
      </c>
      <c r="R15" s="2707">
        <v>2.6</v>
      </c>
      <c r="S15" s="2707">
        <v>3.25</v>
      </c>
      <c r="T15" s="2707"/>
      <c r="U15" s="2707"/>
      <c r="V15" s="2707"/>
      <c r="W15" s="2707"/>
      <c r="X15" s="2707"/>
      <c r="Y15" s="2707"/>
      <c r="Z15" s="2707"/>
    </row>
    <row r="16" spans="1:257" ht="14.25">
      <c r="A16" s="2700"/>
      <c r="B16" s="2707"/>
      <c r="C16" s="2708">
        <v>43728</v>
      </c>
      <c r="D16" s="2707">
        <v>4.2</v>
      </c>
      <c r="E16" s="2707">
        <v>4.2</v>
      </c>
      <c r="F16" s="2707">
        <v>4.2</v>
      </c>
      <c r="G16" s="2707">
        <v>4.2</v>
      </c>
      <c r="H16" s="2707">
        <v>4.8499999999999996</v>
      </c>
      <c r="I16" s="2707"/>
      <c r="J16" s="2707"/>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1:256" ht="14.25">
      <c r="A17" s="2700"/>
      <c r="B17" s="2701" t="s">
        <v>2991</v>
      </c>
      <c r="C17" s="2709">
        <v>43697</v>
      </c>
      <c r="D17" s="3274">
        <v>4.25</v>
      </c>
      <c r="E17" s="3274">
        <v>4.25</v>
      </c>
      <c r="F17" s="3274">
        <v>4.25</v>
      </c>
      <c r="G17" s="3274">
        <v>4.25</v>
      </c>
      <c r="H17" s="3274">
        <v>4.8499999999999996</v>
      </c>
      <c r="I17" s="3274"/>
      <c r="J17" s="3274"/>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1:256" s="3282" customFormat="1" ht="15">
      <c r="A18" s="3277"/>
      <c r="B18" s="3278"/>
      <c r="C18" s="3279">
        <v>42301</v>
      </c>
      <c r="D18" s="3280">
        <v>4.3499999999999996</v>
      </c>
      <c r="E18" s="3280">
        <v>4.3499999999999996</v>
      </c>
      <c r="F18" s="3280">
        <v>4.75</v>
      </c>
      <c r="G18" s="3280">
        <v>4.75</v>
      </c>
      <c r="H18" s="3280">
        <v>4.9000000000000004</v>
      </c>
      <c r="I18" s="3280"/>
      <c r="J18" s="3280"/>
      <c r="K18" s="2694"/>
      <c r="L18" s="3280"/>
      <c r="M18" s="3279">
        <v>41965</v>
      </c>
      <c r="N18" s="3280">
        <v>0.35</v>
      </c>
      <c r="O18" s="3280">
        <v>2.35</v>
      </c>
      <c r="P18" s="3280">
        <v>2.5499999999999998</v>
      </c>
      <c r="Q18" s="3280">
        <v>2.75</v>
      </c>
      <c r="R18" s="3280">
        <v>3.35</v>
      </c>
      <c r="S18" s="3280">
        <v>4</v>
      </c>
      <c r="T18" s="3280">
        <v>4.75</v>
      </c>
      <c r="U18" s="3281">
        <v>2.35</v>
      </c>
      <c r="V18" s="3281">
        <v>2.5499999999999998</v>
      </c>
      <c r="W18" s="3281">
        <v>2.75</v>
      </c>
      <c r="X18" s="3280"/>
      <c r="Y18" s="3281">
        <v>0.8</v>
      </c>
      <c r="Z18" s="3281">
        <v>1.35</v>
      </c>
      <c r="AA18" s="2699"/>
      <c r="AB18" s="2699"/>
      <c r="AC18" s="2699"/>
      <c r="AD18" s="2699"/>
      <c r="AE18" s="2699"/>
      <c r="AF18" s="2699"/>
      <c r="AG18" s="2699"/>
      <c r="AH18" s="2699"/>
      <c r="AI18" s="2699"/>
      <c r="AJ18" s="2699"/>
      <c r="AK18" s="2699"/>
      <c r="AL18" s="2699"/>
      <c r="AM18" s="2699"/>
      <c r="AN18" s="2699"/>
      <c r="AO18" s="2699"/>
      <c r="AP18" s="2699"/>
      <c r="AQ18" s="2699"/>
      <c r="AR18" s="2699"/>
      <c r="AS18" s="2699"/>
      <c r="AT18" s="2699"/>
      <c r="AU18" s="2699"/>
      <c r="AV18" s="2699"/>
      <c r="AW18" s="2699"/>
      <c r="AX18" s="2699"/>
      <c r="AY18" s="2699"/>
      <c r="AZ18" s="2699"/>
      <c r="BA18" s="2699"/>
      <c r="BB18" s="2699"/>
      <c r="BC18" s="2699"/>
      <c r="BD18" s="2699"/>
      <c r="BE18" s="2699"/>
      <c r="BF18" s="2699"/>
      <c r="BG18" s="2699"/>
      <c r="BH18" s="2699"/>
      <c r="BI18" s="2699"/>
      <c r="BJ18" s="2699"/>
      <c r="BK18" s="2699"/>
      <c r="BL18" s="2699"/>
      <c r="BM18" s="2699"/>
      <c r="BN18" s="2699"/>
      <c r="BO18" s="2699"/>
      <c r="BP18" s="2699"/>
      <c r="BQ18" s="2699"/>
      <c r="BR18" s="2699"/>
      <c r="BS18" s="2699"/>
      <c r="BT18" s="2699"/>
      <c r="BU18" s="2699"/>
      <c r="BV18" s="2699"/>
      <c r="BW18" s="2699"/>
      <c r="BX18" s="2699"/>
      <c r="BY18" s="2699"/>
      <c r="BZ18" s="2699"/>
      <c r="CA18" s="2699"/>
      <c r="CB18" s="2699"/>
      <c r="CC18" s="2699"/>
      <c r="CD18" s="2699"/>
      <c r="CE18" s="2699"/>
      <c r="CF18" s="2699"/>
      <c r="CG18" s="2699"/>
      <c r="CH18" s="2699"/>
      <c r="CI18" s="2699"/>
      <c r="CJ18" s="2699"/>
      <c r="CK18" s="2699"/>
      <c r="CL18" s="2699"/>
      <c r="CM18" s="2699"/>
      <c r="CN18" s="2699"/>
      <c r="CO18" s="2699"/>
      <c r="CP18" s="2699"/>
      <c r="CQ18" s="2699"/>
      <c r="CR18" s="2699"/>
      <c r="CS18" s="2699"/>
      <c r="CT18" s="2699"/>
      <c r="CU18" s="2699"/>
      <c r="CV18" s="2699"/>
      <c r="CW18" s="2699"/>
      <c r="CX18" s="2699"/>
      <c r="CY18" s="2699"/>
      <c r="CZ18" s="2699"/>
      <c r="DA18" s="2699"/>
      <c r="DB18" s="2699"/>
      <c r="DC18" s="2699"/>
      <c r="DD18" s="2699"/>
      <c r="DE18" s="2699"/>
      <c r="DF18" s="2699"/>
      <c r="DG18" s="2699"/>
      <c r="DH18" s="2699"/>
      <c r="DI18" s="2699"/>
      <c r="DJ18" s="2699"/>
      <c r="DK18" s="2699"/>
      <c r="DL18" s="2699"/>
      <c r="DM18" s="2699"/>
      <c r="DN18" s="2699"/>
      <c r="DO18" s="2699"/>
      <c r="DP18" s="2699"/>
      <c r="DQ18" s="2699"/>
      <c r="DR18" s="2699"/>
      <c r="DS18" s="2699"/>
      <c r="DT18" s="2699"/>
      <c r="DU18" s="2699"/>
      <c r="DV18" s="2699"/>
      <c r="DW18" s="2699"/>
      <c r="DX18" s="2699"/>
      <c r="DY18" s="2699"/>
      <c r="DZ18" s="2699"/>
      <c r="EA18" s="2699"/>
      <c r="EB18" s="2699"/>
      <c r="EC18" s="2699"/>
      <c r="ED18" s="2699"/>
      <c r="EE18" s="2699"/>
      <c r="EF18" s="2699"/>
      <c r="EG18" s="2699"/>
      <c r="EH18" s="2699"/>
      <c r="EI18" s="2699"/>
      <c r="EJ18" s="2699"/>
      <c r="EK18" s="2699"/>
      <c r="EL18" s="2699"/>
      <c r="EM18" s="2699"/>
      <c r="EN18" s="2699"/>
      <c r="EO18" s="2699"/>
      <c r="EP18" s="2699"/>
      <c r="EQ18" s="2699"/>
      <c r="ER18" s="2699"/>
      <c r="ES18" s="2699"/>
      <c r="ET18" s="2699"/>
      <c r="EU18" s="2699"/>
      <c r="EV18" s="2699"/>
      <c r="EW18" s="2699"/>
      <c r="EX18" s="2699"/>
      <c r="EY18" s="2699"/>
      <c r="EZ18" s="2699"/>
      <c r="FA18" s="2699"/>
      <c r="FB18" s="2699"/>
      <c r="FC18" s="2699"/>
      <c r="FD18" s="2699"/>
      <c r="FE18" s="2699"/>
      <c r="FF18" s="2699"/>
      <c r="FG18" s="2699"/>
      <c r="FH18" s="2699"/>
      <c r="FI18" s="2699"/>
      <c r="FJ18" s="2699"/>
      <c r="FK18" s="2699"/>
      <c r="FL18" s="2699"/>
      <c r="FM18" s="2699"/>
      <c r="FN18" s="2699"/>
      <c r="FO18" s="2699"/>
      <c r="FP18" s="2699"/>
      <c r="FQ18" s="2699"/>
      <c r="FR18" s="2699"/>
      <c r="FS18" s="2699"/>
      <c r="FT18" s="2699"/>
      <c r="FU18" s="2699"/>
      <c r="FV18" s="2699"/>
      <c r="FW18" s="2699"/>
      <c r="FX18" s="2699"/>
      <c r="FY18" s="2699"/>
      <c r="FZ18" s="2699"/>
      <c r="GA18" s="2699"/>
      <c r="GB18" s="2699"/>
      <c r="GC18" s="2699"/>
      <c r="GD18" s="2699"/>
      <c r="GE18" s="2699"/>
      <c r="GF18" s="2699"/>
      <c r="GG18" s="2699"/>
      <c r="GH18" s="2699"/>
      <c r="GI18" s="2699"/>
      <c r="GJ18" s="2699"/>
      <c r="GK18" s="2699"/>
      <c r="GL18" s="2699"/>
      <c r="GM18" s="2699"/>
      <c r="GN18" s="2699"/>
      <c r="GO18" s="2699"/>
      <c r="GP18" s="2699"/>
      <c r="GQ18" s="2699"/>
      <c r="GR18" s="2699"/>
      <c r="GS18" s="2699"/>
      <c r="GT18" s="2699"/>
      <c r="GU18" s="2699"/>
      <c r="GV18" s="2699"/>
      <c r="GW18" s="2699"/>
      <c r="GX18" s="2699"/>
      <c r="GY18" s="2699"/>
      <c r="GZ18" s="2699"/>
      <c r="HA18" s="2699"/>
      <c r="HB18" s="2699"/>
      <c r="HC18" s="2699"/>
      <c r="HD18" s="2699"/>
      <c r="HE18" s="2699"/>
      <c r="HF18" s="2699"/>
      <c r="HG18" s="2699"/>
      <c r="HH18" s="2699"/>
      <c r="HI18" s="2699"/>
      <c r="HJ18" s="2699"/>
      <c r="HK18" s="2699"/>
      <c r="HL18" s="2699"/>
      <c r="HM18" s="2699"/>
      <c r="HN18" s="2699"/>
      <c r="HO18" s="2699"/>
      <c r="HP18" s="2699"/>
      <c r="HQ18" s="2699"/>
      <c r="HR18" s="2699"/>
      <c r="HS18" s="2699"/>
      <c r="HT18" s="2699"/>
      <c r="HU18" s="2699"/>
      <c r="HV18" s="2699"/>
      <c r="HW18" s="2699"/>
      <c r="HX18" s="2699"/>
      <c r="HY18" s="2699"/>
      <c r="HZ18" s="2699"/>
      <c r="IA18" s="2699"/>
      <c r="IB18" s="2699"/>
      <c r="IC18" s="2699"/>
      <c r="ID18" s="2699"/>
      <c r="IE18" s="2699"/>
      <c r="IF18" s="2699"/>
      <c r="IG18" s="2699"/>
      <c r="IH18" s="2699"/>
      <c r="II18" s="2699"/>
      <c r="IJ18" s="2699"/>
      <c r="IK18" s="2699"/>
      <c r="IL18" s="2699"/>
      <c r="IM18" s="2699"/>
      <c r="IN18" s="2699"/>
      <c r="IO18" s="2699"/>
      <c r="IP18" s="2699"/>
      <c r="IQ18" s="2699"/>
      <c r="IR18" s="2699"/>
      <c r="IS18" s="2699"/>
      <c r="IT18" s="2699"/>
      <c r="IU18" s="2699"/>
      <c r="IV18" s="2699"/>
    </row>
    <row r="19" spans="1:256">
      <c r="B19" s="2707"/>
      <c r="C19" s="2708">
        <v>42242</v>
      </c>
      <c r="D19" s="2707">
        <v>4.5999999999999996</v>
      </c>
      <c r="E19" s="2707">
        <v>4.5999999999999996</v>
      </c>
      <c r="F19" s="2707">
        <v>5</v>
      </c>
      <c r="G19" s="2707">
        <v>5</v>
      </c>
      <c r="H19" s="2707">
        <v>5.15</v>
      </c>
      <c r="I19" s="2707">
        <v>2.75</v>
      </c>
      <c r="J19" s="2707">
        <v>3.25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1:256">
      <c r="B20" s="2707"/>
      <c r="C20" s="2708">
        <v>42183</v>
      </c>
      <c r="D20" s="2707">
        <v>4.8499999999999996</v>
      </c>
      <c r="E20" s="2707">
        <v>4.8499999999999996</v>
      </c>
      <c r="F20" s="2707">
        <v>5.25</v>
      </c>
      <c r="G20" s="2707">
        <v>5.25</v>
      </c>
      <c r="H20" s="2707">
        <v>5.4</v>
      </c>
      <c r="I20" s="2707">
        <v>3</v>
      </c>
      <c r="J20" s="2707">
        <v>3.5</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1:256">
      <c r="B21" s="2707"/>
      <c r="C21" s="2708">
        <v>42135</v>
      </c>
      <c r="D21" s="2707">
        <v>5.0999999999999996</v>
      </c>
      <c r="E21" s="2707">
        <v>5.0999999999999996</v>
      </c>
      <c r="F21" s="2707">
        <v>5.5</v>
      </c>
      <c r="G21" s="2707">
        <v>5.5</v>
      </c>
      <c r="H21" s="2707">
        <v>5.65</v>
      </c>
      <c r="I21" s="2707">
        <v>3.25</v>
      </c>
      <c r="J21" s="2707">
        <v>3.75</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1:256">
      <c r="B22" s="2707"/>
      <c r="C22" s="2708">
        <v>42064</v>
      </c>
      <c r="D22" s="2707">
        <v>5.35</v>
      </c>
      <c r="E22" s="2707">
        <v>5.35</v>
      </c>
      <c r="F22" s="2707">
        <v>5.75</v>
      </c>
      <c r="G22" s="2707">
        <v>5.75</v>
      </c>
      <c r="H22" s="2707">
        <v>5.9</v>
      </c>
      <c r="I22" s="2707"/>
      <c r="J22" s="2707"/>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1:256">
      <c r="B23" s="2707"/>
      <c r="C23" s="2708">
        <v>41965</v>
      </c>
      <c r="D23" s="2707">
        <v>5.6</v>
      </c>
      <c r="E23" s="2707">
        <v>5.6</v>
      </c>
      <c r="F23" s="2707">
        <v>6</v>
      </c>
      <c r="G23" s="2707">
        <v>6</v>
      </c>
      <c r="H23" s="2707">
        <v>6.15</v>
      </c>
      <c r="I23" s="2707"/>
      <c r="J23" s="2707"/>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1:256">
      <c r="B24" s="2707"/>
      <c r="C24" s="2708">
        <v>41096</v>
      </c>
      <c r="D24" s="2707">
        <v>5.6</v>
      </c>
      <c r="E24" s="2707">
        <v>6</v>
      </c>
      <c r="F24" s="2707">
        <v>6.15</v>
      </c>
      <c r="G24" s="2707">
        <v>6.4</v>
      </c>
      <c r="H24" s="2707">
        <v>6.55</v>
      </c>
      <c r="I24" s="2707">
        <v>4</v>
      </c>
      <c r="J24" s="2707">
        <v>4.5</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1:256">
      <c r="B25" s="2707"/>
      <c r="C25" s="2708">
        <v>41068</v>
      </c>
      <c r="D25" s="2707">
        <v>5.85</v>
      </c>
      <c r="E25" s="2707">
        <v>6.31</v>
      </c>
      <c r="F25" s="2707">
        <v>6.4</v>
      </c>
      <c r="G25" s="2707">
        <v>6.65</v>
      </c>
      <c r="H25" s="2707">
        <v>6.8</v>
      </c>
      <c r="I25" s="2707">
        <v>4.2</v>
      </c>
      <c r="J25" s="2707">
        <v>4.7</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1:256">
      <c r="B26" s="2707"/>
      <c r="C26" s="2708">
        <v>40731</v>
      </c>
      <c r="D26" s="2707">
        <v>6.1</v>
      </c>
      <c r="E26" s="2707">
        <v>6.56</v>
      </c>
      <c r="F26" s="2707">
        <v>6.65</v>
      </c>
      <c r="G26" s="2707">
        <v>6.9</v>
      </c>
      <c r="H26" s="2707">
        <v>7.05</v>
      </c>
      <c r="I26" s="2707">
        <v>4.45</v>
      </c>
      <c r="J26" s="2707">
        <v>4.9000000000000004</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1:256">
      <c r="B27" s="2707"/>
      <c r="C27" s="2708">
        <v>40639</v>
      </c>
      <c r="D27" s="2707">
        <v>5.85</v>
      </c>
      <c r="E27" s="2707">
        <v>6.31</v>
      </c>
      <c r="F27" s="2707">
        <v>6.4</v>
      </c>
      <c r="G27" s="2707">
        <v>6.65</v>
      </c>
      <c r="H27" s="2707">
        <v>6.8</v>
      </c>
      <c r="I27" s="2707">
        <v>4.2</v>
      </c>
      <c r="J27" s="2707">
        <v>4.7</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1:256">
      <c r="B28" s="2707"/>
      <c r="C28" s="2708">
        <v>40583</v>
      </c>
      <c r="D28" s="2707">
        <v>5.6</v>
      </c>
      <c r="E28" s="2707">
        <v>6.06</v>
      </c>
      <c r="F28" s="2707">
        <v>6.1</v>
      </c>
      <c r="G28" s="2707">
        <v>6.45</v>
      </c>
      <c r="H28" s="2707">
        <v>6.6</v>
      </c>
      <c r="I28" s="2707">
        <v>4</v>
      </c>
      <c r="J28" s="2707">
        <v>4.5</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1:256">
      <c r="B29" s="2707"/>
      <c r="C29" s="2708">
        <v>40538</v>
      </c>
      <c r="D29" s="2707">
        <v>5.35</v>
      </c>
      <c r="E29" s="2707">
        <v>5.81</v>
      </c>
      <c r="F29" s="2707">
        <v>5.85</v>
      </c>
      <c r="G29" s="2707">
        <v>6.22</v>
      </c>
      <c r="H29" s="2707">
        <v>6.4</v>
      </c>
      <c r="I29" s="2707">
        <v>3.75</v>
      </c>
      <c r="J29" s="2707">
        <v>4.3</v>
      </c>
      <c r="L29" s="2707"/>
      <c r="M29" s="2709">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1:256">
      <c r="B30" s="2707"/>
      <c r="C30" s="2708">
        <v>40471</v>
      </c>
      <c r="D30" s="2707">
        <v>5.0999999999999996</v>
      </c>
      <c r="E30" s="2707">
        <v>5.56</v>
      </c>
      <c r="F30" s="2707">
        <v>5.6</v>
      </c>
      <c r="G30" s="2707">
        <v>5.96</v>
      </c>
      <c r="H30" s="2707">
        <v>6.14</v>
      </c>
      <c r="I30" s="2707">
        <v>3.5</v>
      </c>
      <c r="J30" s="2707">
        <v>4.05</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1:256">
      <c r="B31" s="2707"/>
      <c r="C31" s="2708">
        <v>39805</v>
      </c>
      <c r="D31" s="2707">
        <v>4.8600000000000003</v>
      </c>
      <c r="E31" s="2707">
        <v>5.31</v>
      </c>
      <c r="F31" s="2707">
        <v>5.4</v>
      </c>
      <c r="G31" s="2707">
        <v>5.76</v>
      </c>
      <c r="H31" s="2707">
        <v>5.94</v>
      </c>
      <c r="I31" s="2707">
        <v>3.33</v>
      </c>
      <c r="J31" s="2707">
        <v>3.87</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1:256">
      <c r="B32" s="2707"/>
      <c r="C32" s="2708">
        <v>39779</v>
      </c>
      <c r="D32" s="2707">
        <v>5.04</v>
      </c>
      <c r="E32" s="2707">
        <v>5.58</v>
      </c>
      <c r="F32" s="2707">
        <v>5.67</v>
      </c>
      <c r="G32" s="2707">
        <v>5.94</v>
      </c>
      <c r="H32" s="2707">
        <v>6.12</v>
      </c>
      <c r="I32" s="2707">
        <v>3.51</v>
      </c>
      <c r="J32" s="2707">
        <v>4.05</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39751</v>
      </c>
      <c r="D33" s="2707">
        <v>6.03</v>
      </c>
      <c r="E33" s="2707">
        <v>6.66</v>
      </c>
      <c r="F33" s="2707">
        <v>6.75</v>
      </c>
      <c r="G33" s="2707">
        <v>7.02</v>
      </c>
      <c r="H33" s="2707">
        <v>7.2</v>
      </c>
      <c r="I33" s="2707">
        <v>4.05</v>
      </c>
      <c r="J33" s="2707">
        <v>4.59</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9">
        <v>39748</v>
      </c>
      <c r="D34" s="2707">
        <v>6.12</v>
      </c>
      <c r="E34" s="2707">
        <v>6.93</v>
      </c>
      <c r="F34" s="2707">
        <v>7.02</v>
      </c>
      <c r="G34" s="2707">
        <v>7.29</v>
      </c>
      <c r="H34" s="2707">
        <v>7.47</v>
      </c>
      <c r="I34" s="2707">
        <v>4.05</v>
      </c>
      <c r="J34" s="2707">
        <v>4.59</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39730</v>
      </c>
      <c r="D35" s="2707">
        <v>6.12</v>
      </c>
      <c r="E35" s="2707">
        <v>6.93</v>
      </c>
      <c r="F35" s="2707">
        <v>7.02</v>
      </c>
      <c r="G35" s="2707">
        <v>7.29</v>
      </c>
      <c r="H35" s="2707">
        <v>7.47</v>
      </c>
      <c r="I35" s="2707">
        <v>4.32</v>
      </c>
      <c r="J35" s="2707">
        <v>4.8600000000000003</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39707</v>
      </c>
      <c r="D36" s="2707">
        <v>6.21</v>
      </c>
      <c r="E36" s="2707">
        <v>7.2</v>
      </c>
      <c r="F36" s="2707">
        <v>7.29</v>
      </c>
      <c r="G36" s="2707">
        <v>7.56</v>
      </c>
      <c r="H36" s="2707">
        <v>7.74</v>
      </c>
      <c r="I36" s="2707">
        <v>4.59</v>
      </c>
      <c r="J36" s="2707">
        <v>5.13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39437</v>
      </c>
      <c r="D37" s="2707">
        <v>6.57</v>
      </c>
      <c r="E37" s="2707">
        <v>7.47</v>
      </c>
      <c r="F37" s="2707">
        <v>7.56</v>
      </c>
      <c r="G37" s="2707">
        <v>7.74</v>
      </c>
      <c r="H37" s="2707">
        <v>7.83</v>
      </c>
      <c r="I37" s="2707">
        <v>4.7699999999999996</v>
      </c>
      <c r="J37" s="2707">
        <v>5.22</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39340</v>
      </c>
      <c r="D38" s="2707">
        <v>6.48</v>
      </c>
      <c r="E38" s="2707">
        <v>7.29</v>
      </c>
      <c r="F38" s="2707">
        <v>7.47</v>
      </c>
      <c r="G38" s="2707">
        <v>7.65</v>
      </c>
      <c r="H38" s="2707">
        <v>7.83</v>
      </c>
      <c r="I38" s="2707">
        <v>4.7699999999999996</v>
      </c>
      <c r="J38" s="2707">
        <v>5.22</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39316</v>
      </c>
      <c r="D39" s="2707">
        <v>6.21</v>
      </c>
      <c r="E39" s="2707">
        <v>7.02</v>
      </c>
      <c r="F39" s="2707">
        <v>7.2</v>
      </c>
      <c r="G39" s="2707">
        <v>7.38</v>
      </c>
      <c r="H39" s="2707">
        <v>7.56</v>
      </c>
      <c r="I39" s="2707">
        <v>4.59</v>
      </c>
      <c r="J39" s="2707">
        <v>5.04</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39284</v>
      </c>
      <c r="D40" s="2707">
        <v>6.03</v>
      </c>
      <c r="E40" s="2707">
        <v>6.84</v>
      </c>
      <c r="F40" s="2707">
        <v>7.02</v>
      </c>
      <c r="G40" s="2707">
        <v>7.2</v>
      </c>
      <c r="H40" s="2707">
        <v>7.38</v>
      </c>
      <c r="I40" s="2707">
        <v>4.5</v>
      </c>
      <c r="J40" s="2707">
        <v>4.95</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39221</v>
      </c>
      <c r="D41" s="2707">
        <v>5.85</v>
      </c>
      <c r="E41" s="2707">
        <v>6.57</v>
      </c>
      <c r="F41" s="2707">
        <v>6.75</v>
      </c>
      <c r="G41" s="2707">
        <v>6.93</v>
      </c>
      <c r="H41" s="2707">
        <v>7.2</v>
      </c>
      <c r="I41" s="2707">
        <v>4.41</v>
      </c>
      <c r="J41" s="2707">
        <v>4.8600000000000003</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39159</v>
      </c>
      <c r="D42" s="2707">
        <v>5.67</v>
      </c>
      <c r="E42" s="2707">
        <v>6.39</v>
      </c>
      <c r="F42" s="2707">
        <v>6.57</v>
      </c>
      <c r="G42" s="2707">
        <v>6.75</v>
      </c>
      <c r="H42" s="2707">
        <v>7.11</v>
      </c>
      <c r="I42" s="2707">
        <v>4.32</v>
      </c>
      <c r="J42" s="2707">
        <v>4.7699999999999996</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2792</v>
      </c>
      <c r="Y42" s="2707" t="s">
        <v>2792</v>
      </c>
      <c r="Z42" s="2707" t="s">
        <v>2792</v>
      </c>
    </row>
    <row r="43" spans="2:26">
      <c r="B43" s="2707"/>
      <c r="C43" s="2708">
        <v>38948</v>
      </c>
      <c r="D43" s="2707">
        <v>5.58</v>
      </c>
      <c r="E43" s="2707">
        <v>6.12</v>
      </c>
      <c r="F43" s="2707">
        <v>6.3</v>
      </c>
      <c r="G43" s="2707">
        <v>6.48</v>
      </c>
      <c r="H43" s="2707">
        <v>6.84</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2792</v>
      </c>
      <c r="Y43" s="2707" t="s">
        <v>2792</v>
      </c>
      <c r="Z43" s="2707" t="s">
        <v>2792</v>
      </c>
    </row>
    <row r="44" spans="2:26">
      <c r="B44" s="2707"/>
      <c r="C44" s="2708">
        <v>38835</v>
      </c>
      <c r="D44" s="2707">
        <v>5.4</v>
      </c>
      <c r="E44" s="2707">
        <v>5.85</v>
      </c>
      <c r="F44" s="2707">
        <v>6.03</v>
      </c>
      <c r="G44" s="2707">
        <v>6.12</v>
      </c>
      <c r="H44" s="2707">
        <v>6.39</v>
      </c>
      <c r="I44" s="2707">
        <v>4.1399999999999997</v>
      </c>
      <c r="J44" s="2707">
        <v>4.59</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2792</v>
      </c>
      <c r="Y44" s="2707" t="s">
        <v>2792</v>
      </c>
      <c r="Z44" s="2707" t="s">
        <v>2792</v>
      </c>
    </row>
    <row r="45" spans="2:26">
      <c r="B45" s="2707"/>
      <c r="C45" s="2708">
        <v>38428</v>
      </c>
      <c r="D45" s="2707">
        <v>5.22</v>
      </c>
      <c r="E45" s="2707">
        <v>5.58</v>
      </c>
      <c r="F45" s="2707">
        <v>5.76</v>
      </c>
      <c r="G45" s="2707">
        <v>5.85</v>
      </c>
      <c r="H45" s="2707">
        <v>6.12</v>
      </c>
      <c r="I45" s="2707">
        <v>3.96</v>
      </c>
      <c r="J45" s="2707">
        <v>4.41</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2792</v>
      </c>
      <c r="Y45" s="2707" t="s">
        <v>2792</v>
      </c>
      <c r="Z45" s="2707" t="s">
        <v>2792</v>
      </c>
    </row>
    <row r="46" spans="2:26">
      <c r="B46" s="2707"/>
      <c r="C46" s="2708">
        <v>38289</v>
      </c>
      <c r="D46" s="2707">
        <v>5.22</v>
      </c>
      <c r="E46" s="2707">
        <v>5.58</v>
      </c>
      <c r="F46" s="2707">
        <v>5.76</v>
      </c>
      <c r="G46" s="2707">
        <v>5.85</v>
      </c>
      <c r="H46" s="2707">
        <v>6.12</v>
      </c>
      <c r="I46" s="2707">
        <v>3.78</v>
      </c>
      <c r="J46" s="2707">
        <v>4.2300000000000004</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2792</v>
      </c>
      <c r="Y46" s="2707" t="s">
        <v>2792</v>
      </c>
      <c r="Z46" s="2707" t="s">
        <v>2792</v>
      </c>
    </row>
    <row r="47" spans="2:26">
      <c r="B47" s="2707"/>
      <c r="C47" s="2708">
        <v>37308</v>
      </c>
      <c r="D47" s="2707">
        <v>5.04</v>
      </c>
      <c r="E47" s="2707">
        <v>5.31</v>
      </c>
      <c r="F47" s="2707">
        <v>5.49</v>
      </c>
      <c r="G47" s="2707">
        <v>5.58</v>
      </c>
      <c r="H47" s="2707">
        <v>5.76</v>
      </c>
      <c r="I47" s="2707">
        <v>3.6</v>
      </c>
      <c r="J47" s="2707">
        <v>4.05</v>
      </c>
      <c r="L47" s="2707"/>
      <c r="M47" s="2708">
        <v>34161</v>
      </c>
      <c r="N47" s="2707">
        <v>3.15</v>
      </c>
      <c r="O47" s="2707">
        <v>6.66</v>
      </c>
      <c r="P47" s="2707">
        <v>9</v>
      </c>
      <c r="Q47" s="2707">
        <v>10.98</v>
      </c>
      <c r="R47" s="2707">
        <v>11.7</v>
      </c>
      <c r="S47" s="2707">
        <v>12.24</v>
      </c>
      <c r="T47" s="2707">
        <v>13.86</v>
      </c>
      <c r="U47" s="2707">
        <v>9</v>
      </c>
      <c r="V47" s="2707">
        <v>10.98</v>
      </c>
      <c r="W47" s="2707">
        <v>12.24</v>
      </c>
      <c r="X47" s="2707" t="s">
        <v>2792</v>
      </c>
      <c r="Y47" s="2707" t="s">
        <v>2792</v>
      </c>
      <c r="Z47" s="2707" t="s">
        <v>2792</v>
      </c>
    </row>
    <row r="48" spans="2:26">
      <c r="B48" s="2707"/>
      <c r="C48" s="2708">
        <v>36321</v>
      </c>
      <c r="D48" s="2707">
        <v>5.58</v>
      </c>
      <c r="E48" s="2707">
        <v>5.85</v>
      </c>
      <c r="F48" s="2707">
        <v>5.94</v>
      </c>
      <c r="G48" s="2707">
        <v>6.03</v>
      </c>
      <c r="H48" s="2707">
        <v>6.21</v>
      </c>
      <c r="I48" s="2707">
        <v>4.1399999999999997</v>
      </c>
      <c r="J48" s="2707">
        <v>4.59</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2792</v>
      </c>
      <c r="Y48" s="2707" t="s">
        <v>2792</v>
      </c>
      <c r="Z48" s="2707" t="s">
        <v>2792</v>
      </c>
    </row>
    <row r="49" spans="2:26">
      <c r="B49" s="2707"/>
      <c r="C49" s="2708">
        <v>36136</v>
      </c>
      <c r="D49" s="2707">
        <v>6.12</v>
      </c>
      <c r="E49" s="2707">
        <v>6.39</v>
      </c>
      <c r="F49" s="2707">
        <v>6.66</v>
      </c>
      <c r="G49" s="2707">
        <v>7.2</v>
      </c>
      <c r="H49" s="2707">
        <v>7.56</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2792</v>
      </c>
      <c r="Y49" s="2707" t="s">
        <v>2792</v>
      </c>
      <c r="Z49" s="2707" t="s">
        <v>2792</v>
      </c>
    </row>
    <row r="50" spans="2:26">
      <c r="B50" s="2707"/>
      <c r="C50" s="2708">
        <v>35977</v>
      </c>
      <c r="D50" s="2707">
        <v>6.57</v>
      </c>
      <c r="E50" s="2707">
        <v>6.93</v>
      </c>
      <c r="F50" s="2707">
        <v>7.11</v>
      </c>
      <c r="G50" s="2707">
        <v>7.65</v>
      </c>
      <c r="H50" s="2707">
        <v>8.01</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2792</v>
      </c>
      <c r="Y50" s="2707" t="s">
        <v>2792</v>
      </c>
      <c r="Z50" s="2707" t="s">
        <v>2792</v>
      </c>
    </row>
    <row r="51" spans="2:26">
      <c r="B51" s="2707"/>
      <c r="C51" s="2708">
        <v>35879</v>
      </c>
      <c r="D51" s="2707">
        <v>7.02</v>
      </c>
      <c r="E51" s="2707">
        <v>7.92</v>
      </c>
      <c r="F51" s="2707">
        <v>9</v>
      </c>
      <c r="G51" s="2707">
        <v>9.7200000000000006</v>
      </c>
      <c r="H51" s="2707">
        <v>10.35</v>
      </c>
      <c r="I51" s="2707">
        <v>0</v>
      </c>
      <c r="J51" s="2707">
        <v>0</v>
      </c>
      <c r="L51" s="2707"/>
      <c r="M51" s="2708">
        <v>32978</v>
      </c>
      <c r="N51" s="2707">
        <v>2.88</v>
      </c>
      <c r="O51" s="2707">
        <v>6.3</v>
      </c>
      <c r="P51" s="2707">
        <v>7.74</v>
      </c>
      <c r="Q51" s="2707">
        <v>10.08</v>
      </c>
      <c r="R51" s="2707">
        <v>10.98</v>
      </c>
      <c r="S51" s="2707">
        <v>11.88</v>
      </c>
      <c r="T51" s="2707">
        <v>13.68</v>
      </c>
      <c r="U51" s="2707" t="s">
        <v>2792</v>
      </c>
      <c r="V51" s="2707" t="s">
        <v>2792</v>
      </c>
      <c r="W51" s="2707" t="s">
        <v>2792</v>
      </c>
      <c r="X51" s="2707" t="s">
        <v>2792</v>
      </c>
      <c r="Y51" s="2707" t="s">
        <v>2792</v>
      </c>
      <c r="Z51" s="2707" t="s">
        <v>2792</v>
      </c>
    </row>
    <row r="52" spans="2:26">
      <c r="B52" s="2707"/>
      <c r="C52" s="2708">
        <v>35726</v>
      </c>
      <c r="D52" s="2707">
        <v>7.65</v>
      </c>
      <c r="E52" s="2707">
        <v>8.64</v>
      </c>
      <c r="F52" s="2707">
        <v>9.36</v>
      </c>
      <c r="G52" s="2707">
        <v>9.9</v>
      </c>
      <c r="H52" s="2707">
        <v>10.53</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35300</v>
      </c>
      <c r="D53" s="2707">
        <v>9.18</v>
      </c>
      <c r="E53" s="2707">
        <v>10.08</v>
      </c>
      <c r="F53" s="2707">
        <v>10.98</v>
      </c>
      <c r="G53" s="2707">
        <v>11.7</v>
      </c>
      <c r="H53" s="2707">
        <v>12.42</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35186</v>
      </c>
      <c r="D54" s="2707">
        <v>9.7200000000000006</v>
      </c>
      <c r="E54" s="2707">
        <v>10.98</v>
      </c>
      <c r="F54" s="2707">
        <v>13.14</v>
      </c>
      <c r="G54" s="2707">
        <v>14.94</v>
      </c>
      <c r="H54" s="2707">
        <v>15.12</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34881</v>
      </c>
      <c r="D55" s="2707">
        <v>10.08</v>
      </c>
      <c r="E55" s="2707">
        <v>12.06</v>
      </c>
      <c r="F55" s="2707">
        <v>13.5</v>
      </c>
      <c r="G55" s="2707">
        <v>15.12</v>
      </c>
      <c r="H55" s="2707">
        <v>15.3</v>
      </c>
      <c r="I55" s="2707">
        <v>0</v>
      </c>
      <c r="J55" s="2707">
        <v>0</v>
      </c>
      <c r="L55" s="2707"/>
      <c r="M55" s="2708"/>
      <c r="N55" s="2707"/>
      <c r="O55" s="2707"/>
      <c r="P55" s="2707"/>
      <c r="Q55" s="2707"/>
      <c r="R55" s="2707"/>
      <c r="S55" s="2707"/>
      <c r="T55" s="2707"/>
      <c r="U55" s="2707"/>
      <c r="V55" s="2707"/>
      <c r="W55" s="2707"/>
      <c r="X55" s="2707"/>
      <c r="Y55" s="2707"/>
      <c r="Z55" s="2707"/>
    </row>
    <row r="56" spans="2:26">
      <c r="B56" s="2707"/>
      <c r="C56" s="2708">
        <v>34700</v>
      </c>
      <c r="D56" s="2707">
        <v>9</v>
      </c>
      <c r="E56" s="2707">
        <v>10.98</v>
      </c>
      <c r="F56" s="2707">
        <v>12.96</v>
      </c>
      <c r="G56" s="2707">
        <v>14.58</v>
      </c>
      <c r="H56" s="2707">
        <v>14.76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34161</v>
      </c>
      <c r="D57" s="2707">
        <v>9</v>
      </c>
      <c r="E57" s="2707">
        <v>10.98</v>
      </c>
      <c r="F57" s="2707">
        <v>12.24</v>
      </c>
      <c r="G57" s="2707">
        <v>13.86</v>
      </c>
      <c r="H57" s="2707">
        <v>14.04</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v>34104</v>
      </c>
      <c r="D58" s="2707">
        <v>8.82</v>
      </c>
      <c r="E58" s="2707">
        <v>9.36</v>
      </c>
      <c r="F58" s="2707">
        <v>10.8</v>
      </c>
      <c r="G58" s="2707">
        <v>12.06</v>
      </c>
      <c r="H58" s="2707">
        <v>12.24</v>
      </c>
      <c r="I58" s="2707">
        <v>0</v>
      </c>
      <c r="J58" s="2707">
        <v>0</v>
      </c>
    </row>
    <row r="59" spans="2:26">
      <c r="B59" s="2707"/>
      <c r="C59" s="2708">
        <v>33349</v>
      </c>
      <c r="D59" s="2707">
        <v>8.1</v>
      </c>
      <c r="E59" s="2707">
        <v>8.64</v>
      </c>
      <c r="F59" s="2707">
        <v>9</v>
      </c>
      <c r="G59" s="2707">
        <v>9.5399999999999991</v>
      </c>
      <c r="H59" s="2707">
        <v>9.7200000000000006</v>
      </c>
      <c r="I59" s="2707">
        <v>0</v>
      </c>
      <c r="J59" s="2707">
        <v>0</v>
      </c>
    </row>
    <row r="60" spans="2:26">
      <c r="B60" s="2707"/>
      <c r="C60" s="2708">
        <v>33318</v>
      </c>
      <c r="D60" s="2707">
        <v>9</v>
      </c>
      <c r="E60" s="2707">
        <v>10.08</v>
      </c>
      <c r="F60" s="2707">
        <v>10.8</v>
      </c>
      <c r="G60" s="2707">
        <v>11.52</v>
      </c>
      <c r="H60" s="2707">
        <v>11.88</v>
      </c>
      <c r="I60" s="2707" t="s">
        <v>2792</v>
      </c>
      <c r="J60" s="2707" t="s">
        <v>2792</v>
      </c>
    </row>
    <row r="61" spans="2:26">
      <c r="B61" s="2707"/>
      <c r="C61" s="2708">
        <v>33106</v>
      </c>
      <c r="D61" s="2707">
        <v>8.64</v>
      </c>
      <c r="E61" s="2707">
        <v>9.36</v>
      </c>
      <c r="F61" s="2707">
        <v>10.08</v>
      </c>
      <c r="G61" s="2707">
        <v>10.8</v>
      </c>
      <c r="H61" s="2707">
        <v>11.16</v>
      </c>
      <c r="I61" s="2707">
        <v>0</v>
      </c>
      <c r="J61" s="2707">
        <v>0</v>
      </c>
    </row>
    <row r="62" spans="2:26">
      <c r="B62" s="2707"/>
      <c r="C62" s="2708">
        <v>32540</v>
      </c>
      <c r="D62" s="2707">
        <v>11.34</v>
      </c>
      <c r="E62" s="2707">
        <v>11.34</v>
      </c>
      <c r="F62" s="2707">
        <v>12.78</v>
      </c>
      <c r="G62" s="2707">
        <v>14.4</v>
      </c>
      <c r="H62" s="2707">
        <v>19.260000000000002</v>
      </c>
      <c r="I62" s="2707">
        <v>0</v>
      </c>
      <c r="J62" s="2707">
        <v>0</v>
      </c>
    </row>
    <row r="63" spans="2:26">
      <c r="B63" s="2707"/>
      <c r="C63" s="2708"/>
      <c r="D63" s="2707"/>
      <c r="E63" s="2707"/>
      <c r="F63" s="2707"/>
      <c r="G63" s="2707"/>
      <c r="H63" s="2707"/>
      <c r="I63" s="2707"/>
      <c r="J63" s="2707"/>
    </row>
    <row r="64" spans="2:26">
      <c r="B64" s="2710"/>
      <c r="C64" s="2711"/>
      <c r="D64" s="2710"/>
      <c r="E64" s="2710"/>
      <c r="F64" s="2710"/>
      <c r="G64" s="2710"/>
      <c r="H64" s="2710"/>
      <c r="I64" s="2710"/>
      <c r="J64" s="2710"/>
    </row>
    <row r="65" spans="2:10">
      <c r="B65" s="2710"/>
      <c r="C65" s="2711"/>
      <c r="D65" s="2710"/>
      <c r="E65" s="2710"/>
      <c r="F65" s="2710"/>
      <c r="G65" s="2710"/>
      <c r="H65" s="2710"/>
      <c r="I65" s="2710"/>
      <c r="J65" s="2710"/>
    </row>
    <row r="66" spans="2:10">
      <c r="B66" s="2710"/>
      <c r="C66" s="2711"/>
      <c r="D66" s="2710"/>
      <c r="E66" s="2710"/>
      <c r="F66" s="2710"/>
      <c r="G66" s="2710"/>
      <c r="H66" s="2710"/>
      <c r="I66" s="2710"/>
      <c r="J66" s="2710"/>
    </row>
    <row r="67" spans="2:10">
      <c r="B67" s="2658"/>
      <c r="C67" s="2658"/>
      <c r="D67" s="2658"/>
      <c r="E67" s="2658"/>
      <c r="F67" s="2658"/>
      <c r="G67" s="2658"/>
      <c r="H67" s="2658"/>
      <c r="I67" s="2658"/>
      <c r="J67" s="2658"/>
    </row>
    <row r="68" spans="2:10">
      <c r="B68" s="2658"/>
      <c r="C68" s="2658"/>
      <c r="D68" s="2658"/>
      <c r="E68" s="2658"/>
      <c r="F68" s="2658"/>
      <c r="G68" s="2658"/>
      <c r="H68" s="2658"/>
      <c r="I68" s="2658"/>
      <c r="J68" s="2658"/>
    </row>
  </sheetData>
  <sheetProtection password="CEE9"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86" t="s">
        <v>2022</v>
      </c>
      <c r="B1" s="3386"/>
      <c r="C1" s="3386"/>
      <c r="D1" s="3386"/>
      <c r="E1" s="3386"/>
      <c r="F1" s="3386"/>
      <c r="G1" s="3386"/>
      <c r="H1" s="3386"/>
      <c r="I1" s="3386"/>
      <c r="J1" s="3386"/>
      <c r="K1" s="3386"/>
      <c r="L1" s="3386"/>
      <c r="M1" s="3386"/>
      <c r="N1" s="3386"/>
      <c r="O1" s="3386"/>
      <c r="P1" s="3386"/>
      <c r="Q1" s="3386"/>
      <c r="R1" s="3386"/>
    </row>
    <row r="2" spans="1:18">
      <c r="A2" s="1722" t="s">
        <v>2024</v>
      </c>
      <c r="B2" s="1722"/>
      <c r="C2" s="1722"/>
      <c r="D2" s="1722"/>
      <c r="E2" s="1722"/>
      <c r="F2" s="1722"/>
      <c r="G2" s="1722"/>
      <c r="H2" s="1722"/>
      <c r="I2" s="1723"/>
      <c r="J2" s="1723"/>
      <c r="K2" s="1724" t="str">
        <f>"估价期日："&amp;TEXT(项目基本情况!D3,"yyyy年m月d日;;")</f>
        <v>估价期日：2021年9月24日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87" t="s">
        <v>2013</v>
      </c>
      <c r="B3" s="3387" t="s">
        <v>2706</v>
      </c>
      <c r="C3" s="3388" t="s">
        <v>2014</v>
      </c>
      <c r="D3" s="3387" t="s">
        <v>2710</v>
      </c>
      <c r="E3" s="3390" t="s">
        <v>2015</v>
      </c>
      <c r="F3" s="3390"/>
      <c r="G3" s="3390"/>
      <c r="H3" s="3390" t="s">
        <v>2016</v>
      </c>
      <c r="I3" s="3390"/>
      <c r="J3" s="3390"/>
      <c r="K3" s="3388" t="s">
        <v>2017</v>
      </c>
      <c r="L3" s="3388" t="s">
        <v>2018</v>
      </c>
      <c r="M3" s="3387" t="s">
        <v>2707</v>
      </c>
      <c r="N3" s="3389" t="str">
        <f>"（分摊）"&amp;项目基本情况!B16&amp;"国有建设用地使用权面积/㎡"</f>
        <v>（分摊）出让国有建设用地使用权面积/㎡</v>
      </c>
      <c r="O3" s="3387" t="s">
        <v>2047</v>
      </c>
      <c r="P3" s="3388" t="s">
        <v>2027</v>
      </c>
      <c r="Q3" s="3388" t="s">
        <v>2048</v>
      </c>
      <c r="R3" s="3388" t="s">
        <v>2019</v>
      </c>
    </row>
    <row r="4" spans="1:18" ht="36.75" customHeight="1">
      <c r="A4" s="3387"/>
      <c r="B4" s="3387"/>
      <c r="C4" s="3388"/>
      <c r="D4" s="3387"/>
      <c r="E4" s="2491" t="s">
        <v>2026</v>
      </c>
      <c r="F4" s="2491" t="s">
        <v>2719</v>
      </c>
      <c r="G4" s="2491" t="s">
        <v>2020</v>
      </c>
      <c r="H4" s="2491" t="s">
        <v>2021</v>
      </c>
      <c r="I4" s="2491" t="s">
        <v>2720</v>
      </c>
      <c r="J4" s="2491" t="s">
        <v>2020</v>
      </c>
      <c r="K4" s="3388"/>
      <c r="L4" s="3388"/>
      <c r="M4" s="3387"/>
      <c r="N4" s="3389"/>
      <c r="O4" s="3387"/>
      <c r="P4" s="3388"/>
      <c r="Q4" s="3388"/>
      <c r="R4" s="3388"/>
    </row>
    <row r="5" spans="1:18" ht="135" customHeight="1">
      <c r="A5" s="1857" t="s">
        <v>2630</v>
      </c>
      <c r="B5" s="2584" t="s">
        <v>2628</v>
      </c>
      <c r="C5" s="2490">
        <v>22</v>
      </c>
      <c r="D5" s="2489" t="s">
        <v>2629</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32358.705000000002</v>
      </c>
      <c r="O5" s="1725">
        <f>项目基本情况!C21</f>
        <v>142378.302</v>
      </c>
      <c r="P5" s="1725">
        <f ca="1">结果表!E42</f>
        <v>22001</v>
      </c>
      <c r="Q5" s="1725">
        <f ca="1">结果表!D42</f>
        <v>5000</v>
      </c>
      <c r="R5" s="1726">
        <f ca="1">结果表!C42</f>
        <v>71192</v>
      </c>
    </row>
    <row r="6" spans="1:18">
      <c r="A6" s="3383" t="str">
        <f>IF(项目基本情况!B9="市场价格","——","抵押价格")</f>
        <v>——</v>
      </c>
      <c r="B6" s="3384"/>
      <c r="C6" s="3384"/>
      <c r="D6" s="3384"/>
      <c r="E6" s="3384"/>
      <c r="F6" s="3384"/>
      <c r="G6" s="3384"/>
      <c r="H6" s="3384"/>
      <c r="I6" s="3384"/>
      <c r="J6" s="3384"/>
      <c r="K6" s="3384"/>
      <c r="L6" s="3384"/>
      <c r="M6" s="3384"/>
      <c r="N6" s="3384"/>
      <c r="O6" s="3384"/>
      <c r="P6" s="3384"/>
      <c r="Q6" s="3385"/>
      <c r="R6" s="1727" t="str">
        <f>结果表!O39</f>
        <v>——</v>
      </c>
    </row>
    <row r="7" spans="1:18">
      <c r="A7" s="3383" t="str">
        <f>IF(项目基本情况!B9="市场价格","——",IF(项目基本情况!E8="已注销及未注销","抵押担保权已注销时的抵押价格","——"))</f>
        <v>——</v>
      </c>
      <c r="B7" s="3384"/>
      <c r="C7" s="3384"/>
      <c r="D7" s="3384"/>
      <c r="E7" s="3384"/>
      <c r="F7" s="3384"/>
      <c r="G7" s="3384"/>
      <c r="H7" s="3384"/>
      <c r="I7" s="3384"/>
      <c r="J7" s="3384"/>
      <c r="K7" s="3384"/>
      <c r="L7" s="3384"/>
      <c r="M7" s="3384"/>
      <c r="N7" s="3384"/>
      <c r="O7" s="3384"/>
      <c r="P7" s="3384"/>
      <c r="Q7" s="3385"/>
      <c r="R7" s="1727" t="str">
        <f>结果表!O40</f>
        <v>——</v>
      </c>
    </row>
    <row r="8" spans="1:18">
      <c r="A8" s="3383" t="str">
        <f>IF(项目基本情况!B9="市场价格","——",项目基本情况!E9)</f>
        <v>——</v>
      </c>
      <c r="B8" s="3384"/>
      <c r="C8" s="3384"/>
      <c r="D8" s="3384"/>
      <c r="E8" s="3384"/>
      <c r="F8" s="3384"/>
      <c r="G8" s="3384"/>
      <c r="H8" s="3384"/>
      <c r="I8" s="3384"/>
      <c r="J8" s="3384"/>
      <c r="K8" s="3384"/>
      <c r="L8" s="3384"/>
      <c r="M8" s="3384"/>
      <c r="N8" s="3384"/>
      <c r="O8" s="3384"/>
      <c r="P8" s="3384"/>
      <c r="Q8" s="3385"/>
      <c r="R8" s="1727" t="str">
        <f>结果表!O41</f>
        <v>——</v>
      </c>
    </row>
    <row r="9" spans="1:18">
      <c r="A9" s="1728" t="s">
        <v>2025</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2012</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91" t="s">
        <v>2049</v>
      </c>
      <c r="B1" s="3391"/>
      <c r="C1" s="3391"/>
      <c r="D1" s="3391"/>
    </row>
    <row r="2" spans="1:4" ht="47.25" customHeight="1">
      <c r="A2" s="3395" t="str">
        <f>"1.权利限制："&amp;项目基本情况!L24&amp;"未设定租赁等其他他项权利。"</f>
        <v>1.权利限制：根据估价对象《不动产权证书》原件、《国有土地使用权》复印件，截至估价期日，估价对象抵押权未见登记。未设定租赁等其他他项权利。</v>
      </c>
      <c r="B2" s="3395"/>
      <c r="C2" s="3395"/>
      <c r="D2" s="3395"/>
    </row>
    <row r="3" spans="1:4" ht="48" customHeight="1">
      <c r="A3" s="339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91"/>
      <c r="C3" s="3391"/>
      <c r="D3" s="3391"/>
    </row>
    <row r="4" spans="1:4" ht="36.75" customHeight="1">
      <c r="A4" s="3391" t="str">
        <f>"3.估价规划限制条件：详见"&amp;项目基本情况!E21&amp;"。"</f>
        <v>3.估价规划限制条件：详见《建设工程规划许可证》[]、《出让合同》[]。</v>
      </c>
      <c r="B4" s="3391"/>
      <c r="C4" s="3391"/>
      <c r="D4" s="3391"/>
    </row>
    <row r="5" spans="1:4">
      <c r="A5" s="3394" t="s">
        <v>2050</v>
      </c>
      <c r="B5" s="3394"/>
      <c r="C5" s="3394"/>
      <c r="D5" s="3394"/>
    </row>
    <row r="6" spans="1:4">
      <c r="A6" s="3391" t="s">
        <v>2028</v>
      </c>
      <c r="B6" s="3391"/>
      <c r="C6" s="3391"/>
      <c r="D6" s="3391"/>
    </row>
    <row r="7" spans="1:4" ht="33" customHeight="1">
      <c r="A7" s="3391" t="s">
        <v>2550</v>
      </c>
      <c r="B7" s="3391"/>
      <c r="C7" s="3391"/>
      <c r="D7" s="3391"/>
    </row>
    <row r="8" spans="1:4" ht="32.25" customHeight="1">
      <c r="A8" s="339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91"/>
      <c r="C8" s="3391"/>
      <c r="D8" s="3391"/>
    </row>
    <row r="9" spans="1:4" ht="33.75" customHeight="1">
      <c r="A9" s="339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91"/>
      <c r="C9" s="3391"/>
      <c r="D9" s="3391"/>
    </row>
    <row r="10" spans="1:4">
      <c r="A10" s="3391" t="str">
        <f>IF(项目基本情况!B8="抵押","4.估价师所知悉的法定优先受偿款情况为：","——")</f>
        <v>4.估价师所知悉的法定优先受偿款情况为：</v>
      </c>
      <c r="B10" s="3391"/>
      <c r="C10" s="3391"/>
      <c r="D10" s="3391"/>
    </row>
    <row r="11" spans="1:4" ht="37.5" customHeight="1">
      <c r="A11" s="339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93"/>
      <c r="C11" s="3393"/>
      <c r="D11" s="3393"/>
    </row>
    <row r="12" spans="1:4" ht="168" customHeight="1">
      <c r="A12" s="3394" t="s">
        <v>2052</v>
      </c>
      <c r="B12" s="3394"/>
      <c r="C12" s="3394"/>
      <c r="D12" s="3394"/>
    </row>
    <row r="13" spans="1:4">
      <c r="A13" s="3392" t="s">
        <v>2721</v>
      </c>
      <c r="B13" s="3392"/>
      <c r="C13" s="3392"/>
      <c r="D13" s="3392"/>
    </row>
    <row r="14" spans="1:4">
      <c r="A14" s="3393" t="str">
        <f>IF(项目基本情况!B8="抵押","综上，"&amp;结果表!K47,"——")</f>
        <v>综上，本次评估不存在估价师知悉的法定优先受偿款</v>
      </c>
      <c r="B14" s="3393"/>
      <c r="C14" s="3393"/>
      <c r="D14" s="3393"/>
    </row>
    <row r="15" spans="1:4" ht="58.5" customHeight="1">
      <c r="A15" s="339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91"/>
      <c r="C15" s="3391"/>
      <c r="D15" s="3391"/>
    </row>
    <row r="16" spans="1:4" ht="70.5" customHeight="1">
      <c r="A16" s="339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91"/>
      <c r="C16" s="3391"/>
      <c r="D16" s="3391"/>
    </row>
    <row r="17" spans="1:4">
      <c r="A17" s="3391" t="s">
        <v>2677</v>
      </c>
      <c r="B17" s="3391"/>
      <c r="C17" s="3391"/>
      <c r="D17" s="3391"/>
    </row>
    <row r="18" spans="1:4">
      <c r="A18" s="3391" t="s">
        <v>2669</v>
      </c>
      <c r="B18" s="3391"/>
      <c r="C18" s="3391"/>
      <c r="D18" s="3391"/>
    </row>
    <row r="19" spans="1:4">
      <c r="A19" s="2585" t="s">
        <v>2670</v>
      </c>
      <c r="B19" s="2585" t="s">
        <v>2671</v>
      </c>
      <c r="C19" s="2585" t="s">
        <v>2672</v>
      </c>
      <c r="D19" s="2585" t="s">
        <v>2673</v>
      </c>
    </row>
    <row r="20" spans="1:4">
      <c r="A20" s="2585" t="str">
        <f>项目基本情况!B4</f>
        <v>陈颖</v>
      </c>
      <c r="B20" s="2585">
        <f ca="1">项目基本情况!C4</f>
        <v>2004110096</v>
      </c>
      <c r="C20" s="2587"/>
      <c r="D20" s="1715" t="s">
        <v>2678</v>
      </c>
    </row>
    <row r="21" spans="1:4">
      <c r="A21" s="2585" t="str">
        <f>项目基本情况!D4</f>
        <v>崔锴</v>
      </c>
      <c r="B21" s="2585">
        <f ca="1">项目基本情况!E4</f>
        <v>2010110070</v>
      </c>
      <c r="C21" s="2587"/>
      <c r="D21" s="1715" t="s">
        <v>2679</v>
      </c>
    </row>
    <row r="23" spans="1:4">
      <c r="A23" s="3391" t="s">
        <v>2674</v>
      </c>
      <c r="B23" s="3391"/>
      <c r="C23" s="3391"/>
      <c r="D23" s="3391"/>
    </row>
    <row r="24" spans="1:4">
      <c r="A24" s="2585" t="s">
        <v>2670</v>
      </c>
      <c r="B24" s="2585" t="s">
        <v>2675</v>
      </c>
      <c r="C24" s="2585" t="s">
        <v>2672</v>
      </c>
      <c r="D24" s="2585" t="s">
        <v>2673</v>
      </c>
    </row>
    <row r="25" spans="1:4">
      <c r="A25" s="2588" t="s">
        <v>2676</v>
      </c>
      <c r="B25" s="2585" t="s">
        <v>941</v>
      </c>
      <c r="C25" s="2587"/>
      <c r="D25" s="1715" t="s">
        <v>2679</v>
      </c>
    </row>
    <row r="29" spans="1:4">
      <c r="D29" s="2586" t="s">
        <v>2023</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D26" sqref="D26"/>
      <selection pane="bottomLeft" activeCell="D26" sqref="D26"/>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861</v>
      </c>
    </row>
    <row r="13" spans="1:7">
      <c r="A13" s="1153" t="s">
        <v>52</v>
      </c>
    </row>
    <row r="15" spans="1:7" ht="14.25">
      <c r="A15" s="3403" t="s">
        <v>53</v>
      </c>
      <c r="B15" s="3404" t="s">
        <v>836</v>
      </c>
      <c r="C15" s="3400"/>
    </row>
    <row r="16" spans="1:7" ht="14.25">
      <c r="A16" s="3403"/>
      <c r="B16" s="3401" t="s">
        <v>54</v>
      </c>
      <c r="C16" s="1154" t="s">
        <v>53</v>
      </c>
    </row>
    <row r="17" spans="1:3" ht="14.25">
      <c r="A17" s="3403"/>
      <c r="B17" s="3401"/>
      <c r="C17" s="1154" t="s">
        <v>55</v>
      </c>
    </row>
    <row r="18" spans="1:3" ht="14.25">
      <c r="A18" s="3403"/>
      <c r="B18" s="3401"/>
      <c r="C18" s="1154" t="s">
        <v>56</v>
      </c>
    </row>
    <row r="19" spans="1:3" ht="14.25">
      <c r="A19" s="3403"/>
      <c r="B19" s="3399" t="s">
        <v>57</v>
      </c>
      <c r="C19" s="3400"/>
    </row>
    <row r="20" spans="1:3" ht="14.25">
      <c r="A20" s="1155" t="s">
        <v>58</v>
      </c>
      <c r="B20" s="1156"/>
      <c r="C20" s="1157"/>
    </row>
    <row r="21" spans="1:3" ht="14.25">
      <c r="A21" s="3402" t="s">
        <v>59</v>
      </c>
      <c r="B21" s="3399" t="s">
        <v>60</v>
      </c>
      <c r="C21" s="3400"/>
    </row>
    <row r="22" spans="1:3" ht="14.25">
      <c r="A22" s="3402"/>
      <c r="B22" s="3399" t="s">
        <v>61</v>
      </c>
      <c r="C22" s="3400"/>
    </row>
    <row r="23" spans="1:3" ht="14.25">
      <c r="A23" s="3402"/>
      <c r="B23" s="3399" t="s">
        <v>62</v>
      </c>
      <c r="C23" s="3400"/>
    </row>
    <row r="24" spans="1:3" ht="14.25">
      <c r="A24" s="3402"/>
      <c r="B24" s="3405" t="s">
        <v>63</v>
      </c>
      <c r="C24" s="1158" t="s">
        <v>827</v>
      </c>
    </row>
    <row r="25" spans="1:3" ht="14.25">
      <c r="A25" s="3402"/>
      <c r="B25" s="3406"/>
      <c r="C25" s="1158" t="s">
        <v>828</v>
      </c>
    </row>
    <row r="26" spans="1:3" ht="14.25">
      <c r="A26" s="3402"/>
      <c r="B26" s="3406"/>
      <c r="C26" s="1158" t="s">
        <v>829</v>
      </c>
    </row>
    <row r="27" spans="1:3" ht="14.25">
      <c r="A27" s="3402"/>
      <c r="B27" s="3406"/>
      <c r="C27" s="1158" t="s">
        <v>830</v>
      </c>
    </row>
    <row r="28" spans="1:3" ht="14.25">
      <c r="A28" s="3402"/>
      <c r="B28" s="3406"/>
      <c r="C28" s="1158" t="s">
        <v>831</v>
      </c>
    </row>
    <row r="29" spans="1:3" ht="14.25">
      <c r="A29" s="3402"/>
      <c r="B29" s="3406"/>
      <c r="C29" s="1158" t="s">
        <v>832</v>
      </c>
    </row>
    <row r="30" spans="1:3" ht="14.25">
      <c r="A30" s="3402"/>
      <c r="B30" s="3406"/>
      <c r="C30" s="1158" t="s">
        <v>833</v>
      </c>
    </row>
    <row r="31" spans="1:3" ht="14.25">
      <c r="A31" s="3402"/>
      <c r="B31" s="3406"/>
      <c r="C31" s="1158" t="s">
        <v>834</v>
      </c>
    </row>
    <row r="32" spans="1:3" ht="14.25">
      <c r="A32" s="3402"/>
      <c r="B32" s="3406"/>
      <c r="C32" s="1158" t="s">
        <v>1634</v>
      </c>
    </row>
    <row r="33" spans="1:3" ht="14.25">
      <c r="A33" s="3402"/>
      <c r="B33" s="3396" t="s">
        <v>1640</v>
      </c>
      <c r="C33" s="1158" t="s">
        <v>1635</v>
      </c>
    </row>
    <row r="34" spans="1:3" ht="14.25">
      <c r="A34" s="3402"/>
      <c r="B34" s="3397"/>
      <c r="C34" s="1163" t="s">
        <v>1636</v>
      </c>
    </row>
    <row r="35" spans="1:3" ht="14.25">
      <c r="A35" s="3402"/>
      <c r="B35" s="3397"/>
      <c r="C35" s="1164" t="s">
        <v>1637</v>
      </c>
    </row>
    <row r="36" spans="1:3" ht="14.25">
      <c r="A36" s="3402"/>
      <c r="B36" s="3397"/>
      <c r="C36" s="1164" t="s">
        <v>1638</v>
      </c>
    </row>
    <row r="37" spans="1:3" ht="14.25">
      <c r="A37" s="3402"/>
      <c r="B37" s="3398"/>
      <c r="C37" s="1165" t="s">
        <v>1639</v>
      </c>
    </row>
    <row r="38" spans="1:3">
      <c r="A38" s="1159" t="s">
        <v>835</v>
      </c>
    </row>
    <row r="41" spans="1:3">
      <c r="A41" s="1159" t="s">
        <v>68</v>
      </c>
    </row>
    <row r="42" spans="1:3" ht="14.25">
      <c r="A42" s="1160" t="s">
        <v>843</v>
      </c>
    </row>
    <row r="43" spans="1:3" ht="14.25">
      <c r="A43" s="1161" t="s">
        <v>69</v>
      </c>
    </row>
    <row r="44" spans="1:3" ht="14.25">
      <c r="A44" s="1160" t="s">
        <v>842</v>
      </c>
    </row>
    <row r="45" spans="1:3" ht="14.25">
      <c r="A45" s="1162" t="s">
        <v>844</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9" customWidth="1"/>
    <col min="2" max="2" width="22.75" style="2829" bestFit="1" customWidth="1"/>
    <col min="3" max="3" width="25.75" style="2829" bestFit="1" customWidth="1"/>
    <col min="4" max="4" width="22.625" style="2829"/>
    <col min="5" max="5" width="22.75" style="2829" bestFit="1" customWidth="1"/>
    <col min="6" max="6" width="25.625" style="2829" customWidth="1"/>
    <col min="7" max="16384" width="22.625" style="2829"/>
  </cols>
  <sheetData>
    <row r="1" spans="1:7" ht="20.25" customHeight="1">
      <c r="A1" s="3024"/>
      <c r="B1" s="3024"/>
      <c r="C1" s="3024"/>
      <c r="D1" s="3024"/>
      <c r="E1" s="3024"/>
      <c r="F1" s="3024"/>
      <c r="G1" s="3024"/>
    </row>
    <row r="2" spans="1:7" ht="20.25" customHeight="1">
      <c r="A2" s="3025" t="s">
        <v>1893</v>
      </c>
      <c r="B2" s="3026">
        <f ca="1">TODAY()</f>
        <v>44469</v>
      </c>
      <c r="C2" s="3027" t="s">
        <v>1894</v>
      </c>
      <c r="D2" s="3027"/>
      <c r="E2" s="3024"/>
      <c r="F2" s="3024"/>
      <c r="G2" s="3024"/>
    </row>
    <row r="3" spans="1:7" ht="20.25" customHeight="1">
      <c r="A3" s="3048" t="s">
        <v>1895</v>
      </c>
      <c r="B3" s="3029" t="s">
        <v>1896</v>
      </c>
      <c r="C3" s="3030" t="s">
        <v>1897</v>
      </c>
      <c r="D3" s="3049" t="s">
        <v>1898</v>
      </c>
      <c r="E3" s="3029" t="s">
        <v>1899</v>
      </c>
      <c r="F3" s="3029" t="s">
        <v>1897</v>
      </c>
      <c r="G3" s="3024"/>
    </row>
    <row r="4" spans="1:7" ht="20.25" customHeight="1">
      <c r="A4" s="3029" t="s">
        <v>1900</v>
      </c>
      <c r="B4" s="3029">
        <f ca="1">IF(C4&lt;B2,"已过期",1119970066)</f>
        <v>1119970066</v>
      </c>
      <c r="C4" s="3032">
        <v>44876</v>
      </c>
      <c r="D4" s="3040" t="s">
        <v>1900</v>
      </c>
      <c r="E4" s="3029">
        <f ca="1">IF(F4&lt;B2,"已过期",96010014)</f>
        <v>96010014</v>
      </c>
      <c r="F4" s="3031">
        <v>47118</v>
      </c>
      <c r="G4" s="3024"/>
    </row>
    <row r="5" spans="1:7" ht="20.25" customHeight="1">
      <c r="A5" s="3029" t="s">
        <v>1901</v>
      </c>
      <c r="B5" s="3029">
        <f ca="1">IF(C5&lt;B2,"已过期",1119970111)</f>
        <v>1119970111</v>
      </c>
      <c r="C5" s="3032">
        <v>44876</v>
      </c>
      <c r="D5" s="3040" t="s">
        <v>1901</v>
      </c>
      <c r="E5" s="3029">
        <f ca="1">IF(F5&lt;B2,"已过期",94010078)</f>
        <v>94010078</v>
      </c>
      <c r="F5" s="3031">
        <v>46387</v>
      </c>
      <c r="G5" s="3024"/>
    </row>
    <row r="6" spans="1:7" ht="20.25" customHeight="1">
      <c r="A6" s="3029" t="s">
        <v>1902</v>
      </c>
      <c r="B6" s="3029" t="str">
        <f ca="1">IF(C6&lt;B2,"已过期",1120050019)</f>
        <v>已过期</v>
      </c>
      <c r="C6" s="3032">
        <v>44395</v>
      </c>
      <c r="D6" s="3040" t="s">
        <v>1902</v>
      </c>
      <c r="E6" s="3029">
        <f ca="1">IF(F6&lt;B2,"已过期",2002110030)</f>
        <v>2002110030</v>
      </c>
      <c r="F6" s="3031">
        <v>46387</v>
      </c>
      <c r="G6" s="3024"/>
    </row>
    <row r="7" spans="1:7" ht="20.25" customHeight="1">
      <c r="A7" s="3029" t="s">
        <v>1903</v>
      </c>
      <c r="B7" s="3029">
        <f ca="1">IF(C7&lt;B2,"已过期",1120000080)</f>
        <v>1120000080</v>
      </c>
      <c r="C7" s="3032">
        <v>44876</v>
      </c>
      <c r="D7" s="3040" t="s">
        <v>1903</v>
      </c>
      <c r="E7" s="3029">
        <f ca="1">IF(F7&lt;B2,"已过期",2000110082)</f>
        <v>2000110082</v>
      </c>
      <c r="F7" s="3031">
        <v>46387</v>
      </c>
      <c r="G7" s="3024"/>
    </row>
    <row r="8" spans="1:7" ht="20.25" customHeight="1">
      <c r="A8" s="3029" t="s">
        <v>1904</v>
      </c>
      <c r="B8" s="3029">
        <f ca="1">IF(C8&lt;B2,"已过期",1419970001)</f>
        <v>1419970001</v>
      </c>
      <c r="C8" s="3032">
        <v>44899</v>
      </c>
      <c r="D8" s="3040" t="s">
        <v>1904</v>
      </c>
      <c r="E8" s="3029">
        <f ca="1">IF(F8&lt;B2,"已过期",2002110125)</f>
        <v>2002110125</v>
      </c>
      <c r="F8" s="3031">
        <v>47118</v>
      </c>
      <c r="G8" s="3024"/>
    </row>
    <row r="9" spans="1:7" ht="20.25" customHeight="1">
      <c r="A9" s="3029" t="s">
        <v>1905</v>
      </c>
      <c r="B9" s="3029">
        <f ca="1">IF(C9&lt;B2,"已过期",1120060040)</f>
        <v>1120060040</v>
      </c>
      <c r="C9" s="3032">
        <v>44554</v>
      </c>
      <c r="D9" s="3040" t="s">
        <v>1905</v>
      </c>
      <c r="E9" s="3029">
        <f ca="1">IF(F9&lt;B2,"已过期",2004110096)</f>
        <v>2004110096</v>
      </c>
      <c r="F9" s="3031">
        <v>47118</v>
      </c>
      <c r="G9" s="3024"/>
    </row>
    <row r="10" spans="1:7" ht="20.25" customHeight="1">
      <c r="A10" s="3029" t="s">
        <v>1906</v>
      </c>
      <c r="B10" s="3029">
        <f ca="1">IF(C10&lt;B2,"已过期",1120100036)</f>
        <v>1120100036</v>
      </c>
      <c r="C10" s="3032">
        <v>44675</v>
      </c>
      <c r="D10" s="3040" t="s">
        <v>1906</v>
      </c>
      <c r="E10" s="3029">
        <f ca="1">IF(F10&lt;B2,"已过期",2010110070)</f>
        <v>2010110070</v>
      </c>
      <c r="F10" s="3031">
        <v>47907</v>
      </c>
      <c r="G10" s="3024"/>
    </row>
    <row r="11" spans="1:7" ht="20.25" customHeight="1">
      <c r="A11" s="3029" t="s">
        <v>1907</v>
      </c>
      <c r="B11" s="3029">
        <f ca="1">IF(C11&lt;B2,"已过期",1120070131)</f>
        <v>1120070131</v>
      </c>
      <c r="C11" s="3032">
        <v>44849</v>
      </c>
      <c r="D11" s="3040" t="s">
        <v>1907</v>
      </c>
      <c r="E11" s="3029">
        <f ca="1">IF(F11&lt;B2,"已过期",2014110011)</f>
        <v>2014110011</v>
      </c>
      <c r="F11" s="3031">
        <v>49302</v>
      </c>
      <c r="G11" s="3024"/>
    </row>
    <row r="12" spans="1:7" ht="20.25" customHeight="1">
      <c r="A12" s="3029" t="s">
        <v>2935</v>
      </c>
      <c r="B12" s="3029">
        <f ca="1">IF(C12&lt;B2,"已过期",1120040230)</f>
        <v>1120040230</v>
      </c>
      <c r="C12" s="3032">
        <v>44864</v>
      </c>
      <c r="D12" s="3040" t="s">
        <v>2936</v>
      </c>
      <c r="E12" s="3029">
        <f ca="1">IF(F12&lt;B2,"已过期",98030020)</f>
        <v>98030020</v>
      </c>
      <c r="F12" s="3031">
        <v>47118</v>
      </c>
      <c r="G12" s="3024"/>
    </row>
    <row r="13" spans="1:7" ht="20.25" customHeight="1">
      <c r="A13" s="3029"/>
      <c r="B13" s="3029"/>
      <c r="C13" s="3032"/>
      <c r="D13" s="3040" t="s">
        <v>1908</v>
      </c>
      <c r="E13" s="3029">
        <f ca="1">IF(F13&lt;B2,"已过期",2011110090)</f>
        <v>2011110090</v>
      </c>
      <c r="F13" s="3031">
        <v>48302</v>
      </c>
      <c r="G13" s="3024"/>
    </row>
    <row r="14" spans="1:7" ht="20.25" customHeight="1">
      <c r="A14" s="3029" t="s">
        <v>1909</v>
      </c>
      <c r="B14" s="3029" t="str">
        <f ca="1">IF(C14&lt;B2,"已过期",1120020033)</f>
        <v>已过期</v>
      </c>
      <c r="C14" s="3032">
        <v>44339</v>
      </c>
      <c r="D14" s="3040" t="s">
        <v>1909</v>
      </c>
      <c r="E14" s="3029">
        <f ca="1">IF(F14&lt;B2,"已过期",2000110137)</f>
        <v>2000110137</v>
      </c>
      <c r="F14" s="3031">
        <v>46387</v>
      </c>
      <c r="G14" s="3024"/>
    </row>
    <row r="15" spans="1:7" ht="20.25" customHeight="1">
      <c r="A15" s="3029" t="s">
        <v>2949</v>
      </c>
      <c r="B15" s="3029" t="str">
        <f ca="1">IF(C14&lt;B2,"已过期",1119980106)</f>
        <v>已过期</v>
      </c>
      <c r="C15" s="3032">
        <v>44969</v>
      </c>
      <c r="D15" s="3040"/>
      <c r="E15" s="3029"/>
      <c r="F15" s="3029"/>
      <c r="G15" s="3024"/>
    </row>
    <row r="16" spans="1:7" s="2830" customFormat="1" ht="20.25" customHeight="1">
      <c r="A16" s="3028" t="s">
        <v>2037</v>
      </c>
      <c r="B16" s="3028" t="s">
        <v>2037</v>
      </c>
      <c r="C16" s="3032"/>
      <c r="D16" s="3041" t="s">
        <v>2037</v>
      </c>
      <c r="E16" s="3029" t="s">
        <v>2037</v>
      </c>
      <c r="F16" s="3031"/>
      <c r="G16" s="3033"/>
    </row>
    <row r="17" spans="1:7" ht="20.25" customHeight="1">
      <c r="A17" s="3410" t="s">
        <v>1910</v>
      </c>
      <c r="B17" s="3411"/>
      <c r="C17" s="3411"/>
      <c r="D17" s="3411"/>
      <c r="E17" s="3411"/>
      <c r="F17" s="3411"/>
      <c r="G17" s="3033"/>
    </row>
    <row r="18" spans="1:7" ht="20.25" customHeight="1">
      <c r="A18" s="3407" t="s">
        <v>1911</v>
      </c>
      <c r="B18" s="3407"/>
      <c r="C18" s="3408"/>
      <c r="D18" s="3409" t="s">
        <v>1912</v>
      </c>
      <c r="E18" s="3407"/>
      <c r="F18" s="3407"/>
      <c r="G18" s="3033"/>
    </row>
    <row r="19" spans="1:7" s="2828" customFormat="1" ht="20.25" customHeight="1">
      <c r="A19" s="3034" t="s">
        <v>1913</v>
      </c>
      <c r="B19" s="3035" t="s">
        <v>1914</v>
      </c>
      <c r="C19" s="3042" t="s">
        <v>1915</v>
      </c>
      <c r="D19" s="3040" t="s">
        <v>1913</v>
      </c>
      <c r="E19" s="3035" t="s">
        <v>1914</v>
      </c>
      <c r="F19" s="3035" t="s">
        <v>1915</v>
      </c>
      <c r="G19" s="3025"/>
    </row>
    <row r="20" spans="1:7" s="2828" customFormat="1" ht="20.25" customHeight="1">
      <c r="A20" s="3036" t="s">
        <v>1916</v>
      </c>
      <c r="B20" s="3036" t="s">
        <v>1917</v>
      </c>
      <c r="C20" s="3043">
        <v>44820</v>
      </c>
      <c r="D20" s="3045" t="s">
        <v>1918</v>
      </c>
      <c r="E20" s="3036" t="s">
        <v>1919</v>
      </c>
      <c r="F20" s="3037">
        <v>44377</v>
      </c>
      <c r="G20" s="3025"/>
    </row>
    <row r="21" spans="1:7" s="2828" customFormat="1" ht="20.25" customHeight="1">
      <c r="A21" s="3036"/>
      <c r="B21" s="3036"/>
      <c r="C21" s="3044"/>
      <c r="D21" s="3045" t="s">
        <v>1920</v>
      </c>
      <c r="E21" s="3036" t="s">
        <v>2948</v>
      </c>
      <c r="F21" s="3037">
        <v>44012</v>
      </c>
      <c r="G21" s="3025"/>
    </row>
    <row r="22" spans="1:7" ht="20.25" customHeight="1">
      <c r="A22" s="3024"/>
      <c r="B22" s="3024"/>
      <c r="C22" s="3038"/>
      <c r="D22" s="3046"/>
      <c r="E22" s="3047"/>
      <c r="F22" s="3039" t="s">
        <v>2962</v>
      </c>
      <c r="G22" s="3024"/>
    </row>
  </sheetData>
  <sheetProtection password="CEE9" sheet="1" objects="1" scenarios="1"/>
  <mergeCells count="3">
    <mergeCell ref="A18:C18"/>
    <mergeCell ref="D18:F18"/>
    <mergeCell ref="A17:F17"/>
  </mergeCells>
  <phoneticPr fontId="3" type="noConversion"/>
  <conditionalFormatting sqref="C16:D16 C5 C12:C13">
    <cfRule type="expression" dxfId="236" priority="149">
      <formula>AND($C5-TODAY()&lt;30,TODAY()&lt;$C5)</formula>
    </cfRule>
  </conditionalFormatting>
  <conditionalFormatting sqref="C20">
    <cfRule type="expression" dxfId="235" priority="148">
      <formula>AND($C20-TODAY()&lt;30,TODAY()&lt;$C20)</formula>
    </cfRule>
  </conditionalFormatting>
  <conditionalFormatting sqref="C20 F4 C5 C13">
    <cfRule type="cellIs" dxfId="234" priority="150" stopIfTrue="1" operator="lessThan">
      <formula>$B$2</formula>
    </cfRule>
  </conditionalFormatting>
  <conditionalFormatting sqref="F5 F7 F9">
    <cfRule type="cellIs" dxfId="233" priority="144" stopIfTrue="1" operator="lessThan">
      <formula>$B$2</formula>
    </cfRule>
  </conditionalFormatting>
  <conditionalFormatting sqref="C16:D16">
    <cfRule type="expression" dxfId="232" priority="142">
      <formula>AND($C16-TODAY()&lt;30,TODAY()&lt;$C16)</formula>
    </cfRule>
  </conditionalFormatting>
  <conditionalFormatting sqref="F6 F8 F10 C16:D16">
    <cfRule type="cellIs" dxfId="231" priority="143" stopIfTrue="1" operator="lessThan">
      <formula>$B$2</formula>
    </cfRule>
  </conditionalFormatting>
  <conditionalFormatting sqref="F14">
    <cfRule type="cellIs" dxfId="230" priority="114" stopIfTrue="1" operator="lessThan">
      <formula>$B$2</formula>
    </cfRule>
  </conditionalFormatting>
  <conditionalFormatting sqref="F13">
    <cfRule type="cellIs" dxfId="229" priority="113" stopIfTrue="1" operator="lessThan">
      <formula>$B$2</formula>
    </cfRule>
  </conditionalFormatting>
  <conditionalFormatting sqref="B4:B11 E4:E11 E13:E15 B13:B15">
    <cfRule type="cellIs" dxfId="228" priority="111" stopIfTrue="1" operator="equal">
      <formula>"已过期"</formula>
    </cfRule>
  </conditionalFormatting>
  <conditionalFormatting sqref="F20">
    <cfRule type="cellIs" dxfId="227" priority="108" stopIfTrue="1" operator="lessThan">
      <formula>$B$2</formula>
    </cfRule>
  </conditionalFormatting>
  <conditionalFormatting sqref="F20">
    <cfRule type="expression" dxfId="226" priority="152">
      <formula>AND($E20-TODAY()&lt;30,TODAY()&lt;$E20)</formula>
    </cfRule>
  </conditionalFormatting>
  <conditionalFormatting sqref="C6">
    <cfRule type="expression" dxfId="225" priority="82">
      <formula>AND($C6-TODAY()&lt;30,TODAY()&lt;$C6)</formula>
    </cfRule>
  </conditionalFormatting>
  <conditionalFormatting sqref="C6">
    <cfRule type="cellIs" dxfId="224" priority="83" stopIfTrue="1" operator="lessThan">
      <formula>$B$2</formula>
    </cfRule>
  </conditionalFormatting>
  <conditionalFormatting sqref="C11 C15">
    <cfRule type="expression" dxfId="223" priority="80">
      <formula>AND($C11-TODAY()&lt;30,TODAY()&lt;$C11)</formula>
    </cfRule>
  </conditionalFormatting>
  <conditionalFormatting sqref="C11 C15">
    <cfRule type="cellIs" dxfId="222" priority="81" stopIfTrue="1" operator="lessThan">
      <formula>$B$2</formula>
    </cfRule>
  </conditionalFormatting>
  <conditionalFormatting sqref="F11">
    <cfRule type="cellIs" dxfId="221" priority="79" stopIfTrue="1" operator="lessThan">
      <formula>$B$2</formula>
    </cfRule>
  </conditionalFormatting>
  <conditionalFormatting sqref="C14">
    <cfRule type="expression" dxfId="220" priority="60">
      <formula>AND($C14-TODAY()&lt;30,TODAY()&lt;$C14)</formula>
    </cfRule>
  </conditionalFormatting>
  <conditionalFormatting sqref="C14">
    <cfRule type="cellIs" dxfId="219" priority="61" stopIfTrue="1" operator="lessThan">
      <formula>$B$2</formula>
    </cfRule>
  </conditionalFormatting>
  <conditionalFormatting sqref="C12">
    <cfRule type="cellIs" dxfId="218" priority="54" stopIfTrue="1" operator="lessThan">
      <formula>$B$2</formula>
    </cfRule>
  </conditionalFormatting>
  <conditionalFormatting sqref="C12">
    <cfRule type="expression" dxfId="217" priority="51">
      <formula>AND($C12-TODAY()&lt;30,TODAY()&lt;$C12)</formula>
    </cfRule>
  </conditionalFormatting>
  <conditionalFormatting sqref="C12">
    <cfRule type="cellIs" dxfId="216" priority="52" stopIfTrue="1" operator="lessThan">
      <formula>$B$2</formula>
    </cfRule>
  </conditionalFormatting>
  <conditionalFormatting sqref="B12">
    <cfRule type="cellIs" dxfId="215" priority="48" stopIfTrue="1" operator="equal">
      <formula>"已过期"</formula>
    </cfRule>
  </conditionalFormatting>
  <conditionalFormatting sqref="E12">
    <cfRule type="cellIs" dxfId="214" priority="38" stopIfTrue="1" operator="equal">
      <formula>"已过期"</formula>
    </cfRule>
  </conditionalFormatting>
  <conditionalFormatting sqref="F12">
    <cfRule type="cellIs" dxfId="213" priority="37" stopIfTrue="1" operator="lessThan">
      <formula>$B$2</formula>
    </cfRule>
  </conditionalFormatting>
  <conditionalFormatting sqref="C9:C10">
    <cfRule type="expression" dxfId="212" priority="33">
      <formula>AND($C9-TODAY()&lt;30,TODAY()&lt;$C9)</formula>
    </cfRule>
  </conditionalFormatting>
  <conditionalFormatting sqref="C9:C10">
    <cfRule type="cellIs" dxfId="211" priority="34" stopIfTrue="1" operator="lessThan">
      <formula>$B$2</formula>
    </cfRule>
  </conditionalFormatting>
  <conditionalFormatting sqref="F21">
    <cfRule type="cellIs" dxfId="210" priority="13" stopIfTrue="1" operator="lessThan">
      <formula>$B$2</formula>
    </cfRule>
  </conditionalFormatting>
  <conditionalFormatting sqref="F21">
    <cfRule type="expression" dxfId="209" priority="14">
      <formula>AND($E21-TODAY()&lt;30,TODAY()&lt;$E21)</formula>
    </cfRule>
  </conditionalFormatting>
  <conditionalFormatting sqref="C7:C8">
    <cfRule type="expression" dxfId="208" priority="5">
      <formula>AND($C7-TODAY()&lt;30,TODAY()&lt;$C7)</formula>
    </cfRule>
  </conditionalFormatting>
  <conditionalFormatting sqref="C7:C8">
    <cfRule type="cellIs" dxfId="207" priority="6" stopIfTrue="1" operator="lessThan">
      <formula>$B$2</formula>
    </cfRule>
  </conditionalFormatting>
  <conditionalFormatting sqref="C7:C8">
    <cfRule type="expression" dxfId="206" priority="3">
      <formula>AND($C7-TODAY()&lt;30,TODAY()&lt;$C7)</formula>
    </cfRule>
  </conditionalFormatting>
  <conditionalFormatting sqref="C7:C8">
    <cfRule type="cellIs" dxfId="205" priority="4" stopIfTrue="1" operator="lessThan">
      <formula>$B$2</formula>
    </cfRule>
  </conditionalFormatting>
  <conditionalFormatting sqref="C4">
    <cfRule type="expression" dxfId="204" priority="1">
      <formula>AND($C4-TODAY()&lt;30,TODAY()&lt;$C4)</formula>
    </cfRule>
  </conditionalFormatting>
  <conditionalFormatting sqref="C4">
    <cfRule type="cellIs" dxfId="203"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Z19" sqref="Z19"/>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5" t="s">
        <v>846</v>
      </c>
      <c r="B1" s="5" t="s">
        <v>132</v>
      </c>
      <c r="C1" s="1488" t="s">
        <v>1694</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2521</v>
      </c>
      <c r="R1" s="2432" t="s">
        <v>2515</v>
      </c>
      <c r="S1" s="6" t="s">
        <v>146</v>
      </c>
      <c r="T1" s="7" t="s">
        <v>147</v>
      </c>
      <c r="U1" s="6" t="s">
        <v>148</v>
      </c>
      <c r="V1" s="6" t="s">
        <v>149</v>
      </c>
      <c r="W1" s="992" t="s">
        <v>863</v>
      </c>
    </row>
    <row r="2" spans="1:23">
      <c r="A2" s="8" t="s">
        <v>73</v>
      </c>
      <c r="B2" s="8" t="s">
        <v>150</v>
      </c>
      <c r="C2" s="1489" t="s">
        <v>1695</v>
      </c>
      <c r="D2" s="9" t="s">
        <v>74</v>
      </c>
      <c r="E2" s="9" t="s">
        <v>127</v>
      </c>
      <c r="F2" s="9" t="s">
        <v>128</v>
      </c>
      <c r="G2" s="9">
        <v>40</v>
      </c>
      <c r="H2" s="9" t="s">
        <v>129</v>
      </c>
      <c r="I2" s="9" t="s">
        <v>130</v>
      </c>
      <c r="J2" s="9" t="s">
        <v>131</v>
      </c>
      <c r="K2" s="9" t="s">
        <v>75</v>
      </c>
      <c r="L2" s="9" t="s">
        <v>75</v>
      </c>
      <c r="M2" s="9" t="s">
        <v>75</v>
      </c>
      <c r="N2" s="9" t="s">
        <v>75</v>
      </c>
      <c r="O2" s="9" t="s">
        <v>75</v>
      </c>
      <c r="P2" s="993" t="s">
        <v>869</v>
      </c>
      <c r="Q2" s="9" t="s">
        <v>75</v>
      </c>
      <c r="R2" s="993" t="s">
        <v>2516</v>
      </c>
      <c r="S2" s="9" t="s">
        <v>75</v>
      </c>
      <c r="T2" s="9" t="s">
        <v>76</v>
      </c>
      <c r="U2" s="9" t="s">
        <v>75</v>
      </c>
      <c r="V2" s="9" t="s">
        <v>77</v>
      </c>
      <c r="W2" s="9" t="s">
        <v>864</v>
      </c>
    </row>
    <row r="3" spans="1:23">
      <c r="A3" s="8" t="s">
        <v>78</v>
      </c>
      <c r="B3" s="10" t="s">
        <v>151</v>
      </c>
      <c r="C3" s="1490" t="s">
        <v>1696</v>
      </c>
      <c r="D3" s="9" t="s">
        <v>79</v>
      </c>
      <c r="E3" s="9" t="s">
        <v>6</v>
      </c>
      <c r="F3" s="9" t="s">
        <v>80</v>
      </c>
      <c r="G3" s="9">
        <v>50</v>
      </c>
      <c r="H3" s="9" t="s">
        <v>81</v>
      </c>
      <c r="I3" s="9" t="s">
        <v>82</v>
      </c>
      <c r="J3" s="9" t="s">
        <v>83</v>
      </c>
      <c r="K3" s="9" t="s">
        <v>84</v>
      </c>
      <c r="L3" s="9" t="s">
        <v>84</v>
      </c>
      <c r="M3" s="9" t="s">
        <v>84</v>
      </c>
      <c r="N3" s="9" t="s">
        <v>84</v>
      </c>
      <c r="O3" s="9" t="s">
        <v>84</v>
      </c>
      <c r="P3" s="993" t="s">
        <v>592</v>
      </c>
      <c r="Q3" s="9" t="s">
        <v>84</v>
      </c>
      <c r="R3" s="993" t="s">
        <v>2517</v>
      </c>
      <c r="S3" s="9" t="s">
        <v>84</v>
      </c>
      <c r="T3" s="9" t="s">
        <v>85</v>
      </c>
      <c r="U3" s="9" t="s">
        <v>84</v>
      </c>
      <c r="V3" s="9" t="s">
        <v>86</v>
      </c>
      <c r="W3" s="9" t="s">
        <v>865</v>
      </c>
    </row>
    <row r="4" spans="1:23">
      <c r="A4" s="8" t="s">
        <v>87</v>
      </c>
      <c r="B4" s="8" t="s">
        <v>152</v>
      </c>
      <c r="C4" s="1489" t="s">
        <v>1697</v>
      </c>
      <c r="D4" s="9" t="s">
        <v>1978</v>
      </c>
      <c r="E4" s="9" t="s">
        <v>88</v>
      </c>
      <c r="F4" s="9" t="s">
        <v>89</v>
      </c>
      <c r="G4" s="9">
        <v>70</v>
      </c>
      <c r="H4" s="9" t="s">
        <v>90</v>
      </c>
      <c r="I4" s="9" t="s">
        <v>91</v>
      </c>
      <c r="K4" s="9" t="s">
        <v>92</v>
      </c>
      <c r="L4" s="9" t="s">
        <v>92</v>
      </c>
      <c r="M4" s="9" t="s">
        <v>92</v>
      </c>
      <c r="N4" s="9" t="s">
        <v>92</v>
      </c>
      <c r="O4" s="9" t="s">
        <v>92</v>
      </c>
      <c r="P4" s="993" t="s">
        <v>752</v>
      </c>
      <c r="Q4" s="9" t="s">
        <v>92</v>
      </c>
      <c r="R4" s="993" t="s">
        <v>2518</v>
      </c>
      <c r="S4" s="9" t="s">
        <v>92</v>
      </c>
      <c r="T4" s="9" t="s">
        <v>93</v>
      </c>
      <c r="U4" s="9" t="s">
        <v>92</v>
      </c>
      <c r="W4" s="9" t="s">
        <v>866</v>
      </c>
    </row>
    <row r="5" spans="1:23">
      <c r="A5" s="8" t="s">
        <v>94</v>
      </c>
      <c r="B5" s="8" t="s">
        <v>153</v>
      </c>
      <c r="C5" s="1489" t="s">
        <v>1698</v>
      </c>
      <c r="F5" s="9" t="s">
        <v>95</v>
      </c>
      <c r="H5" s="9" t="s">
        <v>70</v>
      </c>
      <c r="I5" s="9" t="s">
        <v>96</v>
      </c>
      <c r="K5" s="9" t="s">
        <v>97</v>
      </c>
      <c r="L5" s="9" t="s">
        <v>97</v>
      </c>
      <c r="M5" s="9" t="s">
        <v>97</v>
      </c>
      <c r="N5" s="9" t="s">
        <v>97</v>
      </c>
      <c r="O5" s="9" t="s">
        <v>97</v>
      </c>
      <c r="P5" s="993" t="s">
        <v>538</v>
      </c>
      <c r="Q5" s="9" t="s">
        <v>97</v>
      </c>
      <c r="R5" s="993" t="s">
        <v>2519</v>
      </c>
      <c r="S5" s="9" t="s">
        <v>97</v>
      </c>
      <c r="T5" s="9" t="s">
        <v>98</v>
      </c>
      <c r="U5" s="9" t="s">
        <v>97</v>
      </c>
      <c r="W5" s="9" t="s">
        <v>867</v>
      </c>
    </row>
    <row r="6" spans="1:23">
      <c r="A6" s="8" t="s">
        <v>99</v>
      </c>
      <c r="B6" s="1131" t="s">
        <v>3026</v>
      </c>
      <c r="C6" s="1491" t="s">
        <v>1699</v>
      </c>
      <c r="F6" s="9" t="s">
        <v>71</v>
      </c>
      <c r="H6" s="9" t="s">
        <v>72</v>
      </c>
      <c r="I6" s="9" t="s">
        <v>100</v>
      </c>
      <c r="K6" s="9" t="s">
        <v>101</v>
      </c>
      <c r="L6" s="9" t="s">
        <v>101</v>
      </c>
      <c r="M6" s="9" t="s">
        <v>101</v>
      </c>
      <c r="N6" s="9" t="s">
        <v>101</v>
      </c>
      <c r="O6" s="9" t="s">
        <v>101</v>
      </c>
      <c r="P6" s="993" t="s">
        <v>870</v>
      </c>
      <c r="Q6" s="9" t="s">
        <v>101</v>
      </c>
      <c r="R6" s="993" t="s">
        <v>2520</v>
      </c>
      <c r="S6" s="9" t="s">
        <v>101</v>
      </c>
      <c r="T6" s="9"/>
      <c r="U6" s="9" t="s">
        <v>101</v>
      </c>
      <c r="W6" s="9" t="s">
        <v>868</v>
      </c>
    </row>
    <row r="7" spans="1:23">
      <c r="A7" s="8" t="s">
        <v>102</v>
      </c>
      <c r="B7" s="8" t="s">
        <v>103</v>
      </c>
      <c r="C7" s="1489" t="s">
        <v>1700</v>
      </c>
      <c r="F7" s="9" t="s">
        <v>154</v>
      </c>
      <c r="H7" s="9" t="s">
        <v>104</v>
      </c>
      <c r="I7" s="9" t="s">
        <v>105</v>
      </c>
    </row>
    <row r="8" spans="1:23">
      <c r="A8" s="8" t="s">
        <v>106</v>
      </c>
      <c r="B8" s="8" t="s">
        <v>107</v>
      </c>
      <c r="C8" s="1489" t="s">
        <v>1701</v>
      </c>
      <c r="F8" s="9" t="s">
        <v>155</v>
      </c>
      <c r="H8" s="9"/>
      <c r="I8" s="9" t="s">
        <v>108</v>
      </c>
    </row>
    <row r="9" spans="1:23">
      <c r="A9" s="8" t="s">
        <v>109</v>
      </c>
      <c r="B9" s="8" t="s">
        <v>156</v>
      </c>
      <c r="C9" s="1489" t="s">
        <v>1702</v>
      </c>
      <c r="F9" s="9" t="s">
        <v>110</v>
      </c>
      <c r="H9" s="9"/>
    </row>
    <row r="10" spans="1:23">
      <c r="A10" s="8" t="s">
        <v>111</v>
      </c>
      <c r="B10" s="3298" t="s">
        <v>3083</v>
      </c>
      <c r="C10" s="1489" t="s">
        <v>1703</v>
      </c>
      <c r="F10" s="9" t="s">
        <v>6</v>
      </c>
    </row>
    <row r="11" spans="1:23">
      <c r="A11" s="8" t="s">
        <v>112</v>
      </c>
      <c r="B11" s="3298" t="s">
        <v>3084</v>
      </c>
      <c r="C11" s="1489" t="s">
        <v>1704</v>
      </c>
    </row>
    <row r="12" spans="1:23">
      <c r="A12" s="8" t="s">
        <v>113</v>
      </c>
      <c r="B12" s="8" t="s">
        <v>157</v>
      </c>
      <c r="C12" s="1489" t="s">
        <v>1705</v>
      </c>
    </row>
    <row r="13" spans="1:23">
      <c r="A13" s="8" t="s">
        <v>114</v>
      </c>
      <c r="B13" s="8" t="s">
        <v>158</v>
      </c>
      <c r="C13" s="1489" t="s">
        <v>1706</v>
      </c>
    </row>
    <row r="14" spans="1:23">
      <c r="A14" s="8" t="s">
        <v>115</v>
      </c>
      <c r="B14" s="8" t="s">
        <v>159</v>
      </c>
      <c r="C14" s="1492" t="s">
        <v>1882</v>
      </c>
    </row>
    <row r="15" spans="1:23">
      <c r="A15" s="8" t="s">
        <v>116</v>
      </c>
      <c r="B15" s="3298" t="s">
        <v>3086</v>
      </c>
      <c r="C15" s="1492"/>
    </row>
    <row r="16" spans="1:23">
      <c r="A16" s="8" t="s">
        <v>117</v>
      </c>
      <c r="B16" s="3298" t="s">
        <v>3087</v>
      </c>
      <c r="C16" s="1492"/>
    </row>
    <row r="17" spans="1:3">
      <c r="A17" s="8" t="s">
        <v>118</v>
      </c>
      <c r="B17" s="8" t="s">
        <v>1669</v>
      </c>
      <c r="C17" s="1492"/>
    </row>
    <row r="18" spans="1:3">
      <c r="A18" s="8" t="s">
        <v>119</v>
      </c>
      <c r="B18" s="2791" t="s">
        <v>2911</v>
      </c>
      <c r="C18" s="1492"/>
    </row>
    <row r="19" spans="1:3">
      <c r="A19" s="8" t="s">
        <v>120</v>
      </c>
      <c r="B19" s="2791" t="s">
        <v>2918</v>
      </c>
      <c r="C19" s="1492"/>
    </row>
    <row r="20" spans="1:3">
      <c r="A20" s="8" t="s">
        <v>121</v>
      </c>
      <c r="B20" s="2791" t="s">
        <v>2963</v>
      </c>
      <c r="C20" s="1492"/>
    </row>
    <row r="21" spans="1:3">
      <c r="A21" s="8" t="s">
        <v>122</v>
      </c>
      <c r="B21" s="1131" t="s">
        <v>3027</v>
      </c>
      <c r="C21" s="1492"/>
    </row>
    <row r="22" spans="1:3">
      <c r="A22" s="8" t="s">
        <v>123</v>
      </c>
      <c r="B22" s="3298" t="s">
        <v>3028</v>
      </c>
      <c r="C22" s="1492"/>
    </row>
    <row r="23" spans="1:3">
      <c r="A23" s="8" t="s">
        <v>124</v>
      </c>
      <c r="B23" s="3298" t="s">
        <v>3029</v>
      </c>
      <c r="C23" s="1492"/>
    </row>
    <row r="24" spans="1:3">
      <c r="A24" s="8" t="s">
        <v>12</v>
      </c>
      <c r="B24" s="8" t="s">
        <v>1629</v>
      </c>
      <c r="C24" s="1492"/>
    </row>
    <row r="25" spans="1:3">
      <c r="A25" s="8" t="s">
        <v>125</v>
      </c>
      <c r="B25" s="8" t="s">
        <v>1629</v>
      </c>
      <c r="C25" s="1492"/>
    </row>
    <row r="26" spans="1:3">
      <c r="A26" s="8" t="s">
        <v>126</v>
      </c>
      <c r="B26" s="8" t="s">
        <v>1629</v>
      </c>
      <c r="C26" s="1492"/>
    </row>
    <row r="27" spans="1:3">
      <c r="A27" s="8" t="s">
        <v>1629</v>
      </c>
      <c r="B27" s="8" t="s">
        <v>1629</v>
      </c>
      <c r="C27" s="1492"/>
    </row>
    <row r="28" spans="1:3">
      <c r="A28" s="8" t="s">
        <v>1629</v>
      </c>
      <c r="B28" s="8" t="s">
        <v>1629</v>
      </c>
      <c r="C28" s="1492"/>
    </row>
    <row r="29" spans="1:3">
      <c r="A29" s="8" t="s">
        <v>1629</v>
      </c>
      <c r="B29" s="8" t="s">
        <v>1629</v>
      </c>
      <c r="C29" s="1492"/>
    </row>
    <row r="30" spans="1:3">
      <c r="A30" s="8" t="s">
        <v>1629</v>
      </c>
      <c r="B30" s="8" t="s">
        <v>1629</v>
      </c>
      <c r="C30" s="1492"/>
    </row>
    <row r="31" spans="1:3">
      <c r="A31" s="8" t="s">
        <v>1629</v>
      </c>
      <c r="B31" s="8" t="s">
        <v>1629</v>
      </c>
      <c r="C31" s="1492"/>
    </row>
    <row r="32" spans="1:3">
      <c r="A32" s="8" t="s">
        <v>1629</v>
      </c>
      <c r="B32" s="8" t="s">
        <v>1629</v>
      </c>
      <c r="C32" s="1492"/>
    </row>
    <row r="33" spans="1:3">
      <c r="A33" s="8" t="s">
        <v>1629</v>
      </c>
      <c r="B33" s="8" t="s">
        <v>1629</v>
      </c>
      <c r="C33" s="1492"/>
    </row>
    <row r="34" spans="1:3">
      <c r="A34" s="8" t="s">
        <v>1629</v>
      </c>
      <c r="B34" s="8" t="s">
        <v>1629</v>
      </c>
      <c r="C34" s="1492"/>
    </row>
    <row r="35" spans="1:3">
      <c r="A35" s="8" t="s">
        <v>1629</v>
      </c>
      <c r="B35" s="8" t="s">
        <v>1629</v>
      </c>
      <c r="C35" s="1492"/>
    </row>
    <row r="36" spans="1:3">
      <c r="A36" s="8" t="s">
        <v>1629</v>
      </c>
      <c r="B36" s="8" t="s">
        <v>1629</v>
      </c>
      <c r="C36" s="1492"/>
    </row>
    <row r="37" spans="1:3">
      <c r="A37" s="8" t="s">
        <v>1629</v>
      </c>
      <c r="B37" s="8" t="s">
        <v>1629</v>
      </c>
      <c r="C37" s="1492"/>
    </row>
    <row r="38" spans="1:3">
      <c r="A38" s="8" t="s">
        <v>1629</v>
      </c>
      <c r="B38" s="8" t="s">
        <v>1629</v>
      </c>
      <c r="C38" s="1492"/>
    </row>
    <row r="39" spans="1:3">
      <c r="A39" s="8" t="s">
        <v>1629</v>
      </c>
      <c r="B39" s="8" t="s">
        <v>1629</v>
      </c>
      <c r="C39" s="1492"/>
    </row>
    <row r="40" spans="1:3">
      <c r="A40" s="8" t="s">
        <v>1629</v>
      </c>
      <c r="B40" s="8" t="s">
        <v>1629</v>
      </c>
      <c r="C40" s="1492"/>
    </row>
    <row r="41" spans="1:3">
      <c r="A41" s="8" t="s">
        <v>1629</v>
      </c>
      <c r="B41" s="8" t="s">
        <v>1629</v>
      </c>
      <c r="C41" s="1492"/>
    </row>
    <row r="42" spans="1:3">
      <c r="A42" s="8" t="s">
        <v>1629</v>
      </c>
      <c r="B42" s="8" t="s">
        <v>1629</v>
      </c>
      <c r="C42" s="1492"/>
    </row>
    <row r="43" spans="1:3">
      <c r="A43" s="8" t="s">
        <v>1629</v>
      </c>
      <c r="B43" s="8" t="s">
        <v>1629</v>
      </c>
      <c r="C43" s="1492"/>
    </row>
    <row r="44" spans="1:3">
      <c r="A44" s="8" t="s">
        <v>1629</v>
      </c>
      <c r="B44" s="8" t="s">
        <v>1629</v>
      </c>
      <c r="C44" s="1492"/>
    </row>
    <row r="45" spans="1:3">
      <c r="A45" s="8" t="s">
        <v>1629</v>
      </c>
      <c r="B45" s="8" t="s">
        <v>1629</v>
      </c>
      <c r="C45" s="1492"/>
    </row>
    <row r="46" spans="1:3">
      <c r="A46" s="8" t="s">
        <v>1629</v>
      </c>
      <c r="B46" s="8" t="s">
        <v>1629</v>
      </c>
      <c r="C46" s="1492"/>
    </row>
    <row r="47" spans="1:3">
      <c r="A47" s="8" t="s">
        <v>1629</v>
      </c>
      <c r="B47" s="8" t="s">
        <v>1629</v>
      </c>
      <c r="C47" s="1492"/>
    </row>
    <row r="48" spans="1:3">
      <c r="A48" s="8" t="s">
        <v>1629</v>
      </c>
      <c r="B48" s="8" t="s">
        <v>1629</v>
      </c>
      <c r="C48" s="1492"/>
    </row>
    <row r="49" spans="1:5">
      <c r="A49" s="8" t="s">
        <v>1629</v>
      </c>
      <c r="B49" s="8" t="s">
        <v>1629</v>
      </c>
      <c r="C49" s="1492"/>
    </row>
    <row r="50" spans="1:5">
      <c r="A50" s="8" t="s">
        <v>1629</v>
      </c>
      <c r="B50" s="8" t="s">
        <v>1629</v>
      </c>
      <c r="C50" s="1492"/>
    </row>
    <row r="51" spans="1:5">
      <c r="A51" s="1683" t="s">
        <v>1926</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1970</v>
      </c>
      <c r="B52" s="1686" t="s">
        <v>1971</v>
      </c>
      <c r="C52" s="1684" t="s">
        <v>1972</v>
      </c>
      <c r="D52" s="1684" t="s">
        <v>1973</v>
      </c>
      <c r="E52" s="1685"/>
    </row>
    <row r="53" spans="1:5">
      <c r="A53" s="3412" t="s">
        <v>1974</v>
      </c>
      <c r="B53" s="1684" t="s">
        <v>1980</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9月24日，在规划利用条件下、设定土地开发程度为红线外“七通”、宗地内场地，设定用途为，剩余土地使用年限为的出让国有建设用地使用权价格。</v>
      </c>
      <c r="D53" s="1685"/>
      <c r="E53" s="1685"/>
    </row>
    <row r="54" spans="1:5">
      <c r="A54" s="3412"/>
      <c r="B54" s="1684" t="s">
        <v>1981</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412"/>
      <c r="B55" s="1684" t="s">
        <v>1975</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412"/>
      <c r="B56" s="1684" t="s">
        <v>1976</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412"/>
      <c r="B57" s="1684" t="s">
        <v>1977</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2033</v>
      </c>
      <c r="B58" s="1684" t="s">
        <v>2034</v>
      </c>
      <c r="C58" s="11" t="s">
        <v>2035</v>
      </c>
      <c r="D58" s="1272" t="s">
        <v>2036</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156</vt:i4>
      </vt:variant>
    </vt:vector>
  </HeadingPairs>
  <TitlesOfParts>
    <vt:vector size="20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土储要求测算表</vt:lpstr>
      <vt:lpstr>Sheet1</vt:lpstr>
      <vt:lpstr>结果表</vt:lpstr>
      <vt:lpstr>剩余法-现房</vt:lpstr>
      <vt:lpstr>比较法-住宅、综合</vt:lpstr>
      <vt:lpstr>比较法-工业</vt:lpstr>
      <vt:lpstr>基准地价-商</vt:lpstr>
      <vt:lpstr>修正</vt:lpstr>
      <vt:lpstr>区片价</vt:lpstr>
      <vt:lpstr>容积率修正</vt:lpstr>
      <vt:lpstr>因素修正幅度</vt:lpstr>
      <vt:lpstr>基准地价-办</vt:lpstr>
      <vt:lpstr>地价</vt:lpstr>
      <vt:lpstr>基准地价（汇总）</vt:lpstr>
      <vt:lpstr>收益还原法</vt:lpstr>
      <vt:lpstr>剩余法-商</vt:lpstr>
      <vt:lpstr>不动产收益法-商</vt:lpstr>
      <vt:lpstr>酒店收入计算</vt:lpstr>
      <vt:lpstr>成本逼近法</vt:lpstr>
      <vt:lpstr>不动产比较法-住宅</vt:lpstr>
      <vt:lpstr>不动产比较法-商</vt:lpstr>
      <vt:lpstr>商业案例截图及地图</vt:lpstr>
      <vt:lpstr>剩余法-办</vt:lpstr>
      <vt:lpstr>不动产收益法-办</vt:lpstr>
      <vt:lpstr>不动产比较法-办</vt:lpstr>
      <vt:lpstr>不动产比较法-工业</vt:lpstr>
      <vt:lpstr>不动产比较法-车位</vt:lpstr>
      <vt:lpstr>不动产比较法-仓储</vt:lpstr>
      <vt:lpstr>典型户型修正</vt:lpstr>
      <vt:lpstr>办公案例截图及地图</vt:lpstr>
      <vt:lpstr>存贷款利率</vt:lpstr>
      <vt:lpstr>'比较法-工业'!Print_Area</vt:lpstr>
      <vt:lpstr>'比较法-住宅、综合'!Print_Area</vt:lpstr>
      <vt:lpstr>'不动产比较法-办'!Print_Area</vt:lpstr>
      <vt:lpstr>'不动产比较法-仓储'!Print_Area</vt:lpstr>
      <vt:lpstr>'不动产比较法-车位'!Print_Area</vt:lpstr>
      <vt:lpstr>'不动产比较法-工业'!Print_Area</vt:lpstr>
      <vt:lpstr>'不动产比较法-商'!Print_Area</vt:lpstr>
      <vt:lpstr>'不动产比较法-住宅'!Print_Area</vt:lpstr>
      <vt:lpstr>'不动产收益法-办'!Print_Area</vt:lpstr>
      <vt:lpstr>'不动产收益法-商'!Print_Area</vt:lpstr>
      <vt:lpstr>成本逼近法!Print_Area</vt:lpstr>
      <vt:lpstr>估价对象房地状况!Print_Area</vt:lpstr>
      <vt:lpstr>估价师及机构信息!Print_Area</vt:lpstr>
      <vt:lpstr>'基准地价（汇总）'!Print_Area</vt:lpstr>
      <vt:lpstr>'基准地价-办'!Print_Area</vt:lpstr>
      <vt:lpstr>'基准地价-商'!Print_Area</vt:lpstr>
      <vt:lpstr>结果表!Print_Area</vt:lpstr>
      <vt:lpstr>'剩余法-办'!Print_Area</vt:lpstr>
      <vt:lpstr>'剩余法-商'!Print_Area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2021-09-30T06:18:51Z</dcterms:modified>
</cp:coreProperties>
</file>