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80" windowHeight="1080" tabRatio="875" firstSheet="10"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土地案例" sheetId="68" state="hidden" r:id="rId20"/>
    <sheet name="选取案例（土地）" sheetId="71" state="hidden" r:id="rId21"/>
    <sheet name="剩余法-待开发" sheetId="12"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2)" sheetId="70" r:id="rId43"/>
    <sheet name="土地使用证" sheetId="72" r:id="rId44"/>
    <sheet name="Sheet2" sheetId="73" r:id="rId45"/>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'数据-基础表'!$A$1:$M$13</definedName>
    <definedName name="_xlnm.Print_Area" localSheetId="9">项目基本情况!$A$1:$I$44</definedName>
    <definedName name="八级">区片价!$P$1:$P$40</definedName>
    <definedName name="办公层高" localSheetId="42">#REF!</definedName>
    <definedName name="办公层高">'不动产比较法-办公'!$B$119:$M$119</definedName>
    <definedName name="办公朝向" localSheetId="42">#REF!</definedName>
    <definedName name="办公朝向">'不动产比较法-办公'!$B$91:$M$91</definedName>
    <definedName name="办公道路级别" localSheetId="42">#REF!</definedName>
    <definedName name="办公道路级别">'不动产比较法-办公'!$B$87:$M$87</definedName>
    <definedName name="办公公共部分装修" localSheetId="42">#REF!</definedName>
    <definedName name="办公公共部分装修">'不动产比较法-办公'!$B$108:$M$108</definedName>
    <definedName name="办公基础设施水平" localSheetId="42">#REF!</definedName>
    <definedName name="办公基础设施水平">'不动产比较法-办公'!$B$117:$M$117</definedName>
    <definedName name="办公集聚程度" localSheetId="42">#REF!</definedName>
    <definedName name="办公集聚程度">定义!$M$1:$M$6</definedName>
    <definedName name="办公建筑结构" localSheetId="42">#REF!</definedName>
    <definedName name="办公建筑结构">'不动产比较法-办公'!$B$106:$M$106</definedName>
    <definedName name="办公建筑类型" localSheetId="42">#REF!</definedName>
    <definedName name="办公建筑类型">'不动产比较法-办公'!$B$101:$M$101</definedName>
    <definedName name="办公交易情况" localSheetId="42">#REF!</definedName>
    <definedName name="办公交易情况">'不动产比较法-办公'!$A$62:$M$62</definedName>
    <definedName name="办公楼层" localSheetId="42">#REF!</definedName>
    <definedName name="办公楼层">'不动产比较法-办公'!$B$89:$M$89</definedName>
    <definedName name="办公内部装修" localSheetId="42">#REF!</definedName>
    <definedName name="办公内部装修">'不动产比较法-办公'!$B$123:$M$123</definedName>
    <definedName name="办公物业管理" localSheetId="42">#REF!</definedName>
    <definedName name="办公物业管理">'不动产比较法-办公'!$B$115:$M$115</definedName>
    <definedName name="办公用途" localSheetId="42">#REF!</definedName>
    <definedName name="办公用途">'不动产比较法-办公'!$B$64:$M$64</definedName>
    <definedName name="仓储公共部分装修" localSheetId="42">#REF!</definedName>
    <definedName name="仓储公共部分装修">'不动产比较法-仓储'!$B$77:$M$77</definedName>
    <definedName name="仓储交易情况" localSheetId="42">#REF!</definedName>
    <definedName name="仓储交易情况">'不动产比较法-仓储'!$A$49:$M$49</definedName>
    <definedName name="仓储楼层" localSheetId="42">#REF!</definedName>
    <definedName name="仓储楼层">'不动产比较法-仓储'!$B$69:$M$69</definedName>
    <definedName name="仓储物业等级" localSheetId="42">#REF!</definedName>
    <definedName name="仓储物业等级">'不动产比较法-仓储'!$B$82:$M$82</definedName>
    <definedName name="仓储用途" localSheetId="42">#REF!</definedName>
    <definedName name="仓储用途">'不动产比较法-仓储'!$B$51:$M$51</definedName>
    <definedName name="产业集聚程度" localSheetId="42">#REF!</definedName>
    <definedName name="产业集聚程度">定义!$N$1:$N$6</definedName>
    <definedName name="车位公共部分装修" localSheetId="42">#REF!</definedName>
    <definedName name="车位公共部分装修">'不动产比较法-车位'!$B$83:$M$83</definedName>
    <definedName name="车位交易情况" localSheetId="42">#REF!</definedName>
    <definedName name="车位交易情况">'不动产比较法-车位'!$A$51:$M$51</definedName>
    <definedName name="车位类型" localSheetId="42">#REF!</definedName>
    <definedName name="车位类型">'不动产比较法-车位'!$B$93:$M$93</definedName>
    <definedName name="车位楼层" localSheetId="42">#REF!</definedName>
    <definedName name="车位楼层">'不动产比较法-车位'!$B$71:$M$71</definedName>
    <definedName name="车位配套类型" localSheetId="42">#REF!</definedName>
    <definedName name="车位配套类型">'不动产比较法-车位'!$B$79:$M$79</definedName>
    <definedName name="车位物业等级" localSheetId="42">#REF!</definedName>
    <definedName name="车位物业等级">'不动产比较法-车位'!$B$88:$M$88</definedName>
    <definedName name="车位用途" localSheetId="42">#REF!</definedName>
    <definedName name="车位用途">'不动产比较法-车位'!$B$53:$M$53</definedName>
    <definedName name="城镇土地纳税等级分级范围" localSheetId="42">#REF!</definedName>
    <definedName name="城镇土地纳税等级分级范围">'数据-取费表'!$A$53:$A$63</definedName>
    <definedName name="单价内涵" localSheetId="42">#REF!</definedName>
    <definedName name="单价内涵">定义!$V$1:$V$3</definedName>
    <definedName name="地类判定" localSheetId="42">#REF!</definedName>
    <definedName name="地类判定">定义!$H$1:$H$9</definedName>
    <definedName name="二级">区片价!$J$1:$J$20</definedName>
    <definedName name="二级分类" localSheetId="42">#REF!</definedName>
    <definedName name="二级分类">修正!$C$17:$C$39</definedName>
    <definedName name="法定最高年限" localSheetId="42">#REF!</definedName>
    <definedName name="法定最高年限">定义!$G$2:$G$4</definedName>
    <definedName name="工业公共部分装修" localSheetId="42">#REF!</definedName>
    <definedName name="工业公共部分装修">'不动产比较法-工业'!$B$95:$M$95</definedName>
    <definedName name="工业基础设施水平" localSheetId="42">#REF!</definedName>
    <definedName name="工业基础设施水平">'不动产比较法-工业'!$B$102:$M$102</definedName>
    <definedName name="工业建筑结构" localSheetId="42">#REF!</definedName>
    <definedName name="工业建筑结构">'不动产比较法-工业'!$B$93:$M$93</definedName>
    <definedName name="工业建筑类型" localSheetId="42">#REF!</definedName>
    <definedName name="工业建筑类型">'不动产比较法-工业'!$B$88:$M$88</definedName>
    <definedName name="工业交易情况" localSheetId="42">#REF!</definedName>
    <definedName name="工业交易情况">'不动产比较法-工业'!$A$55:$M$55</definedName>
    <definedName name="工业内部装修" localSheetId="42">#REF!</definedName>
    <definedName name="工业内部装修">'不动产比较法-工业'!$B$104:$M$104</definedName>
    <definedName name="工业物业管理" localSheetId="42">#REF!</definedName>
    <definedName name="工业物业管理">'不动产比较法-工业'!$B$100:$M$100</definedName>
    <definedName name="工业用途" localSheetId="42">#REF!</definedName>
    <definedName name="工业用途">'不动产比较法-工业'!$B$57:$M$57</definedName>
    <definedName name="公共配套设施" localSheetId="42">#REF!</definedName>
    <definedName name="公共配套设施">定义!$Q$1:$Q$6</definedName>
    <definedName name="估价方法" localSheetId="42">#REF!</definedName>
    <definedName name="估价方法">定义!$B$1:$B$50</definedName>
    <definedName name="环境" localSheetId="42">#REF!</definedName>
    <definedName name="环境">定义!$S$1:$S$6</definedName>
    <definedName name="基础设施水平" localSheetId="42">#REF!</definedName>
    <definedName name="基础设施水平">定义!$R$1:$R$6</definedName>
    <definedName name="季度">基准地价!$N$19:$AG$19</definedName>
    <definedName name="季度2014">地价!$A$2:$A$23</definedName>
    <definedName name="价值类型2" localSheetId="42">#REF!</definedName>
    <definedName name="价值类型2">定义!$B$54:$B$56</definedName>
    <definedName name="交通便捷度" localSheetId="42">#REF!</definedName>
    <definedName name="交通便捷度">定义!$O$1:$O$6</definedName>
    <definedName name="九级">区片价!$Q$1:$Q$46</definedName>
    <definedName name="居住社区成熟度" localSheetId="42">#REF!</definedName>
    <definedName name="居住社区成熟度">定义!$K$1:$K$6</definedName>
    <definedName name="类别" localSheetId="42">#REF!</definedName>
    <definedName name="类别">定义!$J$1:$J$3</definedName>
    <definedName name="临街状况" localSheetId="42">#REF!</definedName>
    <definedName name="临街状况">定义!$T$1:$T$5</definedName>
    <definedName name="六级">区片价!$N$1:$N$49</definedName>
    <definedName name="内部装修维护情况" localSheetId="42">#REF!</definedName>
    <definedName name="内部装修维护情况">定义!$U$1:$U$6</definedName>
    <definedName name="判定" localSheetId="42">#REF!</definedName>
    <definedName name="判定">定义!$D$1:$D$4</definedName>
    <definedName name="七级">区片价!$O$1:$O$49</definedName>
    <definedName name="七通一平" localSheetId="42">#REF!</definedName>
    <definedName name="七通一平">修正!$A$6:$A$14</definedName>
    <definedName name="区域土地利用方向" localSheetId="42">#REF!</definedName>
    <definedName name="区域土地利用方向">定义!$P$1:$P$6</definedName>
    <definedName name="三级">区片价!$K$1:$K$21</definedName>
    <definedName name="商业层高" localSheetId="42">#REF!</definedName>
    <definedName name="商业层高">'不动产比较法-商业'!$B$116:$M$116</definedName>
    <definedName name="商业成新度">'不动产比较法-商业'!$B$109:$M$109</definedName>
    <definedName name="商业繁华度" localSheetId="42">#REF!</definedName>
    <definedName name="商业繁华度">定义!$L$1:$L$6</definedName>
    <definedName name="商业公共部分装修" localSheetId="42">#REF!</definedName>
    <definedName name="商业公共部分装修">'不动产比较法-商业'!$B$107:$M$107</definedName>
    <definedName name="商业基础设施水平" localSheetId="42">#REF!</definedName>
    <definedName name="商业基础设施水平">'不动产比较法-商业'!$B$112:$M$112</definedName>
    <definedName name="商业建筑结构" localSheetId="42">#REF!</definedName>
    <definedName name="商业建筑结构">'不动产比较法-商业'!$B$105:$M$105</definedName>
    <definedName name="商业交易情况" localSheetId="42">#REF!</definedName>
    <definedName name="商业交易情况">'不动产比较法-商业'!$A$61:$M$61</definedName>
    <definedName name="商业街名称" localSheetId="42">#REF!</definedName>
    <definedName name="商业街名称">修正!$C$59:$C$119</definedName>
    <definedName name="商业进深比" localSheetId="42">#REF!</definedName>
    <definedName name="商业进深比">'不动产比较法-商业'!$B$120:$M$120</definedName>
    <definedName name="商业类型" localSheetId="42">#REF!</definedName>
    <definedName name="商业类型">'不动产比较法-商业'!$B$100:$M$100</definedName>
    <definedName name="商业临街状况" localSheetId="42">#REF!</definedName>
    <definedName name="商业临街状况">'不动产比较法-商业'!$B$86:$M$86</definedName>
    <definedName name="商业楼层" localSheetId="42">#REF!</definedName>
    <definedName name="商业楼层">'不动产比较法-商业'!$B$92:$M$92</definedName>
    <definedName name="商业内部装修" localSheetId="42">#REF!</definedName>
    <definedName name="商业内部装修">'不动产比较法-商业'!$B$122:$M$122</definedName>
    <definedName name="商业人流量" localSheetId="42">#REF!</definedName>
    <definedName name="商业人流量">'不动产比较法-商业'!$B$90:$M$90</definedName>
    <definedName name="商业业态" localSheetId="42">#REF!</definedName>
    <definedName name="商业业态">'不动产比较法-商业'!$B$114:$M$114</definedName>
    <definedName name="商业用途" localSheetId="42">#REF!</definedName>
    <definedName name="商业用途">'不动产比较法-商业'!$B$63:$M$63</definedName>
    <definedName name="十二级">区片价!$T$1:$T$8</definedName>
    <definedName name="十级">区片价!$R$1:$R$27</definedName>
    <definedName name="十一级">区片价!$S$1:$S$22</definedName>
    <definedName name="是否封闭" localSheetId="42">#REF!</definedName>
    <definedName name="是否封闭">'不动产比较法-仓储'!$B$89:$M$89</definedName>
    <definedName name="是否直接入户" localSheetId="42">#REF!</definedName>
    <definedName name="是否直接入户">'不动产比较法-车位'!$B$95:$M$95</definedName>
    <definedName name="四级">区片价!$L$1:$L$28</definedName>
    <definedName name="套工工程地质条件" localSheetId="42">#REF!</definedName>
    <definedName name="套工工程地质条件">'比较法-工业'!$B$116:$M$116</definedName>
    <definedName name="套工交易情况" localSheetId="42">#REF!</definedName>
    <definedName name="套工交易情况">'比较法-住宅、综合'!$A$75:$M$75</definedName>
    <definedName name="套工开发程度" localSheetId="42">#REF!</definedName>
    <definedName name="套工开发程度">'比较法-工业'!$B$114:$M$114</definedName>
    <definedName name="套工临街等级" localSheetId="42">#REF!</definedName>
    <definedName name="套工临街等级">'比较法-工业'!$B$99:$M$99</definedName>
    <definedName name="套工土地级别" localSheetId="42">#REF!</definedName>
    <definedName name="套工土地级别">'比较法-工业'!$B$101:$M$101</definedName>
    <definedName name="套工用途" localSheetId="42">#REF!</definedName>
    <definedName name="套工用途">'比较法-工业'!$B$72:$M$72</definedName>
    <definedName name="套工宗地形状" localSheetId="42">#REF!</definedName>
    <definedName name="套工宗地形状">'比较法-工业'!$B$112:$M$112</definedName>
    <definedName name="套综道路等级" localSheetId="42">#REF!</definedName>
    <definedName name="套综道路等级">'比较法-住宅、综合'!$B$108:$M$108</definedName>
    <definedName name="套综工程地质条件" localSheetId="42">#REF!</definedName>
    <definedName name="套综工程地质条件">'比较法-住宅、综合'!$B$127:$M$127</definedName>
    <definedName name="套综交易情况" localSheetId="42">#REF!</definedName>
    <definedName name="套综交易情况">'比较法-住宅、综合'!$A$75:$M$75</definedName>
    <definedName name="套综临街宽度及深度" localSheetId="42">#REF!</definedName>
    <definedName name="套综临街宽度及深度">'比较法-住宅、综合'!$B$123:$M$123</definedName>
    <definedName name="套综土地级别" localSheetId="42">#REF!</definedName>
    <definedName name="套综土地级别">'比较法-住宅、综合'!$B$110:$M$110</definedName>
    <definedName name="套综用途" localSheetId="42">#REF!</definedName>
    <definedName name="套综用途">'比较法-住宅、综合'!$B$77:$M$77</definedName>
    <definedName name="套综宗地内开发程度" localSheetId="42">#REF!</definedName>
    <definedName name="套综宗地内开发程度">'比较法-住宅、综合'!$B$125:$M$125</definedName>
    <definedName name="套综宗地形状" localSheetId="42">#REF!</definedName>
    <definedName name="套综宗地形状">'比较法-住宅、综合'!$B$121:$M$121</definedName>
    <definedName name="土地估价师" localSheetId="42">#REF!</definedName>
    <definedName name="土地估价师">估价师及机构信息!$D$3:$D$24</definedName>
    <definedName name="土地级别" localSheetId="42">#REF!</definedName>
    <definedName name="土地级别">定义!$C$1:$C$14</definedName>
    <definedName name="土地利用方向">定义!$P$1:$P$6</definedName>
    <definedName name="土地年限区间" localSheetId="42">#REF!</definedName>
    <definedName name="土地年限区间">定义!$I$1:$I$8</definedName>
    <definedName name="位置" localSheetId="42">#REF!</definedName>
    <definedName name="位置">定义!$E$2:$E$4</definedName>
    <definedName name="五等判定" localSheetId="42">#REF!</definedName>
    <definedName name="五等判定">定义!$W$1:$W$6</definedName>
    <definedName name="五级">区片价!$M$1:$M$35</definedName>
    <definedName name="项目类型" localSheetId="42">#REF!</definedName>
    <definedName name="项目类型">'数据-汇总表'!$C$17:$C$26</definedName>
    <definedName name="写字楼等级" localSheetId="42">#REF!</definedName>
    <definedName name="写字楼等级">'不动产比较法-办公'!$B$113:$M$113</definedName>
    <definedName name="一级">区片价!$I$1:$I$6</definedName>
    <definedName name="一修多修正项2" localSheetId="42">#REF!</definedName>
    <definedName name="一修多修正项2">典型户型修正!$5:$5</definedName>
    <definedName name="一修多修正项3" localSheetId="42">#REF!</definedName>
    <definedName name="一修多修正项3">典型户型修正!$7:$7</definedName>
    <definedName name="一修多修正项4" localSheetId="42">#REF!</definedName>
    <definedName name="一修多修正项4">典型户型修正!$9:$9</definedName>
    <definedName name="一修多修正项5" localSheetId="42">#REF!</definedName>
    <definedName name="一修多修正项5">典型户型修正!$11:$11</definedName>
    <definedName name="一修多修正项6" localSheetId="42">#REF!</definedName>
    <definedName name="一修多修正项6">典型户型修正!$13:$13</definedName>
    <definedName name="一修多修正项7" localSheetId="42">#REF!</definedName>
    <definedName name="一修多修正项7">典型户型修正!$15:$15</definedName>
    <definedName name="一修多修正项8" localSheetId="42">#REF!</definedName>
    <definedName name="一修多修正项8">典型户型修正!$17:$17</definedName>
    <definedName name="用途类型" localSheetId="42">#REF!</definedName>
    <definedName name="用途类型">定义!$A$1:$A$50</definedName>
    <definedName name="有无电梯" localSheetId="42">#REF!</definedName>
    <definedName name="有无电梯">'不动产比较法-仓储'!$B$84:$M$84</definedName>
    <definedName name="主用途" localSheetId="42">#REF!</definedName>
    <definedName name="主用途">定义!$F$1:$F$10</definedName>
    <definedName name="住宅朝向" localSheetId="42">#REF!</definedName>
    <definedName name="住宅朝向">'不动产比较法-住宅'!$B$88:$M$88</definedName>
    <definedName name="住宅房型" localSheetId="42">#REF!</definedName>
    <definedName name="住宅房型">'不动产比较法-住宅'!$B$118:$M$118</definedName>
    <definedName name="住宅公共部分装修" localSheetId="42">#REF!</definedName>
    <definedName name="住宅公共部分装修">'不动产比较法-住宅'!$B$109:$M$109</definedName>
    <definedName name="住宅基础设施水平" localSheetId="42">#REF!</definedName>
    <definedName name="住宅基础设施水平">'不动产比较法-住宅'!$B$116:$M$116</definedName>
    <definedName name="住宅建筑结构" localSheetId="42">#REF!</definedName>
    <definedName name="住宅建筑结构">'不动产比较法-住宅'!$B$105:$M$105</definedName>
    <definedName name="住宅建筑类型" localSheetId="42">#REF!</definedName>
    <definedName name="住宅建筑类型">'不动产比较法-住宅'!$B$100:$M$100</definedName>
    <definedName name="住宅建筑品质" localSheetId="42">#REF!</definedName>
    <definedName name="住宅建筑品质">'不动产比较法-住宅'!$B$107:$M$107</definedName>
    <definedName name="住宅交易情况" localSheetId="42">#REF!</definedName>
    <definedName name="住宅交易情况">'不动产比较法-住宅'!$A$61:$M$61</definedName>
    <definedName name="住宅楼层" localSheetId="42">#REF!</definedName>
    <definedName name="住宅楼层">'不动产比较法-住宅'!$B$86:$M$86</definedName>
    <definedName name="住宅内部装修" localSheetId="42">#REF!</definedName>
    <definedName name="住宅内部装修">'不动产比较法-住宅'!$B$122:$M$122</definedName>
    <definedName name="住宅物业管理" localSheetId="42">#REF!</definedName>
    <definedName name="住宅物业管理">'不动产比较法-住宅'!$B$114:$M$114</definedName>
    <definedName name="住宅用途" localSheetId="42">#REF!</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7" i="4" l="1"/>
  <c r="C10" i="12"/>
  <c r="I48" i="39"/>
  <c r="G48" i="39"/>
  <c r="E48" i="39"/>
  <c r="I40" i="39"/>
  <c r="G40" i="39"/>
  <c r="E40" i="39"/>
  <c r="I7" i="39"/>
  <c r="G7" i="39"/>
  <c r="E7" i="39"/>
  <c r="K13" i="3"/>
  <c r="I13" i="3"/>
  <c r="F20" i="6"/>
  <c r="F19" i="6"/>
  <c r="B13" i="3"/>
  <c r="A3" i="3"/>
  <c r="D73" i="39"/>
  <c r="E73" i="39"/>
  <c r="F73" i="39"/>
  <c r="G73" i="39"/>
  <c r="H73" i="39"/>
  <c r="B43" i="1"/>
  <c r="B41" i="1"/>
  <c r="F32" i="15"/>
  <c r="B22" i="1"/>
  <c r="C2" i="65"/>
  <c r="I1" i="65"/>
  <c r="F23" i="15"/>
  <c r="F21" i="15"/>
  <c r="F28" i="15"/>
  <c r="E19" i="12"/>
  <c r="F24" i="12"/>
  <c r="B24" i="1"/>
  <c r="F29" i="12"/>
  <c r="I9" i="39"/>
  <c r="G9" i="39"/>
  <c r="E9" i="39"/>
  <c r="I8" i="39"/>
  <c r="G8" i="39"/>
  <c r="E8" i="39"/>
  <c r="I73" i="39"/>
  <c r="J73" i="39"/>
  <c r="K73" i="39"/>
  <c r="L73" i="39"/>
  <c r="M73" i="39"/>
  <c r="N73" i="39"/>
  <c r="C77" i="39"/>
  <c r="B52" i="1"/>
  <c r="F34" i="15"/>
  <c r="B13" i="4"/>
  <c r="B7" i="4"/>
  <c r="D3" i="4"/>
  <c r="B2" i="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c r="C24" i="46"/>
  <c r="F39" i="46"/>
  <c r="F38" i="46"/>
  <c r="F37" i="46"/>
  <c r="D5" i="46"/>
  <c r="F36" i="46"/>
  <c r="F35" i="46"/>
  <c r="F34" i="46"/>
  <c r="A6" i="1"/>
  <c r="J50" i="15"/>
  <c r="J51" i="15"/>
  <c r="M47" i="15"/>
  <c r="M48" i="44"/>
  <c r="J51" i="44"/>
  <c r="J52" i="44"/>
  <c r="C1" i="65"/>
  <c r="H1" i="65"/>
  <c r="C18" i="46"/>
  <c r="AD5" i="3"/>
  <c r="AH5" i="3"/>
  <c r="AL5" i="3"/>
  <c r="AP5" i="3"/>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L24" i="4"/>
  <c r="A11" i="55"/>
  <c r="A10" i="55"/>
  <c r="A9" i="55"/>
  <c r="A8" i="55"/>
  <c r="A6" i="54"/>
  <c r="A8" i="54"/>
  <c r="A7" i="54"/>
  <c r="C57" i="10"/>
  <c r="A28" i="51"/>
  <c r="A27" i="51"/>
  <c r="AB7" i="59"/>
  <c r="Y7" i="59"/>
  <c r="Z7" i="59"/>
  <c r="X7" i="59"/>
  <c r="AA7"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105" i="39"/>
  <c r="G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5"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9" i="1"/>
  <c r="G9" i="1"/>
  <c r="F19" i="4"/>
  <c r="F8" i="1"/>
  <c r="G8" i="1"/>
  <c r="E19" i="4"/>
  <c r="F7" i="1"/>
  <c r="G7" i="1"/>
  <c r="B2" i="52"/>
  <c r="E22" i="52"/>
  <c r="I2" i="46"/>
  <c r="N12" i="46"/>
  <c r="A7" i="46"/>
  <c r="F41" i="4"/>
  <c r="J52" i="40"/>
  <c r="H61" i="49"/>
  <c r="H39" i="46"/>
  <c r="H38" i="46"/>
  <c r="H37" i="46"/>
  <c r="H36" i="46"/>
  <c r="H35" i="46"/>
  <c r="H34" i="46"/>
  <c r="E20" i="6"/>
  <c r="K7" i="1"/>
  <c r="M7" i="1"/>
  <c r="E21" i="6"/>
  <c r="K8" i="1"/>
  <c r="M8" i="1"/>
  <c r="E22" i="6"/>
  <c r="E23" i="6"/>
  <c r="E24" i="6"/>
  <c r="E25" i="6"/>
  <c r="E26" i="6"/>
  <c r="C35" i="4"/>
  <c r="E16" i="12"/>
  <c r="F14" i="12"/>
  <c r="F15" i="12"/>
  <c r="F17" i="12"/>
  <c r="E21" i="12"/>
  <c r="E22" i="12"/>
  <c r="F23"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F43"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E97" i="39"/>
  <c r="D95" i="39"/>
  <c r="E95" i="39"/>
  <c r="F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U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U27" i="39"/>
  <c r="S15" i="34"/>
  <c r="AA15" i="34"/>
  <c r="AA41" i="33"/>
  <c r="AA34" i="33"/>
  <c r="F106" i="33"/>
  <c r="G106" i="33"/>
  <c r="H106" i="33"/>
  <c r="I106" i="33"/>
  <c r="J106" i="33"/>
  <c r="K106" i="33"/>
  <c r="L106" i="33"/>
  <c r="M106" i="33"/>
  <c r="J34" i="33"/>
  <c r="AC34" i="33"/>
  <c r="U30" i="40"/>
  <c r="AA37" i="39"/>
  <c r="W29" i="35"/>
  <c r="AC39" i="39"/>
  <c r="W39" i="39"/>
  <c r="AA39" i="39"/>
  <c r="S39" i="39"/>
  <c r="AB2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C20" i="43"/>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W29" i="39"/>
  <c r="S29" i="39"/>
  <c r="S14" i="39"/>
  <c r="U11" i="39"/>
  <c r="AB38" i="39"/>
  <c r="U31" i="39"/>
  <c r="AB31" i="39"/>
  <c r="S25" i="39"/>
  <c r="S38" i="39"/>
  <c r="S22" i="31"/>
  <c r="D18" i="9"/>
  <c r="M44" i="9"/>
  <c r="M43" i="9"/>
  <c r="B22" i="63"/>
  <c r="M20" i="15"/>
  <c r="D96" i="9"/>
  <c r="M18" i="15"/>
  <c r="A18" i="64"/>
  <c r="B74" i="63"/>
  <c r="C53" i="10"/>
  <c r="A25" i="64"/>
  <c r="A18" i="51"/>
  <c r="B14" i="63"/>
  <c r="F3" i="35"/>
  <c r="K1" i="43"/>
  <c r="K1" i="12"/>
  <c r="BK5" i="3"/>
  <c r="BO5" i="3"/>
  <c r="BP5" i="3"/>
  <c r="BN5" i="3"/>
  <c r="BC5" i="3"/>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AP9" i="1"/>
  <c r="AP8" i="1"/>
  <c r="B6" i="63"/>
  <c r="L5" i="54"/>
  <c r="B39" i="63"/>
  <c r="K5" i="54"/>
  <c r="B38" i="63"/>
  <c r="T41" i="4"/>
  <c r="A17" i="64"/>
  <c r="B46" i="50"/>
  <c r="B4" i="63"/>
  <c r="D59" i="34"/>
  <c r="E59" i="34"/>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c r="S45" i="39"/>
  <c r="W41" i="39"/>
  <c r="AB33" i="39"/>
  <c r="AC46" i="39"/>
  <c r="W42" i="39"/>
  <c r="W36" i="39"/>
  <c r="AC37" i="39"/>
  <c r="W16" i="39"/>
  <c r="W25" i="39"/>
  <c r="W45" i="39"/>
  <c r="S41" i="39"/>
  <c r="AA44" i="39"/>
  <c r="AA46" i="39"/>
  <c r="W10" i="39"/>
  <c r="W11" i="39"/>
  <c r="U42" i="39"/>
  <c r="S32" i="40"/>
  <c r="C27" i="39"/>
  <c r="C17" i="40"/>
  <c r="C19" i="40"/>
  <c r="C17" i="39"/>
  <c r="C19" i="39"/>
  <c r="C21" i="39"/>
  <c r="C23" i="40"/>
  <c r="B48" i="46"/>
  <c r="B51" i="46"/>
  <c r="B55" i="46"/>
  <c r="B59" i="46"/>
  <c r="B62" i="46"/>
  <c r="B66" i="46"/>
  <c r="B53" i="46"/>
  <c r="B64" i="46"/>
  <c r="B4" i="52"/>
  <c r="D24" i="15"/>
  <c r="AG6" i="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A17" i="51"/>
  <c r="B13" i="63"/>
  <c r="AT6" i="3"/>
  <c r="G29" i="6"/>
  <c r="G30" i="6"/>
  <c r="G31" i="6"/>
  <c r="F30" i="6"/>
  <c r="E28" i="6"/>
  <c r="H70" i="46"/>
  <c r="H72" i="46"/>
  <c r="A9" i="64"/>
  <c r="A9" i="51"/>
  <c r="B9" i="63"/>
  <c r="A25" i="51"/>
  <c r="B18" i="63"/>
  <c r="A3" i="55"/>
  <c r="B56" i="63"/>
  <c r="F59" i="34"/>
  <c r="G59" i="34"/>
  <c r="H59" i="34"/>
  <c r="E4" i="4"/>
  <c r="G66" i="36"/>
  <c r="J18" i="36"/>
  <c r="AE8" i="1"/>
  <c r="F33" i="44"/>
  <c r="F31" i="15"/>
  <c r="F58" i="15"/>
  <c r="M17" i="15"/>
  <c r="M19" i="44"/>
  <c r="W18" i="36"/>
  <c r="AC18" i="36"/>
  <c r="E29" i="6"/>
  <c r="L20" i="6"/>
  <c r="K14" i="1"/>
  <c r="M14" i="1"/>
  <c r="O14" i="1"/>
  <c r="P14" i="1"/>
  <c r="E30" i="6"/>
  <c r="K15" i="1"/>
  <c r="B21" i="55"/>
  <c r="B72" i="63"/>
  <c r="S8" i="1"/>
  <c r="S9" i="1"/>
  <c r="R9" i="1"/>
  <c r="R8" i="1"/>
  <c r="L46" i="15"/>
  <c r="C45" i="9"/>
  <c r="H14" i="66"/>
  <c r="B7" i="66"/>
  <c r="O40" i="9"/>
  <c r="K31" i="9"/>
  <c r="K32" i="9"/>
  <c r="R7" i="54"/>
  <c r="B52" i="63"/>
  <c r="N76" i="9"/>
  <c r="C46" i="9"/>
  <c r="K33" i="9"/>
  <c r="O41" i="9"/>
  <c r="I14" i="66"/>
  <c r="B8" i="66"/>
  <c r="K34" i="9"/>
  <c r="R8" i="54"/>
  <c r="B54" i="63"/>
  <c r="J4" i="65"/>
  <c r="J7" i="65"/>
  <c r="E9" i="67"/>
  <c r="I7" i="65"/>
  <c r="E8" i="67"/>
  <c r="N6" i="65"/>
  <c r="B14" i="67"/>
  <c r="I4" i="65"/>
  <c r="N3" i="65"/>
  <c r="I3" i="65"/>
  <c r="B9" i="67"/>
  <c r="I5" i="65"/>
  <c r="J5" i="65"/>
  <c r="F12" i="67"/>
  <c r="N4" i="65"/>
  <c r="E11" i="67"/>
  <c r="E10" i="67"/>
  <c r="F9" i="67"/>
  <c r="B8" i="67"/>
  <c r="F8" i="67"/>
  <c r="N7" i="65"/>
  <c r="F11" i="67"/>
  <c r="J6" i="65"/>
  <c r="E14" i="67"/>
  <c r="B11" i="67"/>
  <c r="F10" i="67"/>
  <c r="J3" i="65"/>
  <c r="F13" i="67"/>
  <c r="B10" i="67"/>
  <c r="I6" i="65"/>
  <c r="E12" i="67"/>
  <c r="N5" i="65"/>
  <c r="B12" i="67"/>
  <c r="E13" i="67"/>
  <c r="B13" i="67"/>
  <c r="F14" i="67"/>
  <c r="H23" i="39"/>
  <c r="J23" i="39"/>
  <c r="F97" i="39"/>
  <c r="G97" i="39"/>
  <c r="F23" i="39"/>
  <c r="F6" i="1"/>
  <c r="G6" i="1"/>
  <c r="S15" i="39"/>
  <c r="U14" i="39"/>
  <c r="AB15" i="39"/>
  <c r="S16" i="39"/>
  <c r="W15" i="39"/>
  <c r="AB16" i="39"/>
  <c r="B23" i="52"/>
  <c r="E11" i="52"/>
  <c r="S43" i="39"/>
  <c r="AA43" i="39"/>
  <c r="E126" i="39"/>
  <c r="F126" i="39"/>
  <c r="G126" i="39"/>
  <c r="H126" i="39"/>
  <c r="I126" i="39"/>
  <c r="J126" i="39"/>
  <c r="K126" i="39"/>
  <c r="L126" i="39"/>
  <c r="M126" i="39"/>
  <c r="J43" i="39"/>
  <c r="H43" i="39"/>
  <c r="AB41" i="39"/>
  <c r="H109" i="39"/>
  <c r="I109" i="39"/>
  <c r="J109" i="39"/>
  <c r="K109" i="39"/>
  <c r="L109" i="39"/>
  <c r="M109" i="39"/>
  <c r="F34" i="39"/>
  <c r="J34" i="39"/>
  <c r="H34" i="39"/>
  <c r="G95" i="39"/>
  <c r="J21" i="39"/>
  <c r="F21" i="39"/>
  <c r="H21" i="39"/>
  <c r="J19" i="39"/>
  <c r="F93" i="39"/>
  <c r="G93" i="39"/>
  <c r="F19" i="39"/>
  <c r="H19" i="39"/>
  <c r="J17" i="39"/>
  <c r="W17" i="39"/>
  <c r="F91" i="39"/>
  <c r="G91" i="39"/>
  <c r="H17" i="39"/>
  <c r="U17" i="39"/>
  <c r="B6" i="52"/>
  <c r="E9" i="52"/>
  <c r="B10" i="52"/>
  <c r="G1" i="15"/>
  <c r="G1" i="44"/>
  <c r="L16" i="4"/>
  <c r="K17" i="4"/>
  <c r="A22" i="51"/>
  <c r="B16" i="63"/>
  <c r="N16" i="4"/>
  <c r="G11" i="1"/>
  <c r="O12" i="1"/>
  <c r="P12" i="1"/>
  <c r="O9" i="1"/>
  <c r="P9" i="1"/>
  <c r="O11" i="1"/>
  <c r="P11" i="1"/>
  <c r="O10" i="1"/>
  <c r="P10" i="1"/>
  <c r="O8" i="1"/>
  <c r="P8" i="1"/>
  <c r="O13" i="1"/>
  <c r="P13" i="1"/>
  <c r="O7" i="1"/>
  <c r="P7" i="1"/>
  <c r="I59" i="34"/>
  <c r="J59" i="34"/>
  <c r="K59" i="34"/>
  <c r="L59" i="34"/>
  <c r="M59" i="34"/>
  <c r="N59" i="34"/>
  <c r="O59" i="34"/>
  <c r="J7" i="34"/>
  <c r="F7" i="34"/>
  <c r="AP7" i="1"/>
  <c r="G10" i="1"/>
  <c r="C42" i="1"/>
  <c r="D38" i="4"/>
  <c r="C39" i="4"/>
  <c r="C9" i="40"/>
  <c r="C65" i="40"/>
  <c r="C9" i="39"/>
  <c r="C70" i="39"/>
  <c r="C7" i="37"/>
  <c r="C52" i="37"/>
  <c r="C7" i="36"/>
  <c r="C46" i="36"/>
  <c r="C7" i="35"/>
  <c r="C48" i="35"/>
  <c r="C7" i="33"/>
  <c r="C58" i="33"/>
  <c r="C7" i="21"/>
  <c r="C58" i="21"/>
  <c r="G19" i="46"/>
  <c r="E5" i="52"/>
  <c r="B16" i="52"/>
  <c r="E10" i="52"/>
  <c r="B8" i="52"/>
  <c r="B9" i="52"/>
  <c r="B7" i="52"/>
  <c r="E4" i="52"/>
  <c r="E16" i="52"/>
  <c r="B11" i="52"/>
  <c r="E8" i="52"/>
  <c r="B5" i="52"/>
  <c r="B13" i="52"/>
  <c r="B22" i="52"/>
  <c r="E21" i="52"/>
  <c r="B14" i="52"/>
  <c r="E6" i="52"/>
  <c r="E7" i="52"/>
  <c r="C4" i="4"/>
  <c r="B20" i="55"/>
  <c r="B70" i="63"/>
  <c r="J1" i="65"/>
  <c r="E20" i="46"/>
  <c r="C4" i="65"/>
  <c r="B39" i="1"/>
  <c r="M28" i="15"/>
  <c r="F38" i="15"/>
  <c r="M9" i="15"/>
  <c r="F42" i="15"/>
  <c r="F36" i="15"/>
  <c r="M8" i="15"/>
  <c r="J36" i="15"/>
  <c r="F13" i="15"/>
  <c r="F6" i="15"/>
  <c r="F40" i="15"/>
  <c r="M27" i="15"/>
  <c r="M22" i="15"/>
  <c r="L49" i="44"/>
  <c r="F46" i="44"/>
  <c r="F18" i="44"/>
  <c r="F8" i="44"/>
  <c r="J17" i="44"/>
  <c r="F15" i="44"/>
  <c r="F38" i="44"/>
  <c r="C19" i="44"/>
  <c r="F10" i="44"/>
  <c r="M26" i="44"/>
  <c r="F11" i="44"/>
  <c r="L48" i="44"/>
  <c r="F28" i="44"/>
  <c r="M31" i="44"/>
  <c r="E2" i="65"/>
  <c r="E3" i="65"/>
  <c r="J15" i="15"/>
  <c r="M24" i="15"/>
  <c r="F26" i="15"/>
  <c r="F37" i="15"/>
  <c r="L47" i="15"/>
  <c r="M23" i="15"/>
  <c r="F8" i="15"/>
  <c r="L48" i="15"/>
  <c r="F16" i="15"/>
  <c r="M26" i="15"/>
  <c r="F9" i="15"/>
  <c r="M6" i="15"/>
  <c r="M25" i="44"/>
  <c r="F40" i="44"/>
  <c r="M28" i="44"/>
  <c r="F43" i="44"/>
  <c r="M29" i="44"/>
  <c r="M23" i="44"/>
  <c r="M24" i="44"/>
  <c r="F39" i="44"/>
  <c r="M30" i="44"/>
  <c r="F37" i="44"/>
  <c r="M10" i="44"/>
  <c r="F45" i="44"/>
  <c r="F9" i="44"/>
  <c r="M11" i="44"/>
  <c r="M8" i="44"/>
  <c r="U23" i="39"/>
  <c r="AB23" i="39"/>
  <c r="AA23" i="39"/>
  <c r="S23" i="39"/>
  <c r="AC23" i="39"/>
  <c r="W23" i="39"/>
  <c r="AP6" i="1"/>
  <c r="AC43" i="39"/>
  <c r="W43" i="39"/>
  <c r="U43" i="39"/>
  <c r="AB43" i="39"/>
  <c r="AB34" i="39"/>
  <c r="U34" i="39"/>
  <c r="AA34" i="39"/>
  <c r="S34" i="39"/>
  <c r="W34" i="39"/>
  <c r="AC34" i="39"/>
  <c r="U21" i="39"/>
  <c r="AB21" i="39"/>
  <c r="AC21" i="39"/>
  <c r="W21" i="39"/>
  <c r="S21" i="39"/>
  <c r="AA21" i="39"/>
  <c r="U19" i="39"/>
  <c r="AB19" i="39"/>
  <c r="S19" i="39"/>
  <c r="AA19" i="39"/>
  <c r="AC19" i="39"/>
  <c r="W19" i="39"/>
  <c r="AB17" i="39"/>
  <c r="AC17" i="39"/>
  <c r="F17" i="39"/>
  <c r="F67" i="15"/>
  <c r="I54" i="15"/>
  <c r="J53" i="15"/>
  <c r="Q53" i="15"/>
  <c r="L56" i="15"/>
  <c r="L60" i="15"/>
  <c r="Q67" i="15"/>
  <c r="J57" i="15"/>
  <c r="J55" i="15"/>
  <c r="J58" i="15"/>
  <c r="Q51" i="15"/>
  <c r="L57" i="15"/>
  <c r="Q72" i="15"/>
  <c r="F50" i="15"/>
  <c r="F63" i="15"/>
  <c r="L59" i="15"/>
  <c r="Q62" i="15"/>
  <c r="L58" i="15"/>
  <c r="Q61" i="15"/>
  <c r="F64" i="15"/>
  <c r="C27" i="15"/>
  <c r="F65" i="15"/>
  <c r="C29" i="44"/>
  <c r="M9" i="44"/>
  <c r="J8" i="44"/>
  <c r="L60" i="44"/>
  <c r="Q76" i="44"/>
  <c r="L59" i="44"/>
  <c r="Q62" i="44"/>
  <c r="C36" i="44"/>
  <c r="J22" i="44"/>
  <c r="C8" i="44"/>
  <c r="Q73" i="44"/>
  <c r="J54" i="44"/>
  <c r="F1" i="44"/>
  <c r="J61" i="44"/>
  <c r="Q50" i="44"/>
  <c r="J60" i="44"/>
  <c r="J58" i="44"/>
  <c r="J56" i="44"/>
  <c r="J59" i="44"/>
  <c r="Q52" i="44"/>
  <c r="I55" i="44"/>
  <c r="L57" i="44"/>
  <c r="D58" i="33"/>
  <c r="E58" i="33"/>
  <c r="F58" i="33"/>
  <c r="G58" i="33"/>
  <c r="H58" i="33"/>
  <c r="I58" i="33"/>
  <c r="J58" i="33"/>
  <c r="K58" i="33"/>
  <c r="L58" i="33"/>
  <c r="M58" i="33"/>
  <c r="N58" i="33"/>
  <c r="O58" i="33"/>
  <c r="H7" i="33"/>
  <c r="D58" i="21"/>
  <c r="E58" i="21"/>
  <c r="F58" i="21"/>
  <c r="G58" i="21"/>
  <c r="H58" i="21"/>
  <c r="I58" i="21"/>
  <c r="J58" i="21"/>
  <c r="K58" i="21"/>
  <c r="L58" i="21"/>
  <c r="M58" i="21"/>
  <c r="N58" i="21"/>
  <c r="O58" i="21"/>
  <c r="J7" i="21"/>
  <c r="F7" i="21"/>
  <c r="H7" i="21"/>
  <c r="D48" i="35"/>
  <c r="E48" i="35"/>
  <c r="F48" i="35"/>
  <c r="G48" i="35"/>
  <c r="H48" i="35"/>
  <c r="I48" i="35"/>
  <c r="J48" i="35"/>
  <c r="K48" i="35"/>
  <c r="L48" i="35"/>
  <c r="M48" i="35"/>
  <c r="N48" i="35"/>
  <c r="O48" i="35"/>
  <c r="F7" i="35"/>
  <c r="J7" i="35"/>
  <c r="H7" i="35"/>
  <c r="D52" i="37"/>
  <c r="E52" i="37"/>
  <c r="F52" i="37"/>
  <c r="G52" i="37"/>
  <c r="H52" i="37"/>
  <c r="I52" i="37"/>
  <c r="J52" i="37"/>
  <c r="K52" i="37"/>
  <c r="L52" i="37"/>
  <c r="M52" i="37"/>
  <c r="N52" i="37"/>
  <c r="O52" i="37"/>
  <c r="J7" i="37"/>
  <c r="F7" i="37"/>
  <c r="H7" i="37"/>
  <c r="D65" i="40"/>
  <c r="C67" i="40"/>
  <c r="C28" i="15"/>
  <c r="C30" i="44"/>
  <c r="C25" i="12"/>
  <c r="C27" i="43"/>
  <c r="C31" i="43"/>
  <c r="H7" i="34"/>
  <c r="P21" i="46"/>
  <c r="B73" i="39"/>
  <c r="M20" i="46"/>
  <c r="C19" i="46"/>
  <c r="P25" i="46"/>
  <c r="P22" i="46"/>
  <c r="O19" i="46"/>
  <c r="P24" i="46"/>
  <c r="B68" i="40"/>
  <c r="P23" i="46"/>
  <c r="D46" i="36"/>
  <c r="E46" i="36"/>
  <c r="F46" i="36"/>
  <c r="G46" i="36"/>
  <c r="H46" i="36"/>
  <c r="I46" i="36"/>
  <c r="J46" i="36"/>
  <c r="K46" i="36"/>
  <c r="L46" i="36"/>
  <c r="M46" i="36"/>
  <c r="N46" i="36"/>
  <c r="O46" i="36"/>
  <c r="F7" i="36"/>
  <c r="H7" i="36"/>
  <c r="J7" i="36"/>
  <c r="D70" i="39"/>
  <c r="C72" i="39"/>
  <c r="S7" i="34"/>
  <c r="AA7" i="34"/>
  <c r="R49" i="34"/>
  <c r="W7" i="34"/>
  <c r="AC7" i="34"/>
  <c r="V49" i="34"/>
  <c r="I49" i="34"/>
  <c r="B40" i="1"/>
  <c r="F24" i="15"/>
  <c r="C24" i="15"/>
  <c r="F17" i="11"/>
  <c r="C17" i="11"/>
  <c r="M11" i="15"/>
  <c r="J10" i="15"/>
  <c r="F13" i="44"/>
  <c r="C12" i="44"/>
  <c r="F11" i="15"/>
  <c r="M13" i="44"/>
  <c r="J12" i="44"/>
  <c r="P17" i="46"/>
  <c r="N17" i="46"/>
  <c r="O17" i="46"/>
  <c r="M17" i="46"/>
  <c r="C18" i="44"/>
  <c r="Q54" i="44"/>
  <c r="F21" i="43"/>
  <c r="C23" i="43"/>
  <c r="D21" i="43"/>
  <c r="Q74" i="15"/>
  <c r="C7" i="44"/>
  <c r="C34" i="44"/>
  <c r="Q63" i="44"/>
  <c r="AA17" i="39"/>
  <c r="S17" i="39"/>
  <c r="Q75" i="15"/>
  <c r="F1" i="15"/>
  <c r="Q58" i="15"/>
  <c r="Q75" i="44"/>
  <c r="L47" i="44"/>
  <c r="J7" i="44"/>
  <c r="J20" i="44"/>
  <c r="F26" i="12"/>
  <c r="C27" i="12"/>
  <c r="D26" i="12"/>
  <c r="C32" i="12"/>
  <c r="D30" i="12"/>
  <c r="E70" i="39"/>
  <c r="D72" i="39"/>
  <c r="AB7" i="36"/>
  <c r="T36" i="36"/>
  <c r="G36" i="36"/>
  <c r="U7" i="36"/>
  <c r="C38" i="46"/>
  <c r="C35" i="46"/>
  <c r="C33" i="46"/>
  <c r="T8" i="46"/>
  <c r="V8" i="46"/>
  <c r="T10" i="46"/>
  <c r="V10" i="46"/>
  <c r="T12" i="46"/>
  <c r="V12" i="46"/>
  <c r="C39" i="46"/>
  <c r="C37" i="46"/>
  <c r="C36" i="46"/>
  <c r="C34" i="46"/>
  <c r="T16" i="46"/>
  <c r="V16" i="46"/>
  <c r="T9" i="46"/>
  <c r="V9" i="46"/>
  <c r="T13" i="46"/>
  <c r="V13" i="46"/>
  <c r="T14" i="46"/>
  <c r="V14" i="46"/>
  <c r="T11" i="46"/>
  <c r="V11" i="46"/>
  <c r="T15" i="46"/>
  <c r="V15" i="46"/>
  <c r="E65" i="40"/>
  <c r="D67" i="40"/>
  <c r="AA7" i="37"/>
  <c r="R42" i="37"/>
  <c r="S7" i="37"/>
  <c r="AC7" i="35"/>
  <c r="V38" i="35"/>
  <c r="I38" i="35"/>
  <c r="W7" i="35"/>
  <c r="S7" i="21"/>
  <c r="AA7" i="21"/>
  <c r="R48" i="21"/>
  <c r="F7" i="33"/>
  <c r="J7" i="33"/>
  <c r="I53" i="34"/>
  <c r="J53" i="34"/>
  <c r="R50" i="34"/>
  <c r="E49" i="34"/>
  <c r="W7" i="36"/>
  <c r="AC7" i="36"/>
  <c r="V36" i="36"/>
  <c r="I36" i="36"/>
  <c r="AA7" i="36"/>
  <c r="R36" i="36"/>
  <c r="S7" i="36"/>
  <c r="AB7" i="34"/>
  <c r="T49" i="34"/>
  <c r="G49" i="34"/>
  <c r="U7" i="34"/>
  <c r="AB7" i="37"/>
  <c r="T42" i="37"/>
  <c r="G42" i="37"/>
  <c r="U7" i="37"/>
  <c r="W7" i="37"/>
  <c r="AC7" i="37"/>
  <c r="V42" i="37"/>
  <c r="I42" i="37"/>
  <c r="AB7" i="35"/>
  <c r="T38" i="35"/>
  <c r="G38" i="35"/>
  <c r="U7" i="35"/>
  <c r="AA7" i="35"/>
  <c r="R38" i="35"/>
  <c r="S7" i="35"/>
  <c r="U7" i="21"/>
  <c r="AB7" i="21"/>
  <c r="T48" i="21"/>
  <c r="G48" i="21"/>
  <c r="AC7" i="21"/>
  <c r="V48" i="21"/>
  <c r="I48" i="21"/>
  <c r="W7" i="21"/>
  <c r="AB7" i="33"/>
  <c r="T48" i="33"/>
  <c r="G48" i="33"/>
  <c r="U7" i="33"/>
  <c r="F26" i="44"/>
  <c r="C26" i="44"/>
  <c r="J26" i="44"/>
  <c r="C40" i="44"/>
  <c r="C10" i="15"/>
  <c r="C52" i="15"/>
  <c r="AE6" i="1"/>
  <c r="L52" i="44"/>
  <c r="AE7" i="1"/>
  <c r="F41" i="15"/>
  <c r="J28" i="44"/>
  <c r="J31" i="44"/>
  <c r="Q67" i="44"/>
  <c r="I52" i="21"/>
  <c r="J52" i="21"/>
  <c r="R39" i="35"/>
  <c r="E38" i="35"/>
  <c r="G47" i="37"/>
  <c r="H47" i="37"/>
  <c r="G46" i="37"/>
  <c r="H46" i="37"/>
  <c r="G52" i="21"/>
  <c r="H52" i="21"/>
  <c r="G53" i="21"/>
  <c r="H53" i="21"/>
  <c r="I46" i="37"/>
  <c r="J46" i="37"/>
  <c r="G53" i="34"/>
  <c r="H53" i="34"/>
  <c r="G54" i="34"/>
  <c r="H54" i="34"/>
  <c r="E36" i="36"/>
  <c r="R37" i="36"/>
  <c r="E54" i="34"/>
  <c r="F54" i="34"/>
  <c r="E53" i="34"/>
  <c r="F53" i="34"/>
  <c r="I54" i="34"/>
  <c r="J54" i="34"/>
  <c r="AC7" i="33"/>
  <c r="V48" i="33"/>
  <c r="I48" i="33"/>
  <c r="W7" i="33"/>
  <c r="R49" i="21"/>
  <c r="E48" i="21"/>
  <c r="G34" i="46"/>
  <c r="I34" i="46"/>
  <c r="E34" i="46"/>
  <c r="G37" i="46"/>
  <c r="I37" i="46"/>
  <c r="E37" i="46"/>
  <c r="G33" i="46"/>
  <c r="I33" i="46"/>
  <c r="E33" i="46"/>
  <c r="E38" i="46"/>
  <c r="G38" i="46"/>
  <c r="I38" i="46"/>
  <c r="G40" i="36"/>
  <c r="H40" i="36"/>
  <c r="G41" i="36"/>
  <c r="H41" i="36"/>
  <c r="E72" i="39"/>
  <c r="F70" i="39"/>
  <c r="G52" i="33"/>
  <c r="H52" i="33"/>
  <c r="G53" i="33"/>
  <c r="H53" i="33"/>
  <c r="G43" i="35"/>
  <c r="H43" i="35"/>
  <c r="G42" i="35"/>
  <c r="H42" i="35"/>
  <c r="I40" i="36"/>
  <c r="J40" i="36"/>
  <c r="I41" i="36"/>
  <c r="J41" i="36"/>
  <c r="C49" i="34"/>
  <c r="C50" i="34"/>
  <c r="B3" i="34"/>
  <c r="B2" i="34"/>
  <c r="AA7" i="33"/>
  <c r="R48" i="33"/>
  <c r="S7" i="33"/>
  <c r="I42" i="35"/>
  <c r="J42" i="35"/>
  <c r="I43" i="35"/>
  <c r="J43" i="35"/>
  <c r="E42" i="37"/>
  <c r="R43" i="37"/>
  <c r="E67" i="40"/>
  <c r="F65" i="40"/>
  <c r="G36" i="46"/>
  <c r="I36" i="46"/>
  <c r="E36" i="46"/>
  <c r="G39" i="46"/>
  <c r="I39" i="46"/>
  <c r="E39" i="46"/>
  <c r="G35" i="46"/>
  <c r="I35" i="46"/>
  <c r="E35" i="46"/>
  <c r="F68" i="15"/>
  <c r="Q69" i="44"/>
  <c r="L58" i="44"/>
  <c r="L61" i="44"/>
  <c r="Q49" i="44"/>
  <c r="Q55" i="44"/>
  <c r="Q58" i="44"/>
  <c r="G65" i="40"/>
  <c r="F67" i="40"/>
  <c r="C43" i="37"/>
  <c r="B3" i="37"/>
  <c r="B2" i="37"/>
  <c r="C42" i="37"/>
  <c r="E46" i="37"/>
  <c r="F46" i="37"/>
  <c r="E47" i="37"/>
  <c r="F47" i="37"/>
  <c r="R49" i="33"/>
  <c r="E48" i="33"/>
  <c r="C48" i="21"/>
  <c r="C49" i="21"/>
  <c r="B3" i="21"/>
  <c r="B2" i="21"/>
  <c r="I52" i="33"/>
  <c r="J52" i="33"/>
  <c r="C36" i="36"/>
  <c r="C37" i="36"/>
  <c r="B3" i="36"/>
  <c r="B2" i="36"/>
  <c r="I47" i="37"/>
  <c r="J47" i="37"/>
  <c r="E43" i="35"/>
  <c r="F43" i="35"/>
  <c r="E42" i="35"/>
  <c r="F42" i="35"/>
  <c r="G70" i="39"/>
  <c r="F72" i="39"/>
  <c r="E53" i="21"/>
  <c r="F53" i="21"/>
  <c r="E52" i="21"/>
  <c r="F52" i="21"/>
  <c r="E40" i="36"/>
  <c r="F40" i="36"/>
  <c r="E41" i="36"/>
  <c r="F41" i="36"/>
  <c r="C38" i="35"/>
  <c r="C39" i="35"/>
  <c r="B3" i="35"/>
  <c r="B2" i="35"/>
  <c r="I53" i="21"/>
  <c r="J53" i="21"/>
  <c r="Q59" i="44"/>
  <c r="Q68" i="44"/>
  <c r="Q77" i="44"/>
  <c r="Q64" i="44"/>
  <c r="E52" i="33"/>
  <c r="F52" i="33"/>
  <c r="E53" i="33"/>
  <c r="F53" i="33"/>
  <c r="H70" i="39"/>
  <c r="G72" i="39"/>
  <c r="I53" i="33"/>
  <c r="J53" i="33"/>
  <c r="C49" i="33"/>
  <c r="B3" i="33"/>
  <c r="B2" i="33"/>
  <c r="C48" i="33"/>
  <c r="H65" i="40"/>
  <c r="G67" i="40"/>
  <c r="I70" i="39"/>
  <c r="H72" i="39"/>
  <c r="I65" i="40"/>
  <c r="H67" i="40"/>
  <c r="I72" i="39"/>
  <c r="J70" i="39"/>
  <c r="I67" i="40"/>
  <c r="J65" i="40"/>
  <c r="J72" i="39"/>
  <c r="K70" i="39"/>
  <c r="J67" i="40"/>
  <c r="K65" i="40"/>
  <c r="K67" i="40"/>
  <c r="L65" i="40"/>
  <c r="K72" i="39"/>
  <c r="L70" i="39"/>
  <c r="M70" i="39"/>
  <c r="L72" i="39"/>
  <c r="L67" i="40"/>
  <c r="M65" i="40"/>
  <c r="N70" i="39"/>
  <c r="N72" i="39"/>
  <c r="M72" i="39"/>
  <c r="N65" i="40"/>
  <c r="N67" i="40"/>
  <c r="M67" i="40"/>
  <c r="F9" i="40"/>
  <c r="H9" i="40"/>
  <c r="J9" i="40"/>
  <c r="F9" i="39"/>
  <c r="H9" i="39"/>
  <c r="J9" i="39"/>
  <c r="AC9" i="39"/>
  <c r="W9" i="39"/>
  <c r="AA9" i="39"/>
  <c r="S9" i="39"/>
  <c r="U9" i="40"/>
  <c r="AB9" i="40"/>
  <c r="T44" i="40"/>
  <c r="G44" i="40"/>
  <c r="AB9" i="39"/>
  <c r="U9" i="39"/>
  <c r="W9" i="40"/>
  <c r="AC9" i="40"/>
  <c r="V44" i="40"/>
  <c r="I44" i="40"/>
  <c r="AA9" i="40"/>
  <c r="R44" i="40"/>
  <c r="S9" i="40"/>
  <c r="R45" i="40"/>
  <c r="E44" i="40"/>
  <c r="I48" i="40"/>
  <c r="J48" i="40"/>
  <c r="I49" i="40"/>
  <c r="J49" i="40"/>
  <c r="G48" i="40"/>
  <c r="H48" i="40"/>
  <c r="G49" i="40"/>
  <c r="H49" i="40"/>
  <c r="C44" i="40"/>
  <c r="C45" i="40"/>
  <c r="E48" i="40"/>
  <c r="F48" i="40"/>
  <c r="E49" i="40"/>
  <c r="F49" i="40"/>
  <c r="E15" i="66"/>
  <c r="F15" i="66"/>
  <c r="B61" i="40"/>
  <c r="B56" i="40"/>
  <c r="F56" i="40"/>
  <c r="B55" i="40"/>
  <c r="F55" i="40"/>
  <c r="B57" i="40"/>
  <c r="F57" i="40"/>
  <c r="B60" i="40"/>
  <c r="B59" i="40"/>
  <c r="B62" i="40"/>
  <c r="B54" i="40"/>
  <c r="F54" i="40"/>
  <c r="B53" i="40"/>
  <c r="B58" i="40"/>
  <c r="I5" i="3"/>
  <c r="I4" i="6"/>
  <c r="G3" i="46"/>
  <c r="J22" i="46"/>
  <c r="AE11" i="46"/>
  <c r="AE13" i="46"/>
  <c r="AG11" i="46"/>
  <c r="AG13" i="46"/>
  <c r="H22" i="46"/>
  <c r="AJ11" i="46"/>
  <c r="AJ13" i="46"/>
  <c r="Y11" i="46"/>
  <c r="Y13" i="46"/>
  <c r="AF11" i="46"/>
  <c r="AF13" i="46"/>
  <c r="AC11" i="46"/>
  <c r="AC13" i="46"/>
  <c r="G101" i="46"/>
  <c r="Z7" i="46"/>
  <c r="G22" i="46"/>
  <c r="N104" i="45"/>
  <c r="F22" i="46"/>
  <c r="AB11" i="46"/>
  <c r="AB13" i="46"/>
  <c r="AI11" i="46"/>
  <c r="AI13" i="46"/>
  <c r="AD11" i="46"/>
  <c r="AD13" i="46"/>
  <c r="AA11" i="46"/>
  <c r="AA13" i="46"/>
  <c r="AH11" i="46"/>
  <c r="AH13" i="46"/>
  <c r="Z11" i="46"/>
  <c r="Z13" i="46"/>
  <c r="J101" i="46"/>
  <c r="K101" i="46"/>
  <c r="N101" i="46"/>
  <c r="L101" i="46"/>
  <c r="I101" i="46"/>
  <c r="M101" i="46"/>
  <c r="H101" i="46"/>
  <c r="D101" i="46"/>
  <c r="F101" i="46"/>
  <c r="E101" i="46"/>
  <c r="C101" i="46"/>
  <c r="S3" i="46"/>
  <c r="T3" i="46"/>
  <c r="V3" i="46"/>
  <c r="S2" i="46"/>
  <c r="T2" i="46"/>
  <c r="V2" i="46"/>
  <c r="S7" i="46"/>
  <c r="T7" i="46"/>
  <c r="V7" i="46"/>
  <c r="B113" i="46"/>
  <c r="S6" i="46"/>
  <c r="T6" i="46"/>
  <c r="V6" i="46"/>
  <c r="S4" i="46"/>
  <c r="T4" i="46"/>
  <c r="V4" i="46"/>
  <c r="E22" i="46"/>
  <c r="S5" i="46"/>
  <c r="T5" i="46"/>
  <c r="V5" i="46"/>
  <c r="C23" i="46"/>
  <c r="C21" i="46"/>
  <c r="B117" i="46"/>
  <c r="C117" i="46"/>
  <c r="B115" i="46"/>
  <c r="G118" i="46"/>
  <c r="H118" i="46"/>
  <c r="B116" i="46"/>
  <c r="C116" i="46"/>
  <c r="D115" i="46"/>
  <c r="E115" i="46"/>
  <c r="F115" i="46"/>
  <c r="G115" i="46"/>
  <c r="H115" i="46"/>
  <c r="B118" i="46"/>
  <c r="C118" i="46"/>
  <c r="I118" i="46"/>
  <c r="J118" i="46"/>
  <c r="K118" i="46"/>
  <c r="L118" i="46"/>
  <c r="M118" i="46"/>
  <c r="D116" i="46"/>
  <c r="E116" i="46"/>
  <c r="F116" i="46"/>
  <c r="G116" i="46"/>
  <c r="H116" i="46"/>
  <c r="D117" i="46"/>
  <c r="E117" i="46"/>
  <c r="F117" i="46"/>
  <c r="G117" i="46"/>
  <c r="H117" i="46"/>
  <c r="I115" i="46"/>
  <c r="J115" i="46"/>
  <c r="K115" i="46"/>
  <c r="L115" i="46"/>
  <c r="M115" i="46"/>
  <c r="I116" i="46"/>
  <c r="J116" i="46"/>
  <c r="K116" i="46"/>
  <c r="L116" i="46"/>
  <c r="M116" i="46"/>
  <c r="D118" i="46"/>
  <c r="E118" i="46"/>
  <c r="F118" i="46"/>
  <c r="I117" i="46"/>
  <c r="J117" i="46"/>
  <c r="K117" i="46"/>
  <c r="L117" i="46"/>
  <c r="M117" i="46"/>
  <c r="C103" i="46"/>
  <c r="C106" i="46"/>
  <c r="C105" i="46"/>
  <c r="C107" i="46"/>
  <c r="C109" i="46"/>
  <c r="C102" i="46"/>
  <c r="C104" i="46"/>
  <c r="F107" i="46"/>
  <c r="F103" i="46"/>
  <c r="F102" i="46"/>
  <c r="F109" i="46"/>
  <c r="F104" i="46"/>
  <c r="F106" i="46"/>
  <c r="F105" i="46"/>
  <c r="H103" i="46"/>
  <c r="H107" i="46"/>
  <c r="H106" i="46"/>
  <c r="H109" i="46"/>
  <c r="H102" i="46"/>
  <c r="H105" i="46"/>
  <c r="H104" i="46"/>
  <c r="I107" i="46"/>
  <c r="I109" i="46"/>
  <c r="I103" i="46"/>
  <c r="I106" i="46"/>
  <c r="I102" i="46"/>
  <c r="I104" i="46"/>
  <c r="I105" i="46"/>
  <c r="N106" i="46"/>
  <c r="N107" i="46"/>
  <c r="N104" i="46"/>
  <c r="N105" i="46"/>
  <c r="N103" i="46"/>
  <c r="N102" i="46"/>
  <c r="N109" i="46"/>
  <c r="J104" i="46"/>
  <c r="J103" i="46"/>
  <c r="J106" i="46"/>
  <c r="J102" i="46"/>
  <c r="J107" i="46"/>
  <c r="J105" i="46"/>
  <c r="J109" i="46"/>
  <c r="C29" i="46"/>
  <c r="D22" i="46"/>
  <c r="E109" i="46"/>
  <c r="E107" i="46"/>
  <c r="E104" i="46"/>
  <c r="E102" i="46"/>
  <c r="E106" i="46"/>
  <c r="E103" i="46"/>
  <c r="E105" i="46"/>
  <c r="D105" i="46"/>
  <c r="D106" i="46"/>
  <c r="D107" i="46"/>
  <c r="D109" i="46"/>
  <c r="D102" i="46"/>
  <c r="D104" i="46"/>
  <c r="D103" i="46"/>
  <c r="M109" i="46"/>
  <c r="M102" i="46"/>
  <c r="M105" i="46"/>
  <c r="M106" i="46"/>
  <c r="M107" i="46"/>
  <c r="M104" i="46"/>
  <c r="M103" i="46"/>
  <c r="L104" i="46"/>
  <c r="L105" i="46"/>
  <c r="L109" i="46"/>
  <c r="L103" i="46"/>
  <c r="L102" i="46"/>
  <c r="L107" i="46"/>
  <c r="L106" i="46"/>
  <c r="K104" i="46"/>
  <c r="K107" i="46"/>
  <c r="K105" i="46"/>
  <c r="K103" i="46"/>
  <c r="K109" i="46"/>
  <c r="K102" i="46"/>
  <c r="K106" i="46"/>
  <c r="G109" i="46"/>
  <c r="G103" i="46"/>
  <c r="G107" i="46"/>
  <c r="G106" i="46"/>
  <c r="G104" i="46"/>
  <c r="G102" i="46"/>
  <c r="G105" i="46"/>
  <c r="C30" i="46"/>
  <c r="E30" i="46"/>
  <c r="C27" i="46"/>
  <c r="E29" i="46"/>
  <c r="D113" i="46"/>
  <c r="C115" i="46"/>
  <c r="F7" i="67"/>
  <c r="E4" i="67"/>
  <c r="C26" i="46"/>
  <c r="E7" i="67"/>
  <c r="E3" i="67"/>
  <c r="B2" i="46"/>
  <c r="B7" i="67"/>
  <c r="B2" i="67"/>
  <c r="B4" i="46"/>
  <c r="D4" i="46"/>
  <c r="B3" i="46"/>
  <c r="BB13" i="3"/>
  <c r="BB5" i="3"/>
  <c r="E5" i="6"/>
  <c r="D21" i="12"/>
  <c r="C21" i="12"/>
  <c r="D12" i="11"/>
  <c r="C12" i="11"/>
  <c r="BA13" i="3"/>
  <c r="BA5" i="3"/>
  <c r="E10" i="6"/>
  <c r="E8" i="6"/>
  <c r="E14" i="6"/>
  <c r="E11" i="6"/>
  <c r="E12" i="6"/>
  <c r="E15" i="6"/>
  <c r="E13" i="6"/>
  <c r="AZ13" i="3"/>
  <c r="AZ5" i="3"/>
  <c r="B3" i="67"/>
  <c r="B4" i="67"/>
  <c r="E3" i="6"/>
  <c r="E67" i="39"/>
  <c r="E62" i="40"/>
  <c r="F62" i="40"/>
  <c r="E63" i="39"/>
  <c r="E58" i="40"/>
  <c r="F58" i="40"/>
  <c r="E16" i="6"/>
  <c r="E58" i="39"/>
  <c r="E53" i="40"/>
  <c r="F53" i="40"/>
  <c r="E65" i="39"/>
  <c r="E60" i="40"/>
  <c r="F60" i="40"/>
  <c r="E64" i="39"/>
  <c r="E59" i="40"/>
  <c r="F59" i="40"/>
  <c r="E66" i="39"/>
  <c r="E61" i="40"/>
  <c r="F61" i="40"/>
  <c r="E68" i="39"/>
  <c r="D10" i="11"/>
  <c r="D16" i="43"/>
  <c r="C16" i="43"/>
  <c r="C21" i="4"/>
  <c r="O5" i="54"/>
  <c r="B45" i="63"/>
  <c r="D45" i="9"/>
  <c r="D46" i="9"/>
  <c r="D16" i="12"/>
  <c r="E6" i="6"/>
  <c r="L38" i="9"/>
  <c r="B14" i="66"/>
  <c r="B1" i="66"/>
  <c r="H13" i="3"/>
  <c r="H5" i="3"/>
  <c r="F27" i="6"/>
  <c r="F31" i="6"/>
  <c r="D13" i="11"/>
  <c r="C13" i="11"/>
  <c r="D22" i="12"/>
  <c r="C22" i="12"/>
  <c r="C20" i="12"/>
  <c r="E19" i="6"/>
  <c r="G13" i="3"/>
  <c r="C7" i="66"/>
  <c r="C8" i="66"/>
  <c r="C16" i="12"/>
  <c r="D19" i="12"/>
  <c r="C19" i="12"/>
  <c r="E32" i="6"/>
  <c r="L19" i="6"/>
  <c r="L27" i="6"/>
  <c r="C9" i="12"/>
  <c r="E27" i="6"/>
  <c r="K19" i="6"/>
  <c r="K6" i="1"/>
  <c r="G5" i="3"/>
  <c r="B3" i="3"/>
  <c r="F43" i="15"/>
  <c r="F7" i="15"/>
  <c r="M29" i="15"/>
  <c r="F70" i="15"/>
  <c r="M7" i="15"/>
  <c r="J6" i="15"/>
  <c r="J5" i="15"/>
  <c r="F49" i="15"/>
  <c r="C48" i="15"/>
  <c r="C47" i="15"/>
  <c r="C6" i="15"/>
  <c r="C5" i="15"/>
  <c r="E476" i="3"/>
  <c r="E192" i="3"/>
  <c r="E114" i="3"/>
  <c r="E348" i="3"/>
  <c r="E93" i="3"/>
  <c r="E394" i="3"/>
  <c r="E55" i="3"/>
  <c r="E282" i="3"/>
  <c r="E570" i="3"/>
  <c r="E375" i="3"/>
  <c r="E409" i="3"/>
  <c r="E83" i="3"/>
  <c r="E124" i="3"/>
  <c r="E475" i="3"/>
  <c r="E421" i="3"/>
  <c r="E206" i="3"/>
  <c r="E132" i="3"/>
  <c r="E333" i="3"/>
  <c r="E91" i="3"/>
  <c r="E115" i="3"/>
  <c r="E359" i="3"/>
  <c r="E195" i="3"/>
  <c r="E391" i="3"/>
  <c r="E321" i="3"/>
  <c r="E127" i="3"/>
  <c r="E222" i="3"/>
  <c r="E388" i="3"/>
  <c r="E103" i="3"/>
  <c r="E283" i="3"/>
  <c r="E535" i="3"/>
  <c r="E156" i="3"/>
  <c r="E381" i="3"/>
  <c r="E49" i="3"/>
  <c r="E427" i="3"/>
  <c r="E193" i="3"/>
  <c r="E278" i="3"/>
  <c r="E104" i="3"/>
  <c r="E94" i="3"/>
  <c r="E534" i="3"/>
  <c r="E187" i="3"/>
  <c r="E225" i="3"/>
  <c r="E548" i="3"/>
  <c r="E131" i="3"/>
  <c r="E304" i="3"/>
  <c r="E199" i="3"/>
  <c r="E54" i="3"/>
  <c r="E423" i="3"/>
  <c r="E452" i="3"/>
  <c r="E435" i="3"/>
  <c r="E343" i="3"/>
  <c r="E142" i="3"/>
  <c r="E410" i="3"/>
  <c r="E468" i="3"/>
  <c r="E109" i="3"/>
  <c r="E185" i="3"/>
  <c r="E266" i="3"/>
  <c r="E430" i="3"/>
  <c r="E250" i="3"/>
  <c r="E471" i="3"/>
  <c r="E408" i="3"/>
  <c r="E238" i="3"/>
  <c r="E44" i="3"/>
  <c r="E376" i="3"/>
  <c r="E21" i="3"/>
  <c r="E249" i="3"/>
  <c r="E201" i="3"/>
  <c r="E170" i="3"/>
  <c r="E213" i="3"/>
  <c r="E397" i="3"/>
  <c r="E47" i="3"/>
  <c r="E184" i="3"/>
  <c r="E482" i="3"/>
  <c r="E473" i="3"/>
  <c r="N6" i="3"/>
  <c r="E232" i="3"/>
  <c r="E189" i="3"/>
  <c r="E507" i="3"/>
  <c r="E275" i="3"/>
  <c r="E200" i="3"/>
  <c r="E389" i="3"/>
  <c r="E143" i="3"/>
  <c r="E68" i="3"/>
  <c r="E135" i="3"/>
  <c r="E147" i="3"/>
  <c r="E22" i="3"/>
  <c r="E439" i="3"/>
  <c r="E459" i="3"/>
  <c r="E117" i="3"/>
  <c r="E231" i="3"/>
  <c r="E528" i="3"/>
  <c r="E470" i="3"/>
  <c r="E349" i="3"/>
  <c r="E186" i="3"/>
  <c r="M6" i="3"/>
  <c r="E241" i="3"/>
  <c r="E69" i="3"/>
  <c r="E446" i="3"/>
  <c r="E152" i="3"/>
  <c r="E437" i="3"/>
  <c r="E46" i="3"/>
  <c r="E221" i="3"/>
  <c r="E457" i="3"/>
  <c r="E31" i="3"/>
  <c r="X6" i="3"/>
  <c r="AA6" i="3"/>
  <c r="E311" i="3"/>
  <c r="E263" i="3"/>
  <c r="E424" i="3"/>
  <c r="AO6" i="3"/>
  <c r="E23" i="3"/>
  <c r="E443" i="3"/>
  <c r="E265" i="3"/>
  <c r="E194" i="3"/>
  <c r="AM6" i="3"/>
  <c r="E78" i="3"/>
  <c r="E337" i="3"/>
  <c r="E390" i="3"/>
  <c r="E158" i="3"/>
  <c r="E296" i="3"/>
  <c r="E472" i="3"/>
  <c r="E253" i="3"/>
  <c r="E537" i="3"/>
  <c r="E36" i="3"/>
  <c r="E237" i="3"/>
  <c r="E428" i="3"/>
  <c r="E125" i="3"/>
  <c r="E64" i="3"/>
  <c r="AH6" i="3"/>
  <c r="E140" i="3"/>
  <c r="P6" i="3"/>
  <c r="E84" i="3"/>
  <c r="AP6" i="3"/>
  <c r="E431" i="3"/>
  <c r="E70" i="3"/>
  <c r="E38" i="3"/>
  <c r="E151" i="3"/>
  <c r="E215" i="3"/>
  <c r="E411" i="3"/>
  <c r="E41" i="3"/>
  <c r="E418" i="3"/>
  <c r="E92" i="3"/>
  <c r="E414" i="3"/>
  <c r="E202" i="3"/>
  <c r="E294" i="3"/>
  <c r="E149" i="3"/>
  <c r="E549" i="3"/>
  <c r="E460" i="3"/>
  <c r="I3" i="6"/>
  <c r="E536" i="3"/>
  <c r="E462" i="3"/>
  <c r="E545" i="3"/>
  <c r="E129" i="3"/>
  <c r="E98" i="3"/>
  <c r="E422" i="3"/>
  <c r="E398" i="3"/>
  <c r="E533" i="3"/>
  <c r="E37" i="3"/>
  <c r="E303" i="3"/>
  <c r="E203" i="3"/>
  <c r="E62" i="3"/>
  <c r="E230" i="3"/>
  <c r="E441" i="3"/>
  <c r="E415" i="3"/>
  <c r="E28" i="3"/>
  <c r="E168" i="3"/>
  <c r="E407" i="3"/>
  <c r="E367" i="3"/>
  <c r="E141" i="3"/>
  <c r="E550" i="3"/>
  <c r="E85" i="3"/>
  <c r="E166" i="3"/>
  <c r="E429" i="3"/>
  <c r="E116" i="3"/>
  <c r="E372" i="3"/>
  <c r="E465" i="3"/>
  <c r="E154" i="3"/>
  <c r="E243" i="3"/>
  <c r="E309" i="3"/>
  <c r="E448" i="3"/>
  <c r="E74" i="3"/>
  <c r="E121" i="3"/>
  <c r="E327" i="3"/>
  <c r="E395" i="3"/>
  <c r="E280" i="3"/>
  <c r="E270" i="3"/>
  <c r="E157" i="3"/>
  <c r="E161" i="3"/>
  <c r="E492" i="3"/>
  <c r="R6" i="3"/>
  <c r="E295" i="3"/>
  <c r="E165" i="3"/>
  <c r="E404" i="3"/>
  <c r="E30" i="3"/>
  <c r="E218" i="3"/>
  <c r="E110" i="3"/>
  <c r="E174" i="3"/>
  <c r="E313" i="3"/>
  <c r="E53" i="3"/>
  <c r="E405" i="3"/>
  <c r="W6" i="3"/>
  <c r="E190" i="3"/>
  <c r="E420" i="3"/>
  <c r="E233" i="3"/>
  <c r="L6" i="3"/>
  <c r="E454" i="3"/>
  <c r="AK6" i="3"/>
  <c r="E205" i="3"/>
  <c r="E478" i="3"/>
  <c r="E357" i="3"/>
  <c r="AS6" i="3"/>
  <c r="E383" i="3"/>
  <c r="E568" i="3"/>
  <c r="E245" i="3"/>
  <c r="E402" i="3"/>
  <c r="E172" i="3"/>
  <c r="E255" i="3"/>
  <c r="E417" i="3"/>
  <c r="E145" i="3"/>
  <c r="E279" i="3"/>
  <c r="E347" i="3"/>
  <c r="E400" i="3"/>
  <c r="E58" i="3"/>
  <c r="E197" i="3"/>
  <c r="E285" i="3"/>
  <c r="E61" i="3"/>
  <c r="E433" i="3"/>
  <c r="E529" i="3"/>
  <c r="E300" i="3"/>
  <c r="E379" i="3"/>
  <c r="E530" i="3"/>
  <c r="E538" i="3"/>
  <c r="E403" i="3"/>
  <c r="E217" i="3"/>
  <c r="E177" i="3"/>
  <c r="E307" i="3"/>
  <c r="E90" i="3"/>
  <c r="E210" i="3"/>
  <c r="E505" i="3"/>
  <c r="E302" i="3"/>
  <c r="E287" i="3"/>
  <c r="E306" i="3"/>
  <c r="E551" i="3"/>
  <c r="E16" i="3"/>
  <c r="E95" i="3"/>
  <c r="E298" i="3"/>
  <c r="E361" i="3"/>
  <c r="E315" i="3"/>
  <c r="E323" i="3"/>
  <c r="E159" i="3"/>
  <c r="E501" i="3"/>
  <c r="E384" i="3"/>
  <c r="E80" i="3"/>
  <c r="E34" i="3"/>
  <c r="E136" i="3"/>
  <c r="E332" i="3"/>
  <c r="E467" i="3"/>
  <c r="E67" i="3"/>
  <c r="E214" i="3"/>
  <c r="E486" i="3"/>
  <c r="E543" i="3"/>
  <c r="E264" i="3"/>
  <c r="E369" i="3"/>
  <c r="V6" i="3"/>
  <c r="E105" i="3"/>
  <c r="AG6" i="3"/>
  <c r="E299" i="3"/>
  <c r="E82" i="3"/>
  <c r="AN6" i="3"/>
  <c r="E59" i="3"/>
  <c r="E464" i="3"/>
  <c r="E209" i="3"/>
  <c r="E450" i="3"/>
  <c r="E387" i="3"/>
  <c r="E146" i="3"/>
  <c r="E89" i="3"/>
  <c r="E100" i="3"/>
  <c r="E374" i="3"/>
  <c r="E490" i="3"/>
  <c r="E442" i="3"/>
  <c r="E63" i="3"/>
  <c r="E148" i="3"/>
  <c r="E27" i="3"/>
  <c r="E412" i="3"/>
  <c r="E469" i="3"/>
  <c r="E293" i="3"/>
  <c r="E560" i="3"/>
  <c r="E111" i="3"/>
  <c r="E261" i="3"/>
  <c r="Z6" i="3"/>
  <c r="E520" i="3"/>
  <c r="E223" i="3"/>
  <c r="E399" i="3"/>
  <c r="E317" i="3"/>
  <c r="E179" i="3"/>
  <c r="E444" i="3"/>
  <c r="E247" i="3"/>
  <c r="E539"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419" i="3"/>
  <c r="E386" i="3"/>
  <c r="E188" i="3"/>
  <c r="E180" i="3"/>
  <c r="E246" i="3"/>
  <c r="E385" i="3"/>
  <c r="E498" i="3"/>
  <c r="E35" i="3"/>
  <c r="E182" i="3"/>
  <c r="E267" i="3"/>
  <c r="E312" i="3"/>
  <c r="E514" i="3"/>
  <c r="E512" i="3"/>
  <c r="E371" i="3"/>
  <c r="E77" i="3"/>
  <c r="E552" i="3"/>
  <c r="E463" i="3"/>
  <c r="E426" i="3"/>
  <c r="E75" i="3"/>
  <c r="E310" i="3"/>
  <c r="E57" i="3"/>
  <c r="E60" i="3"/>
  <c r="J6" i="3"/>
  <c r="E438" i="3"/>
  <c r="E363" i="3"/>
  <c r="E401"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23" i="3"/>
  <c r="E76" i="3"/>
  <c r="E271" i="3"/>
  <c r="E493" i="3"/>
  <c r="E81" i="3"/>
  <c r="E524" i="3"/>
  <c r="E212" i="3"/>
  <c r="E14" i="3"/>
  <c r="E118" i="3"/>
  <c r="E378" i="3"/>
  <c r="E364" i="3"/>
  <c r="E342" i="3"/>
  <c r="E522" i="3"/>
  <c r="E572" i="3"/>
  <c r="E99" i="3"/>
  <c r="E101" i="3"/>
  <c r="E32" i="3"/>
  <c r="E447" i="3"/>
  <c r="Q6" i="3"/>
  <c r="E500" i="3"/>
  <c r="AE6" i="3"/>
  <c r="E113" i="3"/>
  <c r="E257"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567" i="3"/>
  <c r="E542" i="3"/>
  <c r="E254" i="3"/>
  <c r="E341" i="3"/>
  <c r="E316" i="3"/>
  <c r="E318" i="3"/>
  <c r="E380" i="3"/>
  <c r="E516" i="3"/>
  <c r="E406" i="3"/>
  <c r="E244" i="3"/>
  <c r="E137" i="3"/>
  <c r="E301" i="3"/>
  <c r="E484" i="3"/>
  <c r="E356" i="3"/>
  <c r="E561" i="3"/>
  <c r="E144" i="3"/>
  <c r="E506" i="3"/>
  <c r="E497" i="3"/>
  <c r="E553" i="3"/>
  <c r="E352" i="3"/>
  <c r="E519" i="3"/>
  <c r="E544" i="3"/>
  <c r="E510" i="3"/>
  <c r="S6" i="3"/>
  <c r="E377" i="3"/>
  <c r="E20" i="3"/>
  <c r="E181" i="3"/>
  <c r="E338" i="3"/>
  <c r="E518" i="3"/>
  <c r="E515" i="3"/>
  <c r="E487" i="3"/>
  <c r="E328" i="3"/>
  <c r="E346" i="3"/>
  <c r="E557" i="3"/>
  <c r="E26" i="3"/>
  <c r="E17" i="3"/>
  <c r="E509" i="3"/>
  <c r="E413" i="3"/>
  <c r="E434" i="3"/>
  <c r="E292" i="3"/>
  <c r="E178" i="3"/>
  <c r="E48" i="3"/>
  <c r="E455" i="3"/>
  <c r="E79" i="3"/>
  <c r="E272" i="3"/>
  <c r="E445" i="3"/>
  <c r="E556" i="3"/>
  <c r="E291" i="3"/>
  <c r="E527" i="3"/>
  <c r="E365" i="3"/>
  <c r="E248" i="3"/>
  <c r="E336" i="3"/>
  <c r="AR6" i="3"/>
  <c r="E65" i="3"/>
  <c r="E513" i="3"/>
  <c r="E345" i="3"/>
  <c r="E72" i="3"/>
  <c r="E440" i="3"/>
  <c r="E331" i="3"/>
  <c r="E362" i="3"/>
  <c r="E150" i="3"/>
  <c r="E314" i="3"/>
  <c r="E502" i="3"/>
  <c r="E489" i="3"/>
  <c r="E286" i="3"/>
  <c r="E183" i="3"/>
  <c r="E320" i="3"/>
  <c r="E45" i="3"/>
  <c r="E284" i="3"/>
  <c r="E42" i="3"/>
  <c r="E224" i="3"/>
  <c r="E66" i="3"/>
  <c r="E24" i="3"/>
  <c r="E508" i="3"/>
  <c r="E108" i="3"/>
  <c r="E277" i="3"/>
  <c r="E19" i="3"/>
  <c r="E106" i="3"/>
  <c r="E169" i="3"/>
  <c r="E226" i="3"/>
  <c r="E163" i="3"/>
  <c r="E351" i="3"/>
  <c r="AL6" i="3"/>
  <c r="E368" i="3"/>
  <c r="E164" i="3"/>
  <c r="E262" i="3"/>
  <c r="E274" i="3"/>
  <c r="E547" i="3"/>
  <c r="E33" i="3"/>
  <c r="E119" i="3"/>
  <c r="E97" i="3"/>
  <c r="E289" i="3"/>
  <c r="E425" i="3"/>
  <c r="E139" i="3"/>
  <c r="O6" i="3"/>
  <c r="E204" i="3"/>
  <c r="E207" i="3"/>
  <c r="E449" i="3"/>
  <c r="E196" i="3"/>
  <c r="E259" i="3"/>
  <c r="E308" i="3"/>
  <c r="E416" i="3"/>
  <c r="E96" i="3"/>
  <c r="E160" i="3"/>
  <c r="E242" i="3"/>
  <c r="E133" i="3"/>
  <c r="E87" i="3"/>
  <c r="E458" i="3"/>
  <c r="E29" i="3"/>
  <c r="E256" i="3"/>
  <c r="E491" i="3"/>
  <c r="E319" i="3"/>
  <c r="E456" i="3"/>
  <c r="E569" i="3"/>
  <c r="AJ6" i="3"/>
  <c r="E546" i="3"/>
  <c r="E15" i="3"/>
  <c r="E251" i="3"/>
  <c r="E56" i="3"/>
  <c r="E122" i="3"/>
  <c r="E208" i="3"/>
  <c r="E485" i="3"/>
  <c r="E483" i="3"/>
  <c r="E532" i="3"/>
  <c r="E340" i="3"/>
  <c r="E521" i="3"/>
  <c r="E130" i="3"/>
  <c r="E329" i="3"/>
  <c r="E563" i="3"/>
  <c r="E112" i="3"/>
  <c r="E268" i="3"/>
  <c r="E175" i="3"/>
  <c r="E565" i="3"/>
  <c r="E503" i="3"/>
  <c r="E227" i="3"/>
  <c r="E488" i="3"/>
  <c r="E71" i="3"/>
  <c r="E240" i="3"/>
  <c r="E382" i="3"/>
  <c r="E326" i="3"/>
  <c r="E481" i="3"/>
  <c r="E297" i="3"/>
  <c r="E219" i="3"/>
  <c r="E571" i="3"/>
  <c r="E566" i="3"/>
  <c r="E273" i="3"/>
  <c r="E138" i="3"/>
  <c r="E252" i="3"/>
  <c r="E523" i="3"/>
  <c r="AB6" i="3"/>
  <c r="E511" i="3"/>
  <c r="E358" i="3"/>
  <c r="E86" i="3"/>
  <c r="E269" i="3"/>
  <c r="E562" i="3"/>
  <c r="E167" i="3"/>
  <c r="E494" i="3"/>
  <c r="E461" i="3"/>
  <c r="E155" i="3"/>
  <c r="E541" i="3"/>
  <c r="E504" i="3"/>
  <c r="E322" i="3"/>
  <c r="E18" i="3"/>
  <c r="E564" i="3"/>
  <c r="AD6" i="3"/>
  <c r="I6" i="3"/>
  <c r="H6" i="3"/>
  <c r="AY6" i="3"/>
  <c r="E13" i="3"/>
  <c r="M19" i="6"/>
  <c r="S6" i="1"/>
  <c r="H16" i="1"/>
  <c r="K16" i="1"/>
  <c r="AP16" i="1"/>
  <c r="F22" i="11"/>
  <c r="Q16" i="1"/>
  <c r="M6" i="1"/>
  <c r="C15" i="43"/>
  <c r="G16" i="1"/>
  <c r="K23" i="6"/>
  <c r="M23" i="6"/>
  <c r="I23" i="6"/>
  <c r="S23" i="6"/>
  <c r="K22" i="6"/>
  <c r="M22" i="6"/>
  <c r="I22" i="6"/>
  <c r="S22" i="6"/>
  <c r="K24" i="6"/>
  <c r="M24" i="6"/>
  <c r="I24" i="6"/>
  <c r="S24" i="6"/>
  <c r="K26" i="6"/>
  <c r="M26" i="6"/>
  <c r="I26" i="6"/>
  <c r="S26" i="6"/>
  <c r="K21" i="6"/>
  <c r="M21" i="6"/>
  <c r="I21" i="6"/>
  <c r="S21" i="6"/>
  <c r="K20" i="6"/>
  <c r="K25" i="6"/>
  <c r="M25" i="6"/>
  <c r="I25" i="6"/>
  <c r="S25" i="6"/>
  <c r="E31" i="6"/>
  <c r="C16" i="15"/>
  <c r="C17" i="15"/>
  <c r="M20" i="6"/>
  <c r="I20" i="6"/>
  <c r="S20" i="6"/>
  <c r="S7" i="1"/>
  <c r="AC6" i="3"/>
  <c r="E6" i="3"/>
  <c r="F12" i="40"/>
  <c r="H12" i="40"/>
  <c r="J12" i="40"/>
  <c r="H12" i="39"/>
  <c r="J12" i="39"/>
  <c r="F12" i="39"/>
  <c r="O6" i="1"/>
  <c r="O16" i="1"/>
  <c r="M16" i="1"/>
  <c r="P6" i="1"/>
  <c r="K27" i="6"/>
  <c r="C38" i="15"/>
  <c r="C33" i="15"/>
  <c r="C32" i="15"/>
  <c r="J24" i="15"/>
  <c r="J26" i="15"/>
  <c r="J29" i="15"/>
  <c r="J18" i="15"/>
  <c r="F24" i="43"/>
  <c r="C26" i="43"/>
  <c r="D24" i="43"/>
  <c r="F33" i="12"/>
  <c r="C34" i="12"/>
  <c r="D33" i="12"/>
  <c r="F18" i="11"/>
  <c r="C18" i="11"/>
  <c r="C19" i="11"/>
  <c r="S16" i="1"/>
  <c r="T6" i="1"/>
  <c r="M27" i="6"/>
  <c r="I19" i="6"/>
  <c r="AY69" i="3"/>
  <c r="AY26" i="3"/>
  <c r="AY529" i="3"/>
  <c r="AY145" i="3"/>
  <c r="AY248" i="3"/>
  <c r="AY472" i="3"/>
  <c r="AY96" i="3"/>
  <c r="AY233" i="3"/>
  <c r="AY329" i="3"/>
  <c r="AY131" i="3"/>
  <c r="AY206" i="3"/>
  <c r="AY520" i="3"/>
  <c r="AY249" i="3"/>
  <c r="AY453" i="3"/>
  <c r="AY225" i="3"/>
  <c r="AY184" i="3"/>
  <c r="BQ6" i="3"/>
  <c r="AY53" i="3"/>
  <c r="AY98" i="3"/>
  <c r="AY232" i="3"/>
  <c r="AY49" i="3"/>
  <c r="AY326" i="3"/>
  <c r="AY294" i="3"/>
  <c r="AY269" i="3"/>
  <c r="AY302" i="3"/>
  <c r="AY457" i="3"/>
  <c r="AY42" i="3"/>
  <c r="AY467" i="3"/>
  <c r="AY70" i="3"/>
  <c r="AY435" i="3"/>
  <c r="AY406" i="3"/>
  <c r="AY253" i="3"/>
  <c r="AY35" i="3"/>
  <c r="AY525" i="3"/>
  <c r="AY526" i="3"/>
  <c r="AY19" i="3"/>
  <c r="AY513" i="3"/>
  <c r="AY347" i="3"/>
  <c r="AY345" i="3"/>
  <c r="AY470" i="3"/>
  <c r="AY119" i="3"/>
  <c r="AY82" i="3"/>
  <c r="AY41" i="3"/>
  <c r="AY128" i="3"/>
  <c r="AY36" i="3"/>
  <c r="AY246" i="3"/>
  <c r="AY333" i="3"/>
  <c r="AY408" i="3"/>
  <c r="AY117" i="3"/>
  <c r="AY374" i="3"/>
  <c r="AY123" i="3"/>
  <c r="AY183" i="3"/>
  <c r="AY337" i="3"/>
  <c r="AY25" i="3"/>
  <c r="AY341" i="3"/>
  <c r="AY197" i="3"/>
  <c r="AY76" i="3"/>
  <c r="AY321" i="3"/>
  <c r="AY504" i="3"/>
  <c r="AY182" i="3"/>
  <c r="AY217" i="3"/>
  <c r="AY427" i="3"/>
  <c r="AY214" i="3"/>
  <c r="AY116" i="3"/>
  <c r="AY548" i="3"/>
  <c r="AY81" i="3"/>
  <c r="AY279" i="3"/>
  <c r="BL6" i="3"/>
  <c r="AY277" i="3"/>
  <c r="AY286" i="3"/>
  <c r="AY72" i="3"/>
  <c r="AY382" i="3"/>
  <c r="AY143" i="3"/>
  <c r="AY308" i="3"/>
  <c r="AY236" i="3"/>
  <c r="BD6" i="3"/>
  <c r="AY276" i="3"/>
  <c r="AY436" i="3"/>
  <c r="AY113" i="3"/>
  <c r="AY192" i="3"/>
  <c r="AY387" i="3"/>
  <c r="AY410" i="3"/>
  <c r="AY56" i="3"/>
  <c r="AY522" i="3"/>
  <c r="AY87" i="3"/>
  <c r="AY109" i="3"/>
  <c r="AY142" i="3"/>
  <c r="AY34" i="3"/>
  <c r="AY218" i="3"/>
  <c r="AY309" i="3"/>
  <c r="AY392" i="3"/>
  <c r="AY176" i="3"/>
  <c r="AY356" i="3"/>
  <c r="AY44" i="3"/>
  <c r="AY288" i="3"/>
  <c r="AY318" i="3"/>
  <c r="AY147" i="3"/>
  <c r="AY561" i="3"/>
  <c r="AY162" i="3"/>
  <c r="AY22" i="3"/>
  <c r="AY562" i="3"/>
  <c r="AY537" i="3"/>
  <c r="AY144" i="3"/>
  <c r="AY262" i="3"/>
  <c r="AY397" i="3"/>
  <c r="AY379" i="3"/>
  <c r="AY135" i="3"/>
  <c r="AY62" i="3"/>
  <c r="AY155" i="3"/>
  <c r="AY307" i="3"/>
  <c r="AY64" i="3"/>
  <c r="AY264" i="3"/>
  <c r="AY364" i="3"/>
  <c r="AY115" i="3"/>
  <c r="AY420" i="3"/>
  <c r="AY201" i="3"/>
  <c r="AY330" i="3"/>
  <c r="AY449" i="3"/>
  <c r="AY494" i="3"/>
  <c r="AY212" i="3"/>
  <c r="BB6" i="3"/>
  <c r="AY251" i="3"/>
  <c r="AY296" i="3"/>
  <c r="AY353" i="3"/>
  <c r="AY338" i="3"/>
  <c r="AY486" i="3"/>
  <c r="AY67" i="3"/>
  <c r="AY159" i="3"/>
  <c r="AY105" i="3"/>
  <c r="AY293" i="3"/>
  <c r="AY386" i="3"/>
  <c r="AY411" i="3"/>
  <c r="AY187" i="3"/>
  <c r="AY271" i="3"/>
  <c r="AY445" i="3"/>
  <c r="AY200" i="3"/>
  <c r="AY335" i="3"/>
  <c r="AY111" i="3"/>
  <c r="AY224" i="3"/>
  <c r="AY85" i="3"/>
  <c r="AY369" i="3"/>
  <c r="AY229" i="3"/>
  <c r="AY430" i="3"/>
  <c r="AY47" i="3"/>
  <c r="AY106" i="3"/>
  <c r="AY361" i="3"/>
  <c r="AY146" i="3"/>
  <c r="AY39" i="3"/>
  <c r="AY315" i="3"/>
  <c r="AY464" i="3"/>
  <c r="AY194" i="3"/>
  <c r="AY429" i="3"/>
  <c r="AY75" i="3"/>
  <c r="AY202" i="3"/>
  <c r="AY348" i="3"/>
  <c r="AY542" i="3"/>
  <c r="AY442" i="3"/>
  <c r="AY572" i="3"/>
  <c r="AY99" i="3"/>
  <c r="AY207" i="3"/>
  <c r="AY40" i="3"/>
  <c r="AY281" i="3"/>
  <c r="AY322" i="3"/>
  <c r="AY395" i="3"/>
  <c r="AY189" i="3"/>
  <c r="AY393" i="3"/>
  <c r="BO6" i="3"/>
  <c r="AY444" i="3"/>
  <c r="AY549" i="3"/>
  <c r="AY88" i="3"/>
  <c r="AY129" i="3"/>
  <c r="AY104" i="3"/>
  <c r="AY259" i="3"/>
  <c r="AY368" i="3"/>
  <c r="AY409" i="3"/>
  <c r="AY171" i="3"/>
  <c r="AY365" i="3"/>
  <c r="AY471" i="3"/>
  <c r="AY138" i="3"/>
  <c r="AY316" i="3"/>
  <c r="AY29" i="3"/>
  <c r="AY367" i="3"/>
  <c r="AY166" i="3"/>
  <c r="AY413" i="3"/>
  <c r="AY319" i="3"/>
  <c r="BT6" i="3"/>
  <c r="AY74" i="3"/>
  <c r="AY136" i="3"/>
  <c r="AY448" i="3"/>
  <c r="AY381" i="3"/>
  <c r="AY178" i="3"/>
  <c r="AY550" i="3"/>
  <c r="AY389" i="3"/>
  <c r="AY122" i="3"/>
  <c r="AY278" i="3"/>
  <c r="AY175" i="3"/>
  <c r="AY139" i="3"/>
  <c r="BK6" i="3"/>
  <c r="AY132" i="3"/>
  <c r="AY336" i="3"/>
  <c r="AY352" i="3"/>
  <c r="AY124" i="3"/>
  <c r="AY428" i="3"/>
  <c r="AY48" i="3"/>
  <c r="AY215" i="3"/>
  <c r="AY61" i="3"/>
  <c r="AY23" i="3"/>
  <c r="AY237" i="3"/>
  <c r="AY173" i="3"/>
  <c r="AY59" i="3"/>
  <c r="AY37" i="3"/>
  <c r="AY203" i="3"/>
  <c r="AY95" i="3"/>
  <c r="AY150" i="3"/>
  <c r="AY216" i="3"/>
  <c r="AY432" i="3"/>
  <c r="AY28" i="3"/>
  <c r="AY280" i="3"/>
  <c r="AY311" i="3"/>
  <c r="AY172" i="3"/>
  <c r="AY257" i="3"/>
  <c r="BS6" i="3"/>
  <c r="AY254" i="3"/>
  <c r="AY394" i="3"/>
  <c r="AY359" i="3"/>
  <c r="AY282" i="3"/>
  <c r="AY437" i="3"/>
  <c r="AY83" i="3"/>
  <c r="AY45" i="3"/>
  <c r="AY383" i="3"/>
  <c r="AY170" i="3"/>
  <c r="AY476" i="3"/>
  <c r="AY366" i="3"/>
  <c r="AY256" i="3"/>
  <c r="AY342" i="3"/>
  <c r="AY438" i="3"/>
  <c r="AY160" i="3"/>
  <c r="AY425" i="3"/>
  <c r="AY169" i="3"/>
  <c r="AY30" i="3"/>
  <c r="AY188" i="3"/>
  <c r="AY157" i="3"/>
  <c r="AY528" i="3"/>
  <c r="AY516" i="3"/>
  <c r="AY567" i="3"/>
  <c r="AY538" i="3"/>
  <c r="AY534" i="3"/>
  <c r="AY557" i="3"/>
  <c r="AY478" i="3"/>
  <c r="AY418" i="3"/>
  <c r="AY434" i="3"/>
  <c r="AY533" i="3"/>
  <c r="AY530" i="3"/>
  <c r="AY97" i="3"/>
  <c r="AY198" i="3"/>
  <c r="AY77" i="3"/>
  <c r="AY158" i="3"/>
  <c r="AY290" i="3"/>
  <c r="AY443" i="3"/>
  <c r="AY46" i="3"/>
  <c r="AY219" i="3"/>
  <c r="AY569" i="3"/>
  <c r="AY148" i="3"/>
  <c r="AY371" i="3"/>
  <c r="BA6" i="3"/>
  <c r="AY283" i="3"/>
  <c r="AY446" i="3"/>
  <c r="AY380" i="3"/>
  <c r="AY211" i="3"/>
  <c r="AY396" i="3"/>
  <c r="AY73" i="3"/>
  <c r="AY57" i="3"/>
  <c r="AY349" i="3"/>
  <c r="AY149" i="3"/>
  <c r="AY463" i="3"/>
  <c r="AY372" i="3"/>
  <c r="AY376" i="3"/>
  <c r="AY450" i="3"/>
  <c r="AY412" i="3"/>
  <c r="AY515" i="3"/>
  <c r="AY479" i="3"/>
  <c r="AY238" i="3"/>
  <c r="AY230" i="3"/>
  <c r="BC6" i="3"/>
  <c r="AY543" i="3"/>
  <c r="AY91" i="3"/>
  <c r="AY273" i="3"/>
  <c r="AY566" i="3"/>
  <c r="AY488" i="3"/>
  <c r="AY568" i="3"/>
  <c r="AY451" i="3"/>
  <c r="AY54" i="3"/>
  <c r="AY460" i="3"/>
  <c r="AY312" i="3"/>
  <c r="AY80" i="3"/>
  <c r="AY58" i="3"/>
  <c r="AY179" i="3"/>
  <c r="AY274" i="3"/>
  <c r="AY275" i="3"/>
  <c r="AY556" i="3"/>
  <c r="AY414" i="3"/>
  <c r="AY114" i="3"/>
  <c r="AY304" i="3"/>
  <c r="AY38" i="3"/>
  <c r="AY227" i="3"/>
  <c r="AY558" i="3"/>
  <c r="AY120" i="3"/>
  <c r="AY424" i="3"/>
  <c r="AY266" i="3"/>
  <c r="AY156" i="3"/>
  <c r="AY14" i="3"/>
  <c r="AY100" i="3"/>
  <c r="AY126" i="3"/>
  <c r="AY291" i="3"/>
  <c r="AY422" i="3"/>
  <c r="AY324" i="3"/>
  <c r="AY258" i="3"/>
  <c r="AY168" i="3"/>
  <c r="AY295" i="3"/>
  <c r="AY16" i="3"/>
  <c r="AY154" i="3"/>
  <c r="AY384" i="3"/>
  <c r="AY398" i="3"/>
  <c r="AY241" i="3"/>
  <c r="AY555" i="3"/>
  <c r="AY43" i="3"/>
  <c r="AY501" i="3"/>
  <c r="AY481" i="3"/>
  <c r="AY510" i="3"/>
  <c r="AY401" i="3"/>
  <c r="AY495" i="3"/>
  <c r="AY267" i="3"/>
  <c r="AY363" i="3"/>
  <c r="AY545" i="3"/>
  <c r="AY339" i="3"/>
  <c r="AY284" i="3"/>
  <c r="AY79" i="3"/>
  <c r="AY134" i="3"/>
  <c r="AY261" i="3"/>
  <c r="AY426" i="3"/>
  <c r="AY301" i="3"/>
  <c r="AY496" i="3"/>
  <c r="AY55" i="3"/>
  <c r="AY340" i="3"/>
  <c r="AY493" i="3"/>
  <c r="AY239" i="3"/>
  <c r="AY152" i="3"/>
  <c r="AY417" i="3"/>
  <c r="AY492" i="3"/>
  <c r="BR6" i="3"/>
  <c r="AY327" i="3"/>
  <c r="AY298" i="3"/>
  <c r="AY454" i="3"/>
  <c r="AY391" i="3"/>
  <c r="AY52" i="3"/>
  <c r="AY65" i="3"/>
  <c r="AY465" i="3"/>
  <c r="AY127" i="3"/>
  <c r="AY518" i="3"/>
  <c r="AY503" i="3"/>
  <c r="AY299" i="3"/>
  <c r="AY185" i="3"/>
  <c r="AY108" i="3"/>
  <c r="AY334" i="3"/>
  <c r="AY571" i="3"/>
  <c r="AY477" i="3"/>
  <c r="AY452" i="3"/>
  <c r="AY490" i="3"/>
  <c r="AY210" i="3"/>
  <c r="AY297" i="3"/>
  <c r="AY462" i="3"/>
  <c r="AY94" i="3"/>
  <c r="AY13" i="3"/>
  <c r="AY250" i="3"/>
  <c r="AY272" i="3"/>
  <c r="AY320" i="3"/>
  <c r="AY407" i="3"/>
  <c r="AY461" i="3"/>
  <c r="AY186" i="3"/>
  <c r="AY540" i="3"/>
  <c r="AY563" i="3"/>
  <c r="AY84" i="3"/>
  <c r="AY164" i="3"/>
  <c r="AY554" i="3"/>
  <c r="AY532" i="3"/>
  <c r="AY204" i="3"/>
  <c r="AY265" i="3"/>
  <c r="AY151" i="3"/>
  <c r="AY531" i="3"/>
  <c r="AY565" i="3"/>
  <c r="AY553" i="3"/>
  <c r="AY90" i="3"/>
  <c r="AY344" i="3"/>
  <c r="AY190" i="3"/>
  <c r="AY421" i="3"/>
  <c r="BM6" i="3"/>
  <c r="AY482" i="3"/>
  <c r="AY491" i="3"/>
  <c r="AY102" i="3"/>
  <c r="AY165" i="3"/>
  <c r="AY209" i="3"/>
  <c r="BH6" i="3"/>
  <c r="AY458" i="3"/>
  <c r="AY385" i="3"/>
  <c r="AY404" i="3"/>
  <c r="AY177" i="3"/>
  <c r="AY300" i="3"/>
  <c r="AY101" i="3"/>
  <c r="AY456" i="3"/>
  <c r="AY78" i="3"/>
  <c r="AY506" i="3"/>
  <c r="AY487" i="3"/>
  <c r="AY535" i="3"/>
  <c r="AY93" i="3"/>
  <c r="AY473" i="3"/>
  <c r="AY439" i="3"/>
  <c r="AY400" i="3"/>
  <c r="BN6" i="3"/>
  <c r="AY325" i="3"/>
  <c r="AY17" i="3"/>
  <c r="BI6" i="3"/>
  <c r="AY228" i="3"/>
  <c r="AY343" i="3"/>
  <c r="AY370" i="3"/>
  <c r="AY399" i="3"/>
  <c r="AY328" i="3"/>
  <c r="AY195" i="3"/>
  <c r="AY354" i="3"/>
  <c r="AY306" i="3"/>
  <c r="AY196" i="3"/>
  <c r="AY21" i="3"/>
  <c r="AY405" i="3"/>
  <c r="AY500" i="3"/>
  <c r="AY287" i="3"/>
  <c r="AY497" i="3"/>
  <c r="AY403" i="3"/>
  <c r="AY231" i="3"/>
  <c r="AY350" i="3"/>
  <c r="AY32" i="3"/>
  <c r="AY20" i="3"/>
  <c r="AY559" i="3"/>
  <c r="AY331" i="3"/>
  <c r="AY517" i="3"/>
  <c r="AY512" i="3"/>
  <c r="AY125" i="3"/>
  <c r="AY167" i="3"/>
  <c r="AY141" i="3"/>
  <c r="AY27" i="3"/>
  <c r="AY519" i="3"/>
  <c r="AY484" i="3"/>
  <c r="AY468" i="3"/>
  <c r="AY423" i="3"/>
  <c r="AY234" i="3"/>
  <c r="AY323" i="3"/>
  <c r="AY244" i="3"/>
  <c r="AY351" i="3"/>
  <c r="AY440" i="3"/>
  <c r="AY521" i="3"/>
  <c r="AY508" i="3"/>
  <c r="AY419" i="3"/>
  <c r="AY243" i="3"/>
  <c r="AY373" i="3"/>
  <c r="AY466" i="3"/>
  <c r="AY92" i="3"/>
  <c r="AY310" i="3"/>
  <c r="AY544" i="3"/>
  <c r="AY24" i="3"/>
  <c r="AY107" i="3"/>
  <c r="AY546" i="3"/>
  <c r="AY163" i="3"/>
  <c r="AY355" i="3"/>
  <c r="AY285" i="3"/>
  <c r="AY502" i="3"/>
  <c r="AY514" i="3"/>
  <c r="AY499" i="3"/>
  <c r="AY507" i="3"/>
  <c r="AY317" i="3"/>
  <c r="AY346" i="3"/>
  <c r="AY303" i="3"/>
  <c r="AY498" i="3"/>
  <c r="AY415" i="3"/>
  <c r="AY208" i="3"/>
  <c r="AY447" i="3"/>
  <c r="AY483" i="3"/>
  <c r="AY60" i="3"/>
  <c r="AY270" i="3"/>
  <c r="AY180" i="3"/>
  <c r="AY292" i="3"/>
  <c r="AY433" i="3"/>
  <c r="AY547" i="3"/>
  <c r="AY455" i="3"/>
  <c r="AY332" i="3"/>
  <c r="AY51" i="3"/>
  <c r="AY511" i="3"/>
  <c r="AY118" i="3"/>
  <c r="AY459" i="3"/>
  <c r="AY314" i="3"/>
  <c r="AY268" i="3"/>
  <c r="AY140" i="3"/>
  <c r="AY66" i="3"/>
  <c r="AY222" i="3"/>
  <c r="AY505" i="3"/>
  <c r="AY357" i="3"/>
  <c r="AY377" i="3"/>
  <c r="AY509" i="3"/>
  <c r="AY539" i="3"/>
  <c r="AY564" i="3"/>
  <c r="AY402" i="3"/>
  <c r="AY161" i="3"/>
  <c r="AY360" i="3"/>
  <c r="AY137" i="3"/>
  <c r="BP6" i="3"/>
  <c r="AY480" i="3"/>
  <c r="AY358" i="3"/>
  <c r="AY223" i="3"/>
  <c r="AY235" i="3"/>
  <c r="AY205" i="3"/>
  <c r="AY474" i="3"/>
  <c r="AY441" i="3"/>
  <c r="AY89" i="3"/>
  <c r="BG6" i="3"/>
  <c r="AY255" i="3"/>
  <c r="AY226" i="3"/>
  <c r="AY431" i="3"/>
  <c r="AY242" i="3"/>
  <c r="AY220" i="3"/>
  <c r="AY110" i="3"/>
  <c r="AY524" i="3"/>
  <c r="AY181" i="3"/>
  <c r="AY245" i="3"/>
  <c r="AY247" i="3"/>
  <c r="AY375" i="3"/>
  <c r="AY475" i="3"/>
  <c r="BJ6" i="3"/>
  <c r="AY289" i="3"/>
  <c r="AY130" i="3"/>
  <c r="AY541" i="3"/>
  <c r="AY416" i="3"/>
  <c r="AY193" i="3"/>
  <c r="AY527" i="3"/>
  <c r="AY390" i="3"/>
  <c r="AY133" i="3"/>
  <c r="AY260" i="3"/>
  <c r="AY103" i="3"/>
  <c r="AY305" i="3"/>
  <c r="AY485" i="3"/>
  <c r="AY174" i="3"/>
  <c r="AY71" i="3"/>
  <c r="AY252" i="3"/>
  <c r="AY121" i="3"/>
  <c r="AY33" i="3"/>
  <c r="AY570" i="3"/>
  <c r="AY560" i="3"/>
  <c r="AY86" i="3"/>
  <c r="AY489" i="3"/>
  <c r="AY15" i="3"/>
  <c r="AY213" i="3"/>
  <c r="AY263" i="3"/>
  <c r="AY31" i="3"/>
  <c r="AY221" i="3"/>
  <c r="AY112" i="3"/>
  <c r="AY153" i="3"/>
  <c r="AY240" i="3"/>
  <c r="AY536" i="3"/>
  <c r="AY523" i="3"/>
  <c r="AY313" i="3"/>
  <c r="AY551" i="3"/>
  <c r="AY191" i="3"/>
  <c r="AY378" i="3"/>
  <c r="AY552" i="3"/>
  <c r="BF6" i="3"/>
  <c r="AY68" i="3"/>
  <c r="AY469" i="3"/>
  <c r="AY18" i="3"/>
  <c r="AY50" i="3"/>
  <c r="AY388" i="3"/>
  <c r="AY199" i="3"/>
  <c r="AY63" i="3"/>
  <c r="AY362" i="3"/>
  <c r="BE6" i="3"/>
  <c r="D3" i="6"/>
  <c r="C60" i="15"/>
  <c r="C65" i="15"/>
  <c r="C59" i="15"/>
  <c r="C14" i="15"/>
  <c r="P16" i="1"/>
  <c r="C13" i="12"/>
  <c r="C14" i="12"/>
  <c r="C15" i="12"/>
  <c r="C18" i="15"/>
  <c r="C15" i="15"/>
  <c r="I27" i="6"/>
  <c r="S19" i="6"/>
  <c r="S27" i="6"/>
  <c r="T12" i="1"/>
  <c r="T11" i="1"/>
  <c r="T10" i="1"/>
  <c r="T8" i="1"/>
  <c r="T13" i="1"/>
  <c r="T9" i="1"/>
  <c r="T7" i="1"/>
  <c r="C20" i="11"/>
  <c r="C21" i="11"/>
  <c r="C22" i="11"/>
  <c r="C23" i="11"/>
  <c r="B2" i="11"/>
  <c r="L16" i="1"/>
  <c r="C13" i="43"/>
  <c r="N16" i="1"/>
  <c r="C29" i="43"/>
  <c r="W12" i="39"/>
  <c r="AC12" i="39"/>
  <c r="AC12" i="40"/>
  <c r="W12" i="40"/>
  <c r="S12" i="40"/>
  <c r="AA12" i="40"/>
  <c r="D14" i="6"/>
  <c r="D12" i="6"/>
  <c r="H26" i="6"/>
  <c r="F46" i="9"/>
  <c r="D29" i="6"/>
  <c r="H22" i="6"/>
  <c r="E45" i="9"/>
  <c r="H21" i="6"/>
  <c r="F45" i="9"/>
  <c r="D5" i="6"/>
  <c r="H24" i="6"/>
  <c r="H20" i="6"/>
  <c r="H25" i="6"/>
  <c r="D13" i="6"/>
  <c r="D9" i="6"/>
  <c r="D10" i="6"/>
  <c r="H23" i="6"/>
  <c r="D11" i="6"/>
  <c r="D15" i="6"/>
  <c r="E46" i="9"/>
  <c r="C22" i="4"/>
  <c r="D26" i="6"/>
  <c r="D6" i="6"/>
  <c r="D21" i="6"/>
  <c r="R21" i="6"/>
  <c r="D23" i="6"/>
  <c r="R23" i="6"/>
  <c r="K38" i="9"/>
  <c r="C14" i="66"/>
  <c r="B2" i="66"/>
  <c r="D24" i="6"/>
  <c r="R24" i="6"/>
  <c r="D28" i="6"/>
  <c r="D25" i="6"/>
  <c r="H19" i="6"/>
  <c r="C40" i="39"/>
  <c r="D8" i="6"/>
  <c r="D22" i="6"/>
  <c r="D20" i="6"/>
  <c r="R20" i="6"/>
  <c r="R7" i="1"/>
  <c r="B27" i="9"/>
  <c r="D19" i="6"/>
  <c r="E63" i="40"/>
  <c r="F63" i="40"/>
  <c r="B2" i="40"/>
  <c r="S12" i="39"/>
  <c r="AA12" i="39"/>
  <c r="U12" i="39"/>
  <c r="AB12" i="39"/>
  <c r="AB12" i="40"/>
  <c r="U12" i="40"/>
  <c r="C16" i="44"/>
  <c r="C17" i="12"/>
  <c r="C19" i="15"/>
  <c r="C20" i="15"/>
  <c r="C23" i="15"/>
  <c r="R25" i="6"/>
  <c r="R22" i="6"/>
  <c r="H27" i="6"/>
  <c r="T16" i="1"/>
  <c r="D30" i="6"/>
  <c r="R26" i="6"/>
  <c r="C18" i="12"/>
  <c r="C23" i="12"/>
  <c r="D16" i="6"/>
  <c r="C17" i="44"/>
  <c r="C20" i="44"/>
  <c r="D27" i="6"/>
  <c r="R19" i="6"/>
  <c r="B3" i="40"/>
  <c r="B4" i="40"/>
  <c r="B5" i="40"/>
  <c r="D27" i="9"/>
  <c r="D30" i="9"/>
  <c r="B30" i="9"/>
  <c r="H40" i="39"/>
  <c r="J40" i="39"/>
  <c r="F40" i="39"/>
  <c r="A6" i="64"/>
  <c r="A20" i="51"/>
  <c r="B15" i="63"/>
  <c r="A20" i="64"/>
  <c r="A6" i="51"/>
  <c r="B7" i="63"/>
  <c r="N5" i="54"/>
  <c r="B43" i="63"/>
  <c r="C17" i="43"/>
  <c r="C14" i="43"/>
  <c r="D7" i="66"/>
  <c r="D8" i="66"/>
  <c r="B4" i="11"/>
  <c r="B5" i="11"/>
  <c r="B3" i="11"/>
  <c r="C21" i="44"/>
  <c r="C22" i="44"/>
  <c r="C28" i="44"/>
  <c r="C18" i="43"/>
  <c r="C19" i="43"/>
  <c r="C22" i="43"/>
  <c r="C21" i="43"/>
  <c r="D31" i="6"/>
  <c r="I5" i="6"/>
  <c r="C26" i="15"/>
  <c r="C29" i="15"/>
  <c r="AC40" i="39"/>
  <c r="W40" i="39"/>
  <c r="C24" i="9"/>
  <c r="C25" i="9"/>
  <c r="I6" i="6"/>
  <c r="C13" i="39"/>
  <c r="S40" i="39"/>
  <c r="AA40" i="39"/>
  <c r="AB40" i="39"/>
  <c r="U40" i="39"/>
  <c r="R27" i="6"/>
  <c r="R6" i="1"/>
  <c r="F35" i="15"/>
  <c r="M21" i="15"/>
  <c r="C56" i="15"/>
  <c r="C63" i="15"/>
  <c r="J19" i="15"/>
  <c r="C36" i="15"/>
  <c r="J14" i="15"/>
  <c r="J22" i="15"/>
  <c r="C13" i="15"/>
  <c r="C37" i="15"/>
  <c r="J59" i="15"/>
  <c r="J60" i="15"/>
  <c r="Q49" i="15"/>
  <c r="Q50" i="15"/>
  <c r="F62" i="15"/>
  <c r="C61" i="15"/>
  <c r="C58" i="15"/>
  <c r="C34" i="15"/>
  <c r="C31" i="15"/>
  <c r="J20" i="15"/>
  <c r="R16" i="1"/>
  <c r="C25" i="44"/>
  <c r="C31" i="44"/>
  <c r="H13" i="39"/>
  <c r="F13" i="39"/>
  <c r="J13" i="39"/>
  <c r="C25" i="43"/>
  <c r="C24" i="43"/>
  <c r="C28" i="43"/>
  <c r="C30" i="43"/>
  <c r="C32" i="43"/>
  <c r="B2" i="43"/>
  <c r="J17" i="15"/>
  <c r="J13" i="15"/>
  <c r="J23" i="15"/>
  <c r="J35" i="15"/>
  <c r="C55" i="15"/>
  <c r="C64" i="15"/>
  <c r="C57" i="15"/>
  <c r="C66" i="15"/>
  <c r="C67" i="15"/>
  <c r="Q71" i="15"/>
  <c r="B4" i="43"/>
  <c r="B3" i="43"/>
  <c r="B5" i="43"/>
  <c r="W13" i="39"/>
  <c r="AC13" i="39"/>
  <c r="V49" i="39"/>
  <c r="I49" i="39"/>
  <c r="U13" i="39"/>
  <c r="AB13" i="39"/>
  <c r="T49" i="39"/>
  <c r="G49" i="39"/>
  <c r="C30" i="15"/>
  <c r="C39" i="15"/>
  <c r="S13" i="39"/>
  <c r="AA13" i="39"/>
  <c r="R49" i="39"/>
  <c r="Q51" i="44"/>
  <c r="C38" i="44"/>
  <c r="C15" i="44"/>
  <c r="J16" i="44"/>
  <c r="J21" i="44"/>
  <c r="J19" i="44"/>
  <c r="C35" i="44"/>
  <c r="C33" i="44"/>
  <c r="L51" i="15"/>
  <c r="J16" i="15"/>
  <c r="J25" i="15"/>
  <c r="J39" i="15"/>
  <c r="J40" i="15"/>
  <c r="Q68" i="15"/>
  <c r="G54" i="39"/>
  <c r="H54" i="39"/>
  <c r="G53" i="39"/>
  <c r="H53" i="39"/>
  <c r="C70" i="15"/>
  <c r="C43" i="44"/>
  <c r="Q72" i="44"/>
  <c r="C39" i="44"/>
  <c r="C32" i="44"/>
  <c r="C42" i="44"/>
  <c r="J24" i="44"/>
  <c r="J15" i="44"/>
  <c r="J25" i="44"/>
  <c r="E49" i="39"/>
  <c r="R50" i="39"/>
  <c r="Q70" i="15"/>
  <c r="Q69" i="15"/>
  <c r="C40" i="15"/>
  <c r="I54" i="39"/>
  <c r="J54" i="39"/>
  <c r="I53" i="39"/>
  <c r="J53" i="39"/>
  <c r="J18" i="44"/>
  <c r="J27" i="44"/>
  <c r="Q71" i="44"/>
  <c r="Q70" i="44"/>
  <c r="C44" i="44"/>
  <c r="C45" i="44"/>
  <c r="B2" i="44"/>
  <c r="C43" i="15"/>
  <c r="Q48" i="15"/>
  <c r="Q54" i="15"/>
  <c r="Q57" i="15"/>
  <c r="Q63" i="15"/>
  <c r="Q66" i="15"/>
  <c r="Q76" i="15"/>
  <c r="B2" i="15"/>
  <c r="D10" i="12"/>
  <c r="J42" i="15"/>
  <c r="J43" i="15"/>
  <c r="C49" i="39"/>
  <c r="C50" i="39"/>
  <c r="E54" i="39"/>
  <c r="F54" i="39"/>
  <c r="E53" i="39"/>
  <c r="F53" i="39"/>
  <c r="C46" i="15"/>
  <c r="B61" i="39"/>
  <c r="F61" i="39"/>
  <c r="B59" i="39"/>
  <c r="F59" i="39"/>
  <c r="B63" i="39"/>
  <c r="F63" i="39"/>
  <c r="B67" i="39"/>
  <c r="F67" i="39"/>
  <c r="B62" i="39"/>
  <c r="F62" i="39"/>
  <c r="B66" i="39"/>
  <c r="F66" i="39"/>
  <c r="B65" i="39"/>
  <c r="F65" i="39"/>
  <c r="B60" i="39"/>
  <c r="F60" i="39"/>
  <c r="B64" i="39"/>
  <c r="F64" i="39"/>
  <c r="B58" i="39"/>
  <c r="F58" i="39"/>
  <c r="B3" i="44"/>
  <c r="B4" i="44"/>
  <c r="B5" i="44"/>
  <c r="B3" i="15"/>
  <c r="C6" i="12"/>
  <c r="D8" i="12"/>
  <c r="C29" i="12"/>
  <c r="C24" i="12"/>
  <c r="F68" i="39"/>
  <c r="B2" i="39"/>
  <c r="C19" i="9"/>
  <c r="L43" i="9"/>
  <c r="B5" i="39"/>
  <c r="B4" i="39"/>
  <c r="B3" i="39"/>
  <c r="C28" i="12"/>
  <c r="C26" i="12"/>
  <c r="C31" i="12"/>
  <c r="C30" i="12"/>
  <c r="C35" i="12"/>
  <c r="C33" i="12"/>
  <c r="C20" i="9"/>
  <c r="C21" i="9"/>
  <c r="C36" i="12"/>
  <c r="B2" i="12"/>
  <c r="B5" i="12"/>
  <c r="D19" i="9"/>
  <c r="B3" i="12"/>
  <c r="B4" i="12"/>
  <c r="D22" i="9"/>
  <c r="L44" i="9"/>
  <c r="G19" i="9"/>
  <c r="N43" i="9"/>
  <c r="D20" i="9"/>
  <c r="D21" i="9"/>
  <c r="G22" i="9"/>
  <c r="G20" i="9"/>
  <c r="C32" i="9"/>
  <c r="C33" i="9"/>
  <c r="G21" i="9"/>
  <c r="C35" i="9"/>
  <c r="F42" i="9"/>
  <c r="O38" i="9"/>
  <c r="K25" i="9"/>
  <c r="O43" i="9"/>
  <c r="C42" i="9"/>
  <c r="D14" i="66"/>
  <c r="C34" i="9"/>
  <c r="E42" i="9"/>
  <c r="P5" i="54"/>
  <c r="B46" i="63"/>
  <c r="K26" i="9"/>
  <c r="N38" i="9"/>
  <c r="K28" i="9"/>
  <c r="D42" i="9"/>
  <c r="Q5" i="54"/>
  <c r="B47" i="63"/>
  <c r="M38" i="9"/>
  <c r="K27" i="9"/>
  <c r="C44" i="9"/>
  <c r="F44" i="9"/>
  <c r="R5" i="54"/>
  <c r="B48" i="63"/>
  <c r="N68" i="9"/>
  <c r="D63" i="9"/>
  <c r="D70" i="9"/>
  <c r="F14" i="66"/>
  <c r="E14" i="66"/>
  <c r="B5" i="66"/>
  <c r="C96" i="9"/>
  <c r="C91" i="9"/>
  <c r="O39" i="9"/>
  <c r="R6" i="54"/>
  <c r="B50" i="63"/>
  <c r="D44" i="9"/>
  <c r="E44" i="9"/>
  <c r="N69" i="9"/>
  <c r="M88" i="9"/>
  <c r="N88" i="9"/>
  <c r="G14" i="66"/>
  <c r="B6" i="66"/>
  <c r="D6" i="66"/>
  <c r="C82" i="9"/>
  <c r="C81" i="9"/>
  <c r="C85" i="9"/>
  <c r="C86" i="9"/>
  <c r="D72" i="9"/>
  <c r="C90" i="9"/>
  <c r="D77" i="9"/>
  <c r="N75" i="9"/>
  <c r="C111" i="9"/>
  <c r="C104" i="9"/>
  <c r="C103" i="9"/>
  <c r="D71" i="9"/>
  <c r="D66" i="9"/>
  <c r="N72" i="9"/>
  <c r="D5" i="66"/>
  <c r="C5" i="66"/>
  <c r="M86" i="9"/>
  <c r="N86" i="9"/>
  <c r="C6" i="66"/>
  <c r="K29" i="9"/>
  <c r="K30" i="9"/>
  <c r="M87" i="9"/>
  <c r="N87" i="9"/>
  <c r="M85" i="9"/>
  <c r="N85" i="9"/>
  <c r="M83" i="9"/>
  <c r="N83" i="9"/>
  <c r="M84" i="9"/>
  <c r="N84" i="9"/>
  <c r="C97" i="9"/>
  <c r="C98" i="9"/>
  <c r="E98" i="9"/>
  <c r="E99" i="9"/>
  <c r="C113" i="9"/>
  <c r="C99" i="9"/>
  <c r="N89" i="9"/>
  <c r="O89" i="9"/>
  <c r="C114" i="9"/>
  <c r="E114" i="9"/>
  <c r="E115" i="9"/>
  <c r="C115" i="9"/>
  <c r="D76" i="9"/>
  <c r="D74" i="9"/>
  <c r="N74" i="9"/>
  <c r="O77" i="9"/>
  <c r="Q77" i="9"/>
  <c r="O78"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<sst xmlns="http://schemas.openxmlformats.org/spreadsheetml/2006/main" count="7517" uniqueCount="3254">
  <si>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</si>
  <si>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</si>
  <si>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</si>
  <si>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</si>
  <si>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</si>
  <si>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</si>
  <si>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</si>
  <si>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</si>
  <si>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</si>
  <si>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</si>
  <si>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</si>
  <si>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</si>
  <si>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</si>
  <si>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</si>
  <si>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</si>
  <si>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</si>
  <si>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</si>
  <si>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</si>
  <si>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</si>
  <si>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</si>
  <si>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</si>
  <si>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</si>
  <si>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</si>
  <si>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</si>
  <si>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</si>
  <si>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</si>
  <si>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</si>
  <si>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</si>
  <si>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</si>
  <si>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</si>
  <si>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</si>
  <si>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</si>
  <si>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</si>
  <si>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</si>
  <si>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</si>
  <si>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</si>
  <si>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</si>
  <si>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</si>
  <si>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</si>
  <si>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</si>
  <si>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</si>
  <si>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</si>
  <si>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</si>
  <si>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</si>
  <si>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</si>
  <si>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</si>
  <si>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</si>
  <si>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</si>
  <si>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</si>
  <si>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</si>
  <si>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</si>
  <si>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</si>
  <si>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</si>
  <si>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</si>
  <si>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</si>
  <si>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</si>
  <si>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</si>
  <si>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</si>
  <si>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</si>
  <si>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</si>
  <si>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</si>
  <si>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</si>
  <si>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</si>
  <si>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</si>
  <si>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</si>
  <si>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</si>
  <si>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</si>
  <si>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</si>
  <si>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</si>
  <si>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</si>
  <si>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</si>
  <si>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</si>
  <si>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</si>
  <si>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</si>
  <si>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</si>
  <si>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</si>
  <si>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</si>
  <si>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</si>
  <si>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</si>
  <si>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</si>
  <si>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</si>
  <si>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</si>
  <si>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</si>
  <si>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</si>
  <si>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</si>
  <si>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</si>
  <si>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</si>
  <si>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</si>
  <si>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</si>
  <si>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</si>
  <si>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</si>
  <si>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</si>
  <si>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</si>
  <si>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</si>
  <si>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</si>
  <si>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</si>
  <si>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</si>
  <si>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</si>
  <si>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</si>
  <si>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</si>
  <si>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</si>
  <si>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</si>
  <si>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</si>
  <si>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</si>
  <si>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</si>
  <si>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</si>
  <si>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</si>
  <si>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</si>
  <si>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</si>
  <si>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</si>
  <si>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</si>
  <si>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</si>
  <si>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</si>
  <si>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</si>
  <si>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</si>
  <si>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</si>
  <si>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</si>
  <si>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</si>
  <si>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</si>
  <si>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</si>
  <si>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</si>
  <si>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</si>
  <si>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</si>
  <si>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</si>
  <si>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</si>
  <si>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</si>
  <si>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</si>
  <si>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</si>
  <si>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</si>
  <si>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</si>
  <si>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</si>
  <si>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</si>
  <si>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</si>
  <si>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</si>
  <si>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</si>
  <si>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</si>
  <si>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</si>
  <si>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</si>
  <si>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</si>
  <si>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</si>
  <si>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</si>
  <si>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</si>
  <si>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</si>
  <si>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</si>
  <si>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</si>
  <si>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</si>
  <si>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</si>
  <si>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</si>
  <si>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</si>
  <si>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</si>
  <si>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</si>
  <si>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</si>
  <si>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</si>
  <si>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</si>
  <si>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</si>
  <si>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</si>
  <si>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</si>
  <si>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</si>
  <si>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</si>
  <si>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</si>
  <si>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</si>
  <si>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</si>
  <si>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</si>
  <si>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</si>
  <si>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</si>
  <si>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</si>
  <si>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</si>
  <si>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</si>
  <si>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</si>
  <si>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</si>
  <si>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</si>
  <si>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</si>
  <si>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</si>
  <si>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</si>
  <si>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</si>
  <si>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</si>
  <si>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</si>
  <si>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</si>
  <si>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</si>
  <si>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</si>
  <si>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</si>
  <si>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</si>
  <si>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</si>
  <si>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</si>
  <si>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</si>
  <si>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</si>
  <si>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</si>
  <si>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</si>
  <si>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</si>
  <si>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</si>
  <si>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</si>
  <si>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</si>
  <si>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</si>
  <si>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</si>
  <si>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</si>
  <si>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</si>
  <si>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</si>
  <si>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</si>
  <si>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</si>
  <si>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</si>
  <si>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</si>
  <si>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</si>
  <si>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</si>
  <si>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</si>
  <si>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</si>
  <si>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</si>
  <si>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</si>
  <si>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</si>
  <si>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</si>
  <si>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</si>
  <si>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</si>
  <si>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</si>
  <si>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</si>
  <si>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</si>
  <si>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</si>
  <si>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</si>
  <si>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</si>
  <si>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</si>
  <si>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</si>
  <si>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</si>
  <si>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</si>
  <si>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</si>
  <si>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</si>
  <si>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</si>
  <si>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</si>
  <si>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</si>
  <si>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</si>
  <si>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</si>
  <si>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</si>
  <si>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</si>
  <si>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</si>
  <si>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</si>
  <si>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</si>
  <si>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</si>
  <si>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</si>
  <si>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</si>
  <si>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</si>
  <si>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</si>
  <si>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</si>
  <si>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</si>
  <si>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</si>
  <si>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</si>
  <si>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</si>
  <si>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</si>
  <si>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</si>
  <si>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</si>
  <si>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</si>
  <si>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</si>
  <si>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</si>
  <si>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</si>
  <si>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</si>
  <si>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</si>
  <si>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</si>
  <si>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</si>
  <si>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</si>
  <si>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</si>
  <si>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</si>
  <si>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</si>
  <si>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</si>
  <si>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</si>
  <si>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</si>
  <si>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</si>
  <si>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</si>
  <si>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</si>
  <si>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</si>
  <si>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</si>
  <si>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</si>
  <si>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</si>
  <si>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</si>
  <si>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</si>
  <si>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</si>
  <si>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</si>
  <si>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</si>
  <si>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</si>
  <si>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</si>
  <si>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</si>
  <si>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</si>
  <si>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</si>
  <si>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</si>
  <si>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</si>
  <si>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</si>
  <si>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</si>
  <si>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</si>
  <si>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</si>
  <si>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</si>
  <si>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</si>
  <si>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</si>
  <si>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</si>
  <si>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</si>
  <si>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</si>
  <si>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</si>
  <si>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</si>
  <si>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</si>
  <si>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</si>
  <si>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</si>
  <si>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</si>
  <si>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</si>
  <si>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</si>
  <si>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</si>
  <si>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</si>
  <si>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</si>
  <si>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</si>
  <si>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</si>
  <si>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</si>
  <si>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</si>
  <si>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</si>
  <si>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</si>
  <si>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</si>
  <si>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</si>
  <si>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</si>
  <si>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</si>
  <si>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</si>
  <si>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</si>
  <si>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</si>
  <si>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</si>
  <si>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</si>
  <si>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</si>
  <si>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</si>
  <si>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</si>
  <si>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</si>
  <si>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</si>
  <si>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</si>
  <si>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</si>
  <si>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</si>
  <si>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</si>
  <si>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</si>
  <si>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</si>
  <si>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</si>
  <si>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</si>
  <si>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</si>
  <si>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</si>
  <si>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</si>
  <si>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</si>
  <si>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</si>
  <si>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</si>
  <si>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</si>
  <si>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</si>
  <si>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</si>
  <si>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</si>
  <si>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</si>
  <si>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</si>
  <si>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</si>
  <si>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</si>
  <si>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</si>
  <si>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</si>
  <si>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</si>
  <si>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</si>
  <si>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</si>
  <si>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</si>
  <si>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</si>
  <si>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</si>
  <si>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</si>
  <si>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</si>
  <si>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</si>
  <si>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</si>
  <si>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</si>
  <si>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</si>
  <si>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</si>
  <si>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</si>
  <si>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</si>
  <si>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</si>
  <si>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</si>
  <si>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</si>
  <si>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</si>
  <si>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</si>
  <si>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</si>
  <si>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</si>
  <si>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</si>
  <si>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</si>
  <si>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</si>
  <si>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</si>
  <si>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</si>
  <si>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</si>
  <si>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</si>
  <si>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</si>
  <si>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</si>
  <si>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</si>
  <si>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</si>
  <si>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</si>
  <si>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</si>
  <si>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</si>
  <si>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</si>
  <si>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</si>
  <si>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</si>
  <si>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</si>
  <si>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</si>
  <si>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</si>
  <si>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</si>
  <si>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</si>
  <si>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</si>
  <si>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</si>
  <si>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</si>
  <si>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</si>
  <si>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</si>
  <si>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</si>
  <si>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</si>
  <si>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</si>
  <si>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</si>
  <si>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</si>
  <si>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</si>
  <si>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</si>
  <si>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</si>
  <si>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</si>
  <si>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</si>
  <si>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</si>
  <si>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</si>
  <si>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</si>
  <si>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</si>
  <si>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</si>
  <si>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</si>
  <si>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</si>
  <si>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</si>
  <si>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</si>
  <si>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</si>
  <si>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</si>
  <si>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</si>
  <si>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</si>
  <si>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</si>
  <si>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</si>
  <si>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</si>
  <si>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</si>
  <si>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</si>
  <si>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</si>
  <si>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</si>
  <si>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</si>
  <si>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</si>
  <si>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</si>
  <si>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</si>
  <si>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</si>
  <si>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</si>
  <si>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</si>
  <si>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</si>
  <si>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</si>
  <si>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</si>
  <si>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</si>
  <si>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</si>
  <si>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</si>
  <si>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</si>
  <si>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</si>
  <si>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</si>
  <si>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</si>
  <si>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</si>
  <si>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</si>
  <si>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</si>
  <si>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</si>
  <si>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</si>
  <si>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</si>
  <si>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</si>
  <si>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</si>
  <si>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</si>
  <si>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</si>
  <si>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</si>
  <si>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</si>
  <si>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</si>
  <si>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</si>
  <si>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</si>
  <si>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</si>
  <si>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</si>
  <si>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</si>
  <si>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</si>
  <si>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</si>
  <si>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</si>
  <si>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</si>
  <si>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</si>
  <si>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</si>
  <si>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</si>
  <si>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</si>
  <si>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</si>
  <si>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</si>
  <si>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</si>
  <si>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</si>
  <si>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</si>
  <si>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</si>
  <si>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</si>
  <si>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</si>
  <si>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</si>
  <si>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</si>
  <si>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</si>
  <si>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</si>
  <si>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</si>
  <si>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</si>
  <si>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</si>
  <si>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</si>
  <si>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</si>
  <si>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</si>
  <si>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</si>
  <si>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</si>
  <si>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</si>
  <si>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</si>
  <si>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</si>
  <si>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</si>
  <si>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</si>
  <si>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</si>
  <si>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</si>
  <si>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</si>
  <si>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</si>
  <si>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</si>
  <si>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</si>
  <si>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</si>
  <si>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</si>
  <si>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</si>
  <si>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</si>
  <si>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</si>
  <si>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</si>
  <si>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</si>
  <si>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</si>
  <si>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</si>
  <si>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</si>
  <si>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</si>
  <si>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</si>
  <si>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</si>
  <si>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</si>
  <si>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</si>
  <si>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</si>
  <si>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</si>
  <si>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</si>
  <si>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</si>
  <si>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</si>
  <si>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</si>
  <si>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</si>
  <si>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</si>
  <si>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</si>
  <si>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</si>
  <si>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</si>
  <si>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</si>
  <si>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</si>
  <si>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</si>
  <si>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</si>
  <si>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</si>
  <si>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</si>
  <si>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</si>
  <si>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</si>
  <si>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</si>
  <si>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</si>
  <si>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</si>
  <si>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</si>
  <si>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</si>
  <si>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</si>
  <si>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</si>
  <si>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</si>
  <si>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</si>
  <si>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</si>
  <si>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</si>
  <si>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</si>
  <si>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</si>
  <si>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</si>
  <si>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</si>
  <si>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</si>
  <si>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</si>
  <si>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</si>
  <si>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</si>
  <si>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</si>
  <si>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</si>
  <si>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</si>
  <si>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</si>
  <si>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</si>
  <si>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</si>
  <si>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</si>
  <si>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</si>
  <si>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</si>
  <si>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</si>
  <si>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</si>
  <si>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</si>
  <si>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</si>
  <si>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</si>
  <si>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</si>
  <si>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</si>
  <si>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</si>
  <si>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</si>
  <si>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</si>
  <si>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</si>
  <si>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</si>
  <si>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</si>
  <si>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</si>
  <si>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</si>
  <si>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</si>
  <si>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</si>
  <si>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</si>
  <si>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</si>
  <si>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</si>
  <si>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</si>
  <si>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</si>
  <si>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</si>
  <si>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</si>
  <si>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</si>
  <si>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</si>
  <si>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</si>
  <si>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</si>
  <si>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</si>
  <si>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</si>
  <si>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</si>
  <si>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</si>
  <si>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</si>
  <si>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</si>
  <si>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</si>
  <si>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</si>
  <si>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</si>
  <si>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</si>
  <si>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</si>
  <si>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</si>
  <si>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</si>
  <si>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</si>
  <si>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</si>
  <si>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</si>
  <si>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</si>
  <si>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</si>
  <si>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</si>
  <si>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</si>
  <si>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</si>
  <si>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</si>
  <si>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</si>
  <si>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</si>
  <si>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</si>
  <si>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</si>
  <si>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</si>
  <si>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</si>
  <si>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</si>
  <si>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</si>
  <si>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</si>
  <si>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</si>
  <si>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</si>
  <si>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</si>
  <si>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</si>
  <si>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</si>
  <si>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</si>
  <si>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</si>
  <si>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</si>
  <si>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</si>
  <si>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</si>
  <si>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</si>
  <si>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</si>
  <si>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</si>
  <si>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</si>
  <si>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</si>
  <si>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</si>
  <si>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</si>
  <si>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</si>
  <si>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</si>
  <si>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</si>
  <si>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</si>
  <si>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</si>
  <si>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</si>
  <si>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</si>
  <si>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</si>
  <si>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</si>
  <si>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</si>
  <si>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</si>
  <si>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</si>
  <si>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</si>
  <si>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</si>
  <si>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</si>
  <si>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</si>
  <si>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</si>
  <si>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</si>
  <si>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</si>
  <si>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</si>
  <si>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</si>
  <si>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</si>
  <si>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</si>
  <si>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</si>
  <si>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</si>
  <si>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</si>
  <si>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</si>
  <si>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</si>
  <si>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</si>
  <si>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</si>
  <si>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</si>
  <si>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</si>
  <si>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</si>
  <si>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</si>
  <si>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</si>
  <si>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</si>
  <si>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</si>
  <si>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</si>
  <si>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</si>
  <si>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</si>
  <si>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</si>
  <si>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</si>
  <si>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</si>
  <si>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</si>
  <si>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</si>
  <si>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</si>
  <si>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</si>
  <si>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</si>
  <si>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</si>
  <si>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</si>
  <si>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</si>
  <si>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</si>
  <si>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</si>
  <si>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</si>
  <si>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</si>
  <si>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</si>
  <si>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</si>
  <si>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</si>
  <si>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</si>
  <si>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</si>
  <si>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</si>
  <si>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</si>
  <si>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</si>
  <si>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</si>
  <si>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</si>
  <si>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</si>
  <si>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</si>
  <si>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</si>
  <si>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</si>
  <si>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</si>
  <si>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</si>
  <si>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</si>
  <si>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</si>
  <si>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</si>
  <si>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</si>
  <si>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</si>
  <si>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</si>
  <si>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</si>
  <si>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</si>
  <si>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</si>
  <si>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</si>
  <si>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</si>
  <si>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</si>
  <si>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</si>
  <si>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</si>
  <si>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</si>
  <si>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</si>
  <si>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</si>
  <si>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</si>
  <si>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</si>
  <si>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</si>
  <si>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</si>
  <si>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</si>
  <si>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</si>
  <si>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</si>
  <si>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</si>
  <si>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</si>
  <si>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</si>
  <si>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</si>
  <si>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</si>
  <si>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</si>
  <si>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</si>
  <si>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</si>
  <si>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</si>
  <si>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</si>
  <si>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</si>
  <si>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</si>
  <si>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</si>
  <si>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</si>
  <si>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</si>
  <si>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</si>
  <si>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</si>
  <si>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</si>
  <si>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</si>
  <si>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</si>
  <si>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</si>
  <si>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</si>
  <si>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</si>
  <si>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</si>
  <si>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</si>
  <si>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</si>
  <si>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</si>
  <si>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</si>
  <si>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</si>
  <si>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</si>
  <si>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</si>
  <si>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</si>
  <si>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</si>
  <si>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</si>
  <si>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</si>
  <si>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</si>
  <si>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</si>
  <si>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</si>
  <si>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</si>
  <si>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</si>
  <si>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</si>
  <si>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</si>
  <si>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</si>
  <si>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</si>
  <si>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</si>
  <si>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</si>
  <si>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</si>
  <si>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</si>
  <si>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</si>
  <si>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</si>
  <si>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</si>
  <si>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</si>
  <si>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</si>
  <si>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</si>
  <si>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</si>
  <si>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</si>
  <si>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</si>
  <si>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</si>
  <si>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</si>
  <si>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</si>
  <si>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</si>
  <si>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</si>
  <si>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</si>
  <si>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</si>
  <si>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</si>
  <si>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</si>
  <si>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</si>
  <si>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</si>
  <si>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</si>
  <si>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</si>
  <si>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</si>
  <si>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</si>
  <si>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</si>
  <si>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</si>
  <si>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</si>
  <si>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</si>
  <si>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</si>
  <si>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</si>
  <si>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</si>
  <si>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</si>
  <si>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</si>
  <si>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</si>
  <si>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</si>
  <si>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</si>
  <si>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</si>
  <si>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</si>
  <si>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</si>
  <si>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</si>
  <si>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</si>
  <si>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</si>
  <si>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</si>
  <si>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</si>
  <si>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</si>
  <si>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</si>
  <si>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</si>
  <si>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</si>
  <si>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</si>
  <si>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</si>
  <si>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</si>
  <si>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</si>
  <si>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</si>
  <si>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</si>
  <si>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</si>
  <si>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</si>
  <si>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</si>
  <si>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</si>
  <si>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</si>
  <si>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</si>
  <si>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</si>
  <si>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</si>
  <si>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</si>
  <si>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</si>
  <si>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</si>
  <si>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</si>
  <si>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</si>
  <si>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</si>
  <si>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</si>
  <si>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</si>
  <si>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</si>
  <si>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</si>
  <si>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</si>
  <si>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</si>
  <si>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</si>
  <si>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</si>
  <si>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</si>
  <si>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</si>
  <si>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</si>
  <si>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</si>
  <si>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</si>
  <si>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</si>
  <si>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</si>
  <si>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</si>
  <si>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</si>
  <si>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</si>
  <si>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</si>
  <si>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</si>
  <si>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</si>
  <si>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</si>
  <si>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</si>
  <si>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</si>
  <si>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</si>
  <si>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</si>
  <si>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</si>
  <si>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</si>
  <si>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</si>
  <si>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</si>
  <si>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</si>
  <si>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</si>
  <si>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</si>
  <si>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</si>
  <si>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</si>
  <si>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</si>
  <si>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</si>
  <si>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</si>
  <si>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</si>
  <si>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</si>
  <si>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</si>
  <si>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</si>
  <si>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</si>
  <si>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</si>
  <si>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</si>
  <si>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</si>
  <si>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</si>
  <si>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</si>
  <si>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</si>
  <si>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</si>
  <si>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</si>
  <si>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</si>
  <si>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</si>
  <si>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</si>
  <si>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</si>
  <si>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</si>
  <si>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</si>
  <si>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</si>
  <si>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</si>
  <si>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</si>
  <si>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</si>
  <si>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</si>
  <si>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</si>
  <si>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</si>
  <si>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</si>
  <si>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</si>
  <si>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</si>
  <si>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</si>
  <si>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</si>
  <si>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</si>
  <si>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</si>
  <si>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</si>
  <si>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</si>
  <si>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</si>
  <si>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</si>
  <si>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</si>
  <si>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</si>
  <si>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</si>
  <si>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</si>
  <si>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</si>
  <si>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</si>
  <si>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</si>
  <si>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</si>
  <si>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</si>
  <si>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</si>
  <si>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</si>
  <si>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</si>
  <si>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</si>
  <si>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</si>
  <si>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</si>
  <si>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</si>
  <si>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</si>
  <si>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</si>
  <si>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</si>
  <si>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</si>
  <si>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</si>
  <si>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</si>
  <si>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</si>
  <si>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</si>
  <si>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</si>
  <si>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</si>
  <si>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</si>
  <si>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</si>
  <si>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</si>
  <si>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</si>
  <si>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</si>
  <si>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</si>
  <si>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</si>
  <si>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</si>
  <si>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</si>
  <si>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</si>
  <si>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</si>
  <si>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</si>
  <si>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</si>
  <si>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</si>
  <si>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</si>
  <si>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</si>
  <si>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</si>
  <si>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</si>
  <si>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</si>
  <si>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</si>
  <si>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</si>
  <si>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</si>
  <si>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</si>
  <si>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</si>
  <si>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</si>
  <si>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</si>
  <si>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</si>
  <si>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</si>
  <si>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</si>
  <si>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</si>
  <si>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</si>
  <si>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</si>
  <si>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</si>
  <si>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</si>
  <si>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</si>
  <si>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</si>
  <si>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</si>
  <si>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</si>
  <si>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</si>
  <si>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</si>
  <si>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</si>
  <si>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</si>
  <si>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</si>
  <si>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</si>
  <si>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</si>
  <si>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</si>
  <si>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</si>
  <si>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</si>
  <si>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</si>
  <si>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</si>
  <si>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</si>
  <si>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</si>
  <si>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</si>
  <si>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</si>
  <si>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</si>
  <si>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</si>
  <si>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</si>
  <si>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</si>
  <si>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</si>
  <si>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</si>
  <si>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</si>
  <si>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</si>
  <si>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</si>
  <si>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</si>
  <si>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</si>
  <si>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</si>
  <si>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</si>
  <si>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</si>
  <si>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</si>
  <si>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</si>
  <si>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</si>
  <si>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</si>
  <si>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</si>
  <si>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</si>
  <si>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</si>
  <si>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</si>
  <si>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</si>
  <si>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</si>
  <si>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</si>
  <si>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</si>
  <si>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</si>
  <si>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</si>
  <si>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</si>
  <si>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</si>
  <si>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</si>
  <si>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</si>
  <si>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</si>
  <si>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</si>
  <si>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</si>
  <si>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</si>
  <si>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</si>
  <si>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</si>
  <si>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</si>
  <si>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</si>
  <si>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</si>
  <si>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</si>
  <si>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</si>
  <si>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</si>
  <si>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</si>
  <si>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</si>
  <si>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</si>
  <si>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</si>
  <si>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</si>
  <si>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</si>
  <si>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</si>
  <si>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</si>
  <si>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</si>
  <si>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</si>
  <si>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</si>
  <si>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</si>
  <si>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</si>
  <si>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</si>
  <si>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</si>
  <si>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</si>
  <si>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</si>
  <si>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</si>
  <si>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</si>
  <si>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</si>
  <si>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</si>
  <si>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</si>
  <si>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</si>
  <si>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</si>
  <si>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</si>
  <si>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</si>
  <si>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</si>
  <si>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</si>
  <si>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</si>
  <si>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</si>
  <si>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</si>
  <si>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</si>
  <si>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</si>
  <si>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</si>
  <si>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</si>
  <si>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</si>
  <si>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</si>
  <si>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</si>
  <si>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</si>
  <si>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</si>
  <si>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</si>
  <si>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</si>
  <si>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</si>
  <si>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</si>
  <si>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</si>
  <si>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</si>
  <si>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</si>
  <si>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</si>
  <si>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</si>
  <si>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</si>
  <si>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</si>
  <si>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</si>
  <si>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</si>
  <si>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</si>
  <si>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</si>
  <si>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</si>
  <si>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</si>
  <si>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</si>
  <si>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</si>
  <si>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</si>
  <si>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</si>
  <si>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</si>
  <si>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</si>
  <si>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</si>
  <si>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</si>
  <si>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</si>
  <si>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</si>
  <si>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</si>
  <si>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</si>
  <si>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</si>
  <si>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</si>
  <si>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</si>
  <si>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</si>
  <si>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</si>
  <si>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</si>
  <si>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</si>
  <si>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</si>
  <si>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</si>
  <si>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</si>
  <si>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</si>
  <si>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</si>
  <si>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</si>
  <si>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</si>
  <si>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</si>
  <si>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</si>
  <si>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</si>
  <si>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</si>
  <si>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</si>
  <si>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</si>
  <si>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</si>
  <si>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</si>
  <si>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</si>
  <si>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</si>
  <si>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</si>
  <si>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</si>
  <si>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</si>
  <si>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</si>
  <si>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</si>
  <si>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</si>
  <si>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</si>
  <si>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</si>
  <si>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</si>
  <si>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</si>
  <si>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</si>
  <si>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</si>
  <si>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</si>
  <si>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</si>
  <si>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</si>
  <si>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</si>
  <si>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</si>
  <si>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</si>
  <si>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</si>
  <si>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</si>
  <si>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</si>
  <si>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</si>
  <si>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</si>
  <si>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</si>
  <si>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</si>
  <si>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</si>
  <si>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</si>
  <si>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</si>
  <si>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</si>
  <si>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</si>
  <si>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</si>
  <si>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</si>
  <si>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</si>
  <si>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</si>
  <si>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</si>
  <si>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</si>
  <si>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</si>
  <si>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</si>
  <si>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</si>
  <si>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</si>
  <si>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</si>
  <si>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</si>
  <si>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</si>
  <si>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</si>
  <si>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</si>
  <si>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</si>
  <si>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</si>
  <si>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</si>
  <si>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</si>
  <si>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</si>
  <si>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</si>
  <si>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</si>
  <si>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</si>
  <si>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</si>
  <si>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</si>
  <si>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</si>
  <si>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</si>
  <si>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</si>
  <si>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</si>
  <si>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</si>
  <si>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</si>
  <si>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</si>
  <si>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</si>
  <si>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</si>
  <si>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</si>
  <si>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</si>
  <si>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</si>
  <si>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</si>
  <si>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</si>
  <si>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</si>
  <si>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</si>
  <si>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</si>
  <si>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</si>
  <si>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</si>
  <si>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</si>
  <si>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</si>
  <si>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</si>
  <si>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</si>
  <si>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</si>
  <si>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</si>
  <si>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</si>
  <si>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</si>
  <si>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</si>
  <si>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</si>
  <si>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</si>
  <si>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</si>
  <si>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</si>
  <si>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</si>
  <si>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</si>
  <si>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</si>
  <si>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</si>
  <si>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</si>
  <si>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</si>
  <si>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</si>
  <si>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</si>
  <si>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</si>
  <si>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</si>
  <si>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</si>
  <si>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</si>
  <si>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</si>
  <si>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</si>
  <si>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</si>
  <si>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</si>
  <si>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</si>
  <si>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</si>
  <si>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</si>
  <si>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</si>
  <si>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</si>
  <si>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</si>
  <si>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</si>
  <si>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</si>
  <si>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</si>
  <si>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</si>
  <si>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</si>
  <si>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</si>
  <si>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</si>
  <si>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</si>
  <si>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</si>
  <si>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</si>
  <si>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</si>
  <si>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</si>
  <si>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</si>
  <si>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</si>
  <si>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</si>
  <si>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</si>
  <si>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</si>
  <si>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</si>
  <si>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</si>
  <si>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</si>
  <si>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</si>
  <si>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</si>
  <si>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</si>
  <si>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</si>
  <si>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</si>
  <si>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</si>
  <si>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</si>
  <si>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</si>
  <si>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</si>
  <si>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</si>
  <si>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</si>
  <si>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</si>
  <si>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</si>
  <si>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</si>
  <si>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</si>
  <si>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</si>
  <si>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</si>
  <si>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</si>
  <si>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</si>
  <si>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</si>
  <si>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</si>
  <si>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</si>
  <si>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</si>
  <si>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</si>
  <si>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</si>
  <si>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</si>
  <si>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</si>
  <si>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</si>
  <si>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</si>
  <si>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</si>
  <si>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</si>
  <si>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</si>
  <si>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</si>
  <si>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</si>
  <si>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</si>
  <si>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</si>
  <si>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</si>
  <si>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</si>
  <si>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</si>
  <si>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</si>
  <si>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</si>
  <si>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</si>
  <si>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</si>
  <si>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</si>
  <si>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</si>
  <si>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</si>
  <si>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</si>
  <si>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</si>
  <si>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</si>
  <si>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</si>
  <si>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</si>
  <si>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</si>
  <si>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</si>
  <si>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</si>
  <si>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</si>
  <si>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</si>
  <si>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</si>
  <si>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</si>
  <si>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</si>
  <si>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</si>
  <si>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</si>
  <si>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</si>
  <si>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</si>
  <si>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</si>
  <si>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</si>
  <si>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</si>
  <si>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</si>
  <si>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</si>
  <si>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</si>
  <si>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</si>
  <si>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</si>
  <si>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</si>
  <si>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</si>
  <si>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</si>
  <si>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</si>
  <si>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</si>
  <si>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</si>
  <si>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</si>
  <si>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</si>
  <si>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</si>
  <si>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</si>
  <si>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</si>
  <si>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</si>
  <si>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</si>
  <si>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</si>
  <si>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</si>
  <si>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</si>
  <si>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</si>
  <si>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</si>
  <si>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</si>
  <si>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</si>
  <si>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</si>
  <si>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</si>
  <si>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</si>
  <si>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</si>
  <si>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</si>
  <si>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</si>
  <si>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</si>
  <si>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</si>
  <si>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</si>
  <si>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</si>
  <si>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</si>
  <si>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</si>
  <si>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</si>
  <si>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</si>
  <si>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</si>
  <si>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</si>
  <si>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</si>
  <si>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</si>
  <si>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</si>
  <si>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</si>
  <si>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</si>
  <si>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</si>
  <si>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</si>
  <si>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</si>
  <si>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</si>
  <si>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</si>
  <si>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</si>
  <si>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</si>
  <si>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</si>
  <si>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</si>
  <si>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</si>
  <si>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</si>
  <si>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</si>
  <si>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</si>
  <si>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</si>
  <si>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</si>
  <si>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</si>
  <si>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</si>
  <si>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</si>
  <si>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</si>
  <si>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</si>
  <si>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</si>
  <si>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</si>
  <si>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</si>
  <si>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</si>
  <si>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</si>
  <si>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</si>
  <si>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</si>
  <si>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</si>
  <si>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</si>
  <si>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</si>
  <si>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</si>
  <si>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</si>
  <si>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</si>
  <si>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</si>
  <si>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</si>
  <si>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</si>
  <si>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</si>
  <si>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</si>
  <si>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</si>
  <si>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</si>
  <si>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</si>
  <si>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</si>
  <si>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</si>
  <si>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</si>
  <si>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</si>
  <si>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</si>
  <si>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</si>
  <si>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</si>
  <si>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</si>
  <si>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</si>
  <si>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</si>
  <si>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</si>
  <si>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</si>
  <si>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</si>
  <si>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</si>
  <si>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</si>
  <si>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</si>
  <si>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</si>
  <si>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</si>
  <si>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</si>
  <si>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</si>
  <si>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</si>
  <si>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</si>
  <si>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</si>
  <si>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</si>
  <si>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</si>
  <si>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</si>
  <si>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</si>
  <si>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</si>
  <si>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</si>
  <si>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</si>
  <si>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</si>
  <si>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</si>
  <si>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</si>
  <si>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</si>
  <si>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</si>
  <si>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</si>
  <si>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</si>
  <si>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</si>
  <si>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</si>
  <si>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</si>
  <si>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</si>
  <si>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</si>
  <si>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</si>
  <si>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</si>
  <si>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</si>
  <si>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</si>
  <si>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</si>
  <si>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</si>
  <si>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</si>
  <si>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</si>
  <si>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</si>
  <si>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</si>
  <si>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</si>
  <si>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</si>
  <si>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</si>
  <si>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</si>
  <si>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</si>
  <si>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</si>
  <si>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</si>
  <si>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</si>
  <si>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</si>
  <si>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</si>
  <si>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</si>
  <si>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</si>
  <si>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</si>
  <si>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</si>
  <si>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</si>
  <si>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</si>
  <si>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</si>
  <si>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</si>
  <si>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</si>
  <si>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</si>
  <si>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</si>
  <si>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</si>
  <si>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</si>
  <si>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</si>
  <si>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</si>
  <si>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</si>
  <si>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</si>
  <si>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</si>
  <si>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</si>
  <si>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</si>
  <si>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</si>
  <si>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</si>
  <si>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</si>
  <si>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</si>
  <si>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</si>
  <si>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</si>
  <si>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</si>
  <si>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</si>
  <si>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</si>
  <si>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</si>
  <si>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</si>
  <si>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</si>
  <si>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</si>
  <si>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</si>
  <si>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</si>
  <si>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</si>
  <si>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</si>
  <si>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</si>
  <si>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</si>
  <si>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</si>
  <si>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</si>
  <si>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</si>
  <si>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</si>
  <si>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</si>
  <si>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</si>
  <si>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</si>
  <si>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</si>
  <si>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</si>
  <si>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</si>
  <si>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</si>
  <si>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</si>
  <si>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</si>
  <si>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</si>
  <si>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</si>
  <si>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</si>
  <si>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</si>
  <si>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</si>
  <si>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</si>
  <si>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</si>
  <si>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</si>
  <si>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</si>
  <si>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</si>
  <si>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</si>
  <si>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</si>
  <si>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</si>
  <si>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</si>
  <si>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</si>
  <si>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</si>
  <si>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</si>
  <si>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</si>
  <si>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</si>
  <si>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</si>
  <si>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</si>
  <si>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</si>
  <si>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</si>
  <si>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</si>
  <si>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</si>
  <si>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</si>
  <si>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</si>
  <si>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</si>
  <si>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</si>
  <si>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</si>
  <si>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</si>
  <si>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</si>
  <si>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</si>
  <si>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</si>
  <si>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</si>
  <si>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</si>
  <si>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</si>
  <si>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</si>
  <si>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</si>
  <si>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</si>
  <si>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</si>
  <si>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</si>
  <si>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</si>
  <si>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</si>
  <si>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</si>
  <si>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</si>
  <si>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</si>
  <si>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</si>
  <si>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</si>
  <si>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</si>
  <si>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</si>
  <si>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</si>
  <si>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</si>
  <si>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</si>
  <si>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</si>
  <si>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</si>
  <si>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</si>
  <si>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</si>
  <si>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</si>
  <si>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</si>
  <si>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</si>
  <si>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</si>
  <si>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</si>
  <si>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</si>
  <si>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</si>
  <si>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</si>
  <si>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</si>
  <si>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</si>
  <si>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</si>
  <si>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</si>
  <si>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</si>
  <si>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</si>
  <si>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</si>
  <si>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</si>
  <si>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</si>
  <si>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</si>
  <si>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</si>
  <si>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</si>
  <si>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</si>
  <si>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</si>
  <si>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</si>
  <si>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</si>
  <si>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</si>
  <si>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</si>
  <si>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</si>
  <si>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</si>
  <si>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</si>
  <si>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</si>
  <si>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</si>
  <si>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</si>
  <si>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</si>
  <si>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</si>
  <si>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</si>
  <si>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</si>
  <si>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</si>
  <si>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</si>
  <si>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</si>
  <si>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</si>
  <si>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</si>
  <si>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</si>
  <si>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</si>
  <si>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</si>
  <si>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</si>
  <si>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</si>
  <si>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</si>
  <si>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</si>
  <si>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</si>
  <si>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</si>
  <si>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</si>
  <si>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</si>
  <si>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</si>
  <si>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</si>
  <si>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</si>
  <si>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</si>
  <si>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</si>
  <si>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</si>
  <si>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</si>
  <si>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</si>
  <si>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</si>
  <si>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</si>
  <si>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</si>
  <si>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</si>
  <si>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</si>
  <si>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</si>
  <si>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</si>
  <si>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</si>
  <si>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</si>
  <si>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</si>
  <si>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</si>
  <si>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</si>
  <si>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</si>
  <si>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</si>
  <si>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</si>
  <si>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</si>
  <si>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</si>
  <si>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</si>
  <si>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</si>
  <si>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</si>
  <si>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</si>
  <si>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</si>
  <si>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</si>
  <si>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</si>
  <si>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</si>
  <si>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</si>
  <si>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</si>
  <si>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</si>
  <si>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</si>
  <si>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</si>
  <si>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</si>
  <si>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</si>
  <si>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</si>
  <si>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</si>
  <si>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</si>
  <si>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</si>
  <si>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</si>
  <si>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</si>
  <si>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</si>
  <si>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</si>
  <si>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</si>
  <si>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</si>
  <si>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</si>
  <si>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</si>
  <si>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</si>
  <si>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</si>
  <si>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</si>
  <si>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</si>
  <si>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</si>
  <si>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</si>
  <si>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</si>
  <si>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</si>
  <si>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</si>
  <si>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</si>
  <si>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</si>
  <si>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</si>
  <si>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</si>
  <si>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</si>
  <si>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</si>
  <si>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</si>
  <si>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</si>
  <si>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</si>
  <si>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</si>
  <si>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</si>
  <si>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</si>
  <si>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</si>
  <si>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</si>
  <si>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</si>
  <si>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</si>
  <si>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</si>
  <si>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</si>
  <si>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</si>
  <si>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</si>
  <si>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</si>
  <si>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</si>
  <si>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</si>
  <si>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</si>
  <si>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</si>
  <si>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</si>
  <si>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</si>
  <si>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</si>
  <si>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</si>
  <si>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</si>
  <si>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</si>
  <si>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</si>
  <si>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</si>
  <si>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</si>
  <si>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</si>
  <si>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</si>
  <si>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</si>
  <si>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</si>
  <si>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</si>
  <si>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</si>
  <si>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</si>
  <si>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</si>
  <si>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</si>
  <si>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</si>
  <si>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</si>
  <si>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</si>
  <si>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</si>
  <si>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</si>
  <si>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</si>
  <si>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</si>
  <si>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</si>
  <si>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</si>
  <si>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</si>
  <si>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</si>
  <si>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</si>
  <si>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</si>
  <si>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</si>
  <si>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</si>
  <si>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</si>
  <si>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</si>
  <si>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</si>
  <si>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</si>
  <si>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</si>
  <si>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</si>
  <si>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</si>
  <si>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</si>
  <si>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</si>
  <si>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</si>
  <si>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</si>
  <si>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</si>
  <si>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</si>
  <si>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</si>
  <si>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</si>
  <si>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</si>
  <si>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</si>
  <si>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</si>
  <si>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</si>
  <si>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</si>
  <si>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</si>
  <si>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</si>
  <si>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</si>
  <si>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</si>
  <si>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</si>
  <si>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</si>
  <si>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</si>
  <si>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</si>
  <si>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</si>
  <si>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</si>
  <si>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</si>
  <si>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</si>
  <si>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</si>
  <si>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</si>
  <si>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</si>
  <si>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</si>
  <si>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</si>
  <si>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</si>
  <si>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</si>
  <si>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</si>
  <si>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</si>
  <si>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</si>
  <si>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</si>
  <si>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</si>
  <si>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</si>
  <si>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</si>
  <si>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</si>
  <si>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</si>
  <si>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</si>
  <si>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</si>
  <si>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</si>
  <si>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</si>
  <si>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</si>
  <si>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</si>
  <si>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</si>
  <si>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</si>
  <si>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</si>
  <si>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</si>
  <si>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</si>
  <si>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</si>
  <si>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</si>
  <si>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</si>
  <si>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</si>
  <si>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</si>
  <si>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</si>
  <si>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</si>
  <si>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</si>
  <si>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</si>
  <si>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</si>
  <si>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</si>
  <si>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</si>
  <si>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</si>
  <si>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</si>
  <si>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</si>
  <si>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</si>
  <si>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</si>
  <si>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</si>
  <si>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</si>
  <si>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</si>
  <si>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</si>
  <si>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</si>
  <si>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</si>
  <si>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</si>
  <si>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</si>
  <si>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</si>
  <si>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</si>
  <si>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</si>
  <si>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</si>
  <si>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</si>
  <si>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</si>
  <si>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</si>
  <si>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</si>
  <si>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</si>
  <si>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</si>
  <si>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</si>
  <si>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</si>
  <si>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</si>
  <si>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</si>
  <si>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</si>
  <si>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</si>
  <si>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</si>
  <si>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</si>
  <si>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</si>
  <si>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</si>
  <si>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</si>
  <si>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</si>
  <si>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</si>
  <si>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</si>
  <si>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</si>
  <si>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</si>
  <si>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</si>
  <si>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</si>
  <si>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</si>
  <si>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</si>
  <si>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</si>
  <si>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</si>
  <si>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</si>
  <si>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</si>
  <si>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</si>
  <si>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</si>
  <si>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</si>
  <si>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</si>
  <si>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</si>
  <si>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</si>
  <si>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</si>
  <si>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</si>
  <si>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</si>
  <si>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</si>
  <si>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</si>
  <si>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</si>
  <si>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</si>
  <si>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</si>
  <si>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</si>
  <si>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</si>
  <si>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</si>
  <si>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</si>
  <si>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</si>
  <si>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</si>
  <si>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</si>
  <si>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</si>
  <si>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</si>
  <si>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</si>
  <si>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</si>
  <si>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</si>
  <si>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</si>
  <si>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</si>
  <si>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</si>
  <si>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</si>
  <si>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</si>
  <si>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</si>
  <si>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</si>
  <si>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</si>
  <si>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</si>
  <si>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</si>
  <si>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</si>
  <si>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</si>
  <si>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</si>
  <si>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</si>
  <si>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</si>
  <si>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</si>
  <si>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</si>
  <si>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</si>
  <si>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</si>
  <si>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</si>
  <si>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</si>
  <si>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</si>
  <si>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</si>
  <si>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</si>
  <si>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</si>
  <si>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</si>
  <si>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</si>
  <si>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</si>
  <si>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</si>
  <si>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</si>
  <si>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</si>
  <si>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</si>
  <si>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</si>
  <si>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</si>
  <si>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</si>
  <si>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</si>
  <si>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</si>
  <si>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</si>
  <si>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</si>
  <si>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</si>
  <si>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</si>
  <si>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</si>
  <si>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</si>
  <si>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</si>
  <si>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</si>
  <si>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</si>
  <si>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</si>
  <si>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</si>
  <si>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</si>
  <si>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</si>
  <si>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</si>
  <si>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</si>
  <si>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</si>
  <si>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</si>
  <si>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</si>
  <si>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</si>
  <si>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</si>
  <si>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</si>
  <si>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</si>
  <si>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</si>
  <si>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</si>
  <si>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</si>
  <si>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</si>
  <si>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</si>
  <si>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</si>
  <si>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</si>
  <si>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</si>
  <si>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</si>
  <si>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</si>
  <si>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</si>
  <si>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</si>
  <si>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</si>
  <si>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</si>
  <si>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</si>
  <si>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</si>
  <si>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</si>
  <si>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</si>
  <si>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</si>
  <si>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</si>
  <si>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</si>
  <si>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</si>
  <si>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</si>
  <si>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</si>
  <si>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</si>
  <si>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</si>
  <si>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</si>
  <si>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</si>
  <si>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</si>
  <si>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</si>
  <si>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</si>
  <si>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</si>
  <si>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</si>
  <si>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</si>
  <si>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</si>
  <si>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</si>
  <si>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</si>
  <si>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</si>
  <si>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</si>
  <si>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</si>
  <si>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</si>
  <si>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</si>
  <si>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</si>
  <si>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</si>
  <si>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</si>
  <si>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</si>
  <si>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</si>
  <si>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</si>
  <si>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</si>
  <si>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</si>
  <si>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</si>
  <si>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</si>
  <si>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</si>
  <si>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</si>
  <si>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</si>
  <si>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</si>
  <si>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</si>
  <si>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</si>
  <si>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</si>
  <si>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</si>
  <si>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</si>
  <si>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</si>
  <si>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</si>
  <si>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</si>
  <si>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</si>
  <si>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</si>
  <si>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</si>
  <si>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</si>
  <si>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</si>
  <si>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</si>
  <si>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</si>
  <si>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</si>
  <si>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</si>
  <si>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</si>
  <si>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</si>
  <si>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</si>
  <si>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</si>
  <si>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</si>
  <si>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</si>
  <si>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</si>
  <si>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</si>
  <si>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</si>
  <si>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</si>
  <si>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</si>
  <si>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</si>
  <si>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</si>
  <si>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</si>
  <si>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</si>
  <si>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</si>
  <si>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</si>
  <si>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</si>
  <si>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</si>
  <si>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</si>
  <si>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</si>
  <si>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</si>
  <si>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</si>
  <si>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</si>
  <si>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</si>
  <si>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</si>
  <si>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</si>
  <si>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</si>
  <si>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</si>
  <si>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</si>
  <si>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</si>
  <si>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</si>
  <si>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</si>
  <si>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</si>
  <si>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</si>
  <si>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</si>
  <si>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</si>
  <si>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</si>
  <si>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</si>
  <si>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</si>
  <si>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</si>
  <si>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</si>
  <si>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</si>
  <si>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</si>
  <si>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</si>
  <si>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</si>
  <si>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</si>
  <si>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</si>
  <si>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</si>
  <si>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</si>
  <si>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</si>
  <si>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</si>
  <si>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</si>
  <si>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</si>
  <si>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</si>
  <si>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</si>
  <si>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</si>
  <si>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</si>
  <si>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</si>
  <si>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</si>
  <si>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</si>
  <si>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</si>
  <si>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</si>
  <si>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</si>
  <si>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</si>
  <si>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</si>
  <si>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</si>
  <si>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</si>
  <si>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</si>
  <si>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</si>
  <si>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</si>
  <si>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</si>
  <si>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</si>
  <si>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</si>
  <si>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</si>
  <si>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</si>
  <si>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</si>
  <si>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</si>
  <si>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</si>
  <si>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</si>
  <si>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</si>
  <si>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</si>
  <si>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</si>
  <si>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</si>
  <si>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</si>
  <si>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</si>
  <si>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</si>
  <si>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</si>
  <si>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</si>
  <si>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</si>
  <si>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</si>
  <si>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</si>
  <si>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</si>
  <si>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</si>
  <si>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</si>
  <si>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</si>
  <si>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</si>
  <si>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</si>
  <si>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</si>
  <si>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</si>
  <si>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</si>
  <si>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</si>
  <si>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</si>
  <si>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</si>
  <si>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</si>
  <si>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</si>
  <si>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</si>
  <si>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</si>
  <si>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</si>
  <si>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</si>
  <si>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</si>
  <si>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</si>
  <si>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</si>
  <si>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</si>
  <si>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</si>
  <si>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</si>
  <si>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</si>
  <si>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</si>
  <si>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</si>
  <si>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</si>
  <si>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</si>
  <si>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</si>
  <si>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</si>
  <si>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</si>
  <si>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</si>
  <si>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</si>
  <si>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</si>
  <si>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</si>
  <si>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</si>
  <si>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</si>
  <si>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</si>
  <si>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</si>
  <si>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</si>
  <si>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</si>
  <si>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</si>
  <si>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</si>
  <si>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</si>
  <si>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</si>
  <si>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</si>
  <si>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</si>
  <si>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</si>
  <si>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</si>
  <si>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</si>
  <si>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</si>
  <si>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</si>
  <si>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</si>
  <si>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</si>
  <si>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</si>
  <si>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</si>
  <si>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</si>
  <si>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</si>
  <si>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</si>
  <si>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</si>
  <si>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</si>
  <si>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</si>
  <si>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</si>
  <si>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</si>
  <si>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</si>
  <si>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</si>
  <si>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</si>
  <si>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</si>
  <si>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</si>
  <si>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</si>
  <si>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</si>
  <si>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</si>
  <si>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</si>
  <si>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</si>
  <si>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</si>
  <si>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</si>
  <si>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</si>
  <si>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</si>
  <si>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</si>
  <si>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</si>
  <si>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</si>
  <si>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</si>
  <si>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</si>
  <si>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</si>
  <si>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</si>
  <si>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</si>
  <si>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</si>
  <si>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</si>
  <si>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</si>
  <si>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</si>
  <si>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</si>
  <si>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</si>
  <si>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</si>
  <si>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</si>
  <si>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</si>
  <si>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</si>
  <si>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</si>
  <si>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</si>
  <si>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</si>
  <si>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</si>
  <si>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</si>
  <si>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</si>
  <si>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</si>
  <si>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</si>
  <si>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</si>
  <si>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</si>
  <si>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</si>
  <si>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</si>
  <si>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</si>
  <si>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</si>
  <si>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</si>
  <si>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</si>
  <si>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</si>
  <si>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</si>
  <si>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</si>
  <si>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</si>
  <si>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</si>
  <si>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</si>
  <si>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</si>
  <si>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</si>
  <si>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</si>
  <si>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</si>
  <si>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</si>
  <si>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</si>
  <si>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</si>
  <si>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</si>
  <si>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</si>
  <si>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</si>
  <si>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</si>
  <si>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</si>
  <si>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</si>
  <si>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</si>
  <si>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</si>
  <si>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</si>
  <si>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</si>
  <si>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</si>
  <si>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</si>
  <si>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</si>
  <si>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</si>
  <si>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</si>
  <si>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</si>
  <si>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</si>
  <si>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</si>
  <si>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</si>
  <si>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</si>
  <si>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</si>
  <si>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</si>
  <si>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</si>
  <si>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</si>
  <si>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</si>
  <si>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</si>
  <si>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</si>
  <si>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</si>
  <si>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</si>
  <si>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</si>
  <si>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</si>
  <si>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</si>
  <si>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</si>
  <si>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</si>
  <si>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</si>
  <si>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</si>
  <si>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</si>
  <si>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</si>
  <si>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</si>
  <si>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</si>
  <si>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</si>
  <si>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</si>
  <si>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</si>
  <si>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</si>
  <si>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</si>
  <si>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</si>
  <si>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</si>
  <si>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</si>
  <si>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</si>
  <si>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</si>
  <si>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</si>
  <si>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</si>
  <si>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</si>
  <si>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</si>
  <si>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</si>
  <si>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</si>
  <si>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</si>
  <si>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</si>
  <si>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</si>
  <si>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</si>
  <si>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</si>
  <si>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</si>
  <si>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</si>
  <si>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</si>
  <si>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</si>
  <si>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</si>
  <si>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</si>
  <si>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</si>
  <si>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</si>
  <si>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</si>
  <si>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</si>
  <si>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</si>
  <si>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</si>
  <si>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</si>
  <si>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</si>
  <si>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</si>
  <si>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</si>
  <si>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</si>
  <si>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</si>
  <si>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</si>
  <si>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</si>
  <si>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</si>
  <si>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</si>
  <si>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</si>
  <si>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</si>
  <si>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</si>
  <si>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</si>
  <si>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</si>
  <si>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</si>
  <si>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</si>
  <si>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</si>
  <si>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</si>
  <si>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</si>
  <si>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</si>
  <si>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</si>
  <si>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</si>
  <si>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</si>
  <si>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</si>
  <si>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</si>
  <si>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</si>
  <si>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</si>
  <si>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</si>
  <si>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</si>
  <si>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</si>
  <si>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</si>
  <si>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</si>
  <si>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</si>
  <si>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</si>
  <si>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</si>
  <si>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</si>
  <si>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</si>
  <si>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</si>
  <si>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</si>
  <si>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</si>
  <si>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</si>
  <si>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</si>
  <si>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</si>
  <si>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</si>
  <si>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</si>
  <si>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</si>
  <si>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</si>
  <si>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</si>
  <si>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</si>
  <si>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</si>
  <si>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</si>
  <si>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</si>
  <si>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</si>
  <si>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</si>
  <si>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</si>
  <si>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</si>
  <si>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</si>
  <si>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</si>
  <si>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</si>
  <si>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</si>
  <si>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</si>
  <si>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</si>
  <si>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</si>
  <si>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</si>
  <si>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</si>
  <si>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</si>
  <si>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</si>
  <si>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</si>
  <si>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</si>
  <si>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</si>
  <si>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</si>
  <si>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</si>
  <si>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</si>
  <si>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</si>
  <si>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</si>
  <si>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</si>
  <si>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</si>
  <si>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</si>
  <si>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</si>
  <si>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</si>
  <si>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</si>
  <si>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</si>
  <si>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</si>
  <si>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</si>
  <si>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</si>
  <si>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</si>
  <si>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</si>
  <si>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</si>
  <si>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</si>
  <si>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</si>
  <si>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</si>
  <si>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</si>
  <si>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</si>
  <si>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</si>
  <si>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</si>
  <si>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</si>
  <si>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</si>
  <si>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</si>
  <si>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</si>
  <si>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</si>
  <si>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</si>
  <si>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</si>
  <si>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</si>
  <si>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</si>
  <si>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</si>
  <si>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</si>
  <si>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</si>
  <si>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</si>
  <si>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</si>
  <si>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</si>
  <si>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</si>
  <si>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</si>
  <si>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</si>
  <si>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</si>
  <si>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</si>
  <si>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</si>
  <si>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</si>
  <si>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</si>
  <si>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</si>
  <si>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</si>
  <si>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</si>
  <si>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</si>
  <si>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</si>
  <si>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</si>
  <si>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</si>
  <si>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</si>
  <si>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</si>
  <si>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</si>
  <si>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</si>
  <si>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</si>
  <si>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</si>
  <si>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</si>
  <si>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</si>
  <si>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</si>
  <si>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</si>
  <si>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</si>
  <si>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</si>
  <si>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</si>
  <si>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</si>
  <si>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</si>
  <si>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</si>
  <si>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</si>
  <si>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</si>
  <si>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</si>
  <si>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</si>
  <si>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</si>
  <si>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</si>
  <si>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</si>
  <si>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</si>
  <si>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</si>
  <si>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</si>
  <si>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</si>
  <si>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</si>
  <si>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</si>
  <si>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</si>
  <si>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</si>
  <si>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</si>
  <si>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</si>
  <si>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</si>
  <si>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</si>
  <si>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</si>
  <si>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</si>
  <si>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</si>
  <si>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</si>
  <si>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</si>
  <si>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</si>
  <si>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</si>
  <si>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</si>
  <si>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</si>
  <si>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</si>
  <si>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</si>
  <si>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</si>
  <si>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</si>
  <si>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</si>
  <si>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</si>
  <si>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</si>
  <si>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</si>
  <si>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</si>
  <si>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</si>
  <si>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</si>
  <si>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</si>
  <si>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</si>
  <si>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</si>
  <si>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</si>
  <si>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</si>
  <si>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</si>
  <si>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</si>
  <si>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</si>
  <si>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</si>
  <si>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</si>
  <si>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</si>
  <si>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</si>
  <si>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</si>
  <si>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</si>
  <si>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</si>
  <si>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</si>
  <si>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</si>
  <si>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</si>
  <si>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</si>
  <si>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</si>
  <si>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</si>
  <si>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</si>
  <si>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</si>
  <si>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</si>
  <si>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</si>
  <si>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</si>
  <si>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</si>
  <si>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</si>
  <si>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</si>
  <si>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</si>
  <si>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</si>
  <si>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</si>
  <si>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</si>
  <si>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</si>
  <si>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</si>
  <si>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</si>
  <si>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</si>
  <si>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</si>
  <si>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</si>
  <si>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</si>
  <si>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</si>
  <si>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</si>
  <si>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</si>
  <si>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</si>
  <si>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</si>
  <si>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</si>
  <si>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</si>
  <si>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</si>
  <si>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</si>
  <si>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</si>
  <si>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</si>
  <si>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</si>
  <si>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</si>
  <si>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</si>
  <si>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</si>
  <si>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</si>
  <si>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</si>
  <si>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</si>
  <si>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</si>
  <si>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</si>
  <si>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</si>
  <si>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</si>
  <si>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</si>
  <si>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</si>
  <si>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</si>
  <si>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</si>
  <si>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</si>
  <si>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</si>
  <si>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</si>
  <si>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</si>
  <si>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</si>
  <si>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</si>
  <si>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</si>
  <si>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</si>
  <si>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</si>
  <si>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</si>
  <si>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</si>
  <si>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</si>
  <si>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</si>
  <si>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</si>
  <si>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</si>
  <si>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</si>
  <si>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</si>
  <si>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</si>
  <si>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</si>
  <si>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</si>
  <si>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</si>
  <si>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</si>
  <si>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</si>
  <si>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</si>
  <si>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</si>
  <si>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</si>
  <si>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</si>
  <si>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</si>
  <si>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</si>
  <si>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</si>
  <si>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</si>
  <si>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</si>
  <si>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</si>
  <si>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</si>
  <si>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</si>
  <si>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</si>
  <si>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</si>
  <si>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</si>
  <si>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</si>
  <si>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</si>
  <si>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</si>
  <si>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</si>
  <si>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</si>
  <si>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</si>
  <si>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</si>
  <si>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</si>
  <si>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</si>
  <si>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</si>
  <si>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</si>
  <si>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</si>
  <si>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</si>
  <si>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</si>
  <si>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</si>
  <si>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</si>
  <si>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</si>
  <si>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</si>
  <si>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</si>
  <si>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</si>
  <si>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</si>
  <si>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</si>
  <si>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</si>
  <si>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</si>
  <si>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</si>
  <si>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</si>
  <si>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</si>
  <si>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</si>
  <si>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</si>
  <si>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</si>
  <si>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</si>
  <si>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</si>
  <si>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</si>
  <si>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</si>
  <si>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</si>
  <si>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</si>
  <si>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</si>
  <si>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</si>
  <si>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</si>
  <si>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</si>
  <si>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</si>
  <si>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</si>
  <si>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</si>
  <si>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</si>
  <si>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</si>
  <si>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</si>
  <si>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</si>
  <si>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</si>
  <si>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</si>
  <si>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</si>
  <si>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</si>
  <si>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</si>
  <si>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</si>
  <si>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</si>
  <si>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</si>
  <si>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</si>
  <si>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</si>
  <si>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</si>
  <si>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</si>
  <si>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</si>
  <si>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</si>
  <si>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</si>
  <si>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</si>
  <si>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</si>
  <si>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</si>
  <si>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</si>
  <si>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</si>
  <si>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</si>
  <si>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</si>
  <si>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</si>
  <si>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</si>
  <si>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</si>
  <si>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</si>
  <si>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</si>
  <si>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</si>
  <si>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</si>
  <si>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</si>
  <si>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</si>
  <si>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</si>
  <si>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</si>
  <si>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</si>
  <si>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</si>
  <si>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</si>
  <si>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</si>
  <si>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</si>
  <si>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</si>
  <si>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</si>
  <si>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</si>
  <si>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</si>
  <si>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</si>
  <si>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</si>
  <si>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</si>
  <si>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</si>
  <si>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</si>
  <si>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</si>
  <si>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</si>
  <si>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</si>
  <si>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</si>
  <si>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</si>
  <si>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</si>
  <si>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</si>
  <si>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</si>
  <si>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</si>
  <si>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</si>
  <si>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</si>
  <si>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</si>
  <si>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</si>
  <si>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</si>
  <si>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</si>
  <si>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</si>
  <si>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</si>
  <si>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</si>
  <si>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</si>
  <si>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</si>
  <si>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</si>
  <si>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</si>
  <si>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</si>
  <si>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</si>
  <si>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</si>
  <si>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</si>
  <si>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</si>
  <si>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</si>
  <si>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</si>
  <si>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</si>
  <si>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</si>
  <si>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</si>
  <si>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</si>
  <si>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</si>
  <si>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</si>
  <si>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</si>
  <si>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</si>
  <si>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</si>
  <si>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</si>
  <si>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</si>
  <si>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</si>
  <si>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</si>
  <si>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</si>
  <si>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</si>
  <si>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</si>
  <si>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</si>
  <si>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</si>
  <si>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</si>
  <si>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</si>
  <si>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</si>
  <si>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</si>
  <si>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</si>
  <si>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</si>
  <si>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</si>
  <si>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</si>
  <si>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</si>
  <si>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</si>
  <si>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</si>
  <si>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</si>
  <si>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</si>
  <si>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</si>
  <si>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</si>
  <si>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</si>
  <si>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</si>
  <si>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</si>
  <si>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</si>
  <si>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</si>
  <si>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</si>
  <si>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</si>
  <si>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</si>
  <si>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</si>
  <si>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</si>
  <si>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</si>
  <si>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</si>
  <si>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</si>
  <si>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</si>
  <si>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</si>
  <si>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</si>
  <si>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</si>
  <si>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</si>
  <si>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</si>
  <si>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</si>
  <si>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</si>
  <si>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</si>
  <si>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</si>
  <si>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</si>
  <si>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</si>
  <si>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</si>
  <si>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</si>
  <si>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</si>
  <si>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</si>
  <si>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</si>
  <si>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</si>
  <si>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</si>
  <si>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</si>
  <si>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</si>
  <si>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</si>
  <si>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</si>
  <si>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</si>
  <si>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</si>
  <si>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</si>
  <si>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</si>
  <si>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</si>
  <si>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</si>
  <si>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</si>
  <si>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</si>
  <si>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</si>
  <si>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</si>
  <si>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</si>
  <si>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</si>
  <si>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</si>
  <si>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</si>
  <si>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</si>
  <si>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</si>
  <si>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</si>
  <si>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</si>
  <si>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</si>
  <si>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</si>
  <si>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</si>
  <si>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</si>
  <si>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</si>
  <si>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</si>
  <si>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</si>
  <si>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</si>
  <si>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</si>
  <si>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</si>
  <si>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</si>
  <si>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</si>
  <si>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</si>
  <si>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</si>
  <si>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</si>
  <si>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</si>
  <si>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</si>
  <si>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</si>
  <si>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</si>
  <si>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</si>
  <si>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</si>
  <si>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</si>
  <si>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</si>
  <si>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</si>
  <si>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</si>
  <si>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</si>
  <si>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</si>
  <si>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</si>
  <si>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</si>
  <si>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</si>
  <si>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</si>
  <si>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</si>
  <si>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</si>
  <si>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</si>
  <si>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</si>
  <si>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</si>
  <si>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</si>
  <si>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</si>
  <si>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</si>
  <si>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</si>
  <si>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</si>
  <si>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</si>
  <si>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</si>
  <si>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</si>
  <si>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</si>
  <si>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</si>
  <si>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</si>
  <si>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</si>
  <si>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</si>
  <si>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</si>
  <si>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</si>
  <si>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</si>
  <si>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</si>
  <si>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</si>
  <si>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</si>
  <si>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</si>
  <si>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</si>
  <si>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</si>
  <si>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</si>
  <si>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</si>
  <si>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</si>
  <si>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</si>
  <si>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</si>
  <si>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</si>
  <si>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</si>
  <si>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</si>
  <si>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</si>
  <si>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</si>
  <si>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</si>
  <si>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</si>
  <si>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</si>
  <si>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</si>
  <si>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</si>
  <si>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</si>
  <si>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</si>
  <si>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</si>
  <si>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</si>
  <si>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</si>
  <si>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</si>
  <si>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</si>
  <si>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</si>
  <si>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</si>
  <si>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</si>
  <si>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</si>
  <si>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</si>
  <si>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</si>
  <si>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</si>
  <si>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</si>
  <si>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</si>
  <si>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</si>
  <si>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</si>
  <si>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</si>
  <si>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</si>
  <si>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</si>
  <si>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</si>
  <si>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</si>
  <si>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</si>
  <si>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</si>
  <si>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</si>
  <si>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</si>
  <si>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</si>
  <si>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</si>
  <si>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</si>
  <si>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</si>
  <si>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</si>
  <si>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</si>
  <si>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</si>
  <si>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</si>
  <si>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</si>
  <si>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</si>
  <si>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</si>
  <si>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</si>
  <si>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</si>
  <si>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</si>
  <si>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</si>
  <si>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</si>
  <si>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</si>
  <si>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</si>
  <si>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</si>
  <si>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</si>
  <si>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</si>
  <si>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</si>
  <si>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</si>
  <si>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</si>
  <si>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</si>
  <si>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</si>
  <si>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</si>
  <si>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</si>
  <si>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</si>
  <si>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</si>
  <si>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</si>
  <si>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</si>
  <si>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</si>
  <si>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</si>
  <si>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</si>
  <si>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</si>
  <si>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</si>
  <si>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</si>
  <si>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</si>
  <si>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</si>
  <si>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</si>
  <si>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</si>
  <si>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</si>
  <si>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</si>
  <si>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</si>
  <si>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</si>
  <si>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</si>
  <si>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</si>
  <si>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</si>
  <si>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</si>
  <si>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</si>
  <si>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</si>
  <si>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</si>
  <si>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</si>
  <si>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</si>
  <si>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</si>
  <si>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</si>
  <si>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</si>
  <si>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抵押</t>
  </si>
  <si>
    <t>抵押价格</t>
  </si>
  <si>
    <t>其他：</t>
  </si>
  <si>
    <t>企业</t>
  </si>
  <si>
    <t>建湖县城市建设投资有限公司</t>
  </si>
  <si>
    <t>建湖县城市建设投资有限公司</t>
    <phoneticPr fontId="6" type="noConversion"/>
  </si>
  <si>
    <t>建湖县双湖路北、秀夫路两侧地块二320925100203GB00021W00000000号一宗其他商服用用地</t>
    <phoneticPr fontId="6" type="noConversion"/>
  </si>
  <si>
    <t>江苏省盐城市</t>
    <phoneticPr fontId="6" type="noConversion"/>
  </si>
  <si>
    <t>中信信托有限责任公司</t>
    <phoneticPr fontId="6" type="noConversion"/>
  </si>
  <si>
    <t>其他商服用地</t>
  </si>
  <si>
    <t>其他商服用地</t>
    <phoneticPr fontId="6" type="noConversion"/>
  </si>
  <si>
    <t>符合</t>
  </si>
  <si>
    <t>一致</t>
  </si>
  <si>
    <t>出让</t>
  </si>
  <si>
    <t>商业</t>
  </si>
  <si>
    <t>《不动产权证书》[苏（2018）建湖县不动产权第0004219号]</t>
    <phoneticPr fontId="6" type="noConversion"/>
  </si>
  <si>
    <t>《国有建设用地使用权出让合同》[电子监管号：3209252012B01066]及附件</t>
    <phoneticPr fontId="6" type="noConversion"/>
  </si>
  <si>
    <t>其他商服33.92年</t>
    <phoneticPr fontId="6" type="noConversion"/>
  </si>
  <si>
    <t>通路</t>
  </si>
  <si>
    <t>通电</t>
  </si>
  <si>
    <t>通讯</t>
  </si>
  <si>
    <t>通上水</t>
  </si>
  <si>
    <t>通下水</t>
  </si>
  <si>
    <t>地上</t>
  </si>
  <si>
    <t>否</t>
  </si>
  <si>
    <t>请录依据文件名称：http://cxjsj.yancheng.gov.cn/xwzx/tzgg/201407/t20140707_405737.html</t>
    <phoneticPr fontId="3" type="noConversion"/>
  </si>
  <si>
    <t>不动产收益法</t>
  </si>
  <si>
    <t>钢混</t>
  </si>
  <si>
    <t>按租金收入计税</t>
  </si>
  <si>
    <t>土地（套用方法）</t>
  </si>
  <si>
    <t>比较法-住宅、综合</t>
  </si>
  <si>
    <t>剩余法-待开发</t>
  </si>
  <si>
    <t>项目全部</t>
  </si>
  <si>
    <t>土地</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</si>
  <si>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</si>
  <si>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</si>
  <si>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</si>
  <si>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</si>
  <si>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</si>
  <si>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</si>
  <si>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</si>
  <si>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</si>
  <si>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</si>
  <si>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</si>
  <si>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</si>
  <si>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</si>
  <si>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</si>
  <si>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</si>
  <si>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</si>
  <si>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</si>
  <si>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</si>
  <si>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S234北侧、黄泥沟西侧地块</t>
  </si>
  <si>
    <t>盐城市</t>
  </si>
  <si>
    <t>商业/办公用地</t>
  </si>
  <si>
    <t>2018-G5</t>
  </si>
  <si>
    <t>批发零售用地</t>
  </si>
  <si>
    <t>≤0.8</t>
  </si>
  <si>
    <t>2018-07-18</t>
  </si>
  <si>
    <t>建湖县网挂[2018]3号-3</t>
  </si>
  <si>
    <t>建湖县汽车工业贸易公司</t>
  </si>
  <si>
    <t>40年</t>
  </si>
  <si>
    <t>331省道北侧地块</t>
  </si>
  <si>
    <t>2018-G6</t>
  </si>
  <si>
    <t>≤0.3</t>
  </si>
  <si>
    <t>建湖县网挂[2018]3号-4</t>
  </si>
  <si>
    <t>中国石化销售有限公司江苏盐城石油分公司</t>
  </si>
  <si>
    <t>未来城南侧、城南高中西侧地块</t>
  </si>
  <si>
    <t>2018-G3</t>
  </si>
  <si>
    <t>＞1,≤2</t>
  </si>
  <si>
    <t>建湖县网挂[2018]3号-2</t>
  </si>
  <si>
    <t>江苏通银实业集团有限公司</t>
  </si>
  <si>
    <t>长兴路东侧、森达路南侧</t>
  </si>
  <si>
    <t>2018-R1</t>
  </si>
  <si>
    <t>≤1</t>
  </si>
  <si>
    <t>2018-04-13</t>
  </si>
  <si>
    <t>建湖县网挂[2018]2号</t>
  </si>
  <si>
    <t>城南初中西侧、严桥路南侧地块</t>
  </si>
  <si>
    <t>2018-G1</t>
  </si>
  <si>
    <t>2018-03-08</t>
  </si>
  <si>
    <t>建湖县网挂[2018]1号</t>
  </si>
  <si>
    <t>常州新城房地产开发有限公司</t>
  </si>
  <si>
    <t>开发区S231西侧、汇文路南侧地块</t>
  </si>
  <si>
    <t>2018-01-23</t>
  </si>
  <si>
    <t>建湖县网挂[2017]8号</t>
  </si>
  <si>
    <t>建湖百盛公路服务有限公司</t>
  </si>
  <si>
    <t>环城西路东侧、水源路南侧地块</t>
  </si>
  <si>
    <t>≤2</t>
  </si>
  <si>
    <t>2017-12-29</t>
  </si>
  <si>
    <t>建湖县挂[2017]7号-1</t>
  </si>
  <si>
    <t>建湖县高新投资发展有限公司</t>
  </si>
  <si>
    <t>航空路南侧、经三路东侧地块</t>
  </si>
  <si>
    <t>建湖县挂[2017]7号-3</t>
  </si>
  <si>
    <t>环城西路东侧、崔墩路南侧地块</t>
  </si>
  <si>
    <t>建湖县挂[2017]7号-2</t>
  </si>
  <si>
    <t>芦沟镇231省道东侧地块</t>
  </si>
  <si>
    <t>2017-G7</t>
  </si>
  <si>
    <t>2017-10-31</t>
  </si>
  <si>
    <t>建湖县挂[2017]5号</t>
  </si>
  <si>
    <t>建湖顺达加油站有限公司</t>
  </si>
  <si>
    <t>双湖路北、滨湖路西侧地块一</t>
  </si>
  <si>
    <t>2017-R3</t>
  </si>
  <si>
    <t>＞1.5,≤2</t>
  </si>
  <si>
    <t>2017-10-20</t>
  </si>
  <si>
    <t>建湖县挂[2017]3号-3</t>
  </si>
  <si>
    <t>建湖县惠民置业有限公司</t>
  </si>
  <si>
    <t>双湖路北、滨湖路西侧地块二</t>
  </si>
  <si>
    <t>2017-R4</t>
  </si>
  <si>
    <t>建湖县挂[2017]3号-4</t>
  </si>
  <si>
    <t>芦沟镇南环路北侧地块</t>
  </si>
  <si>
    <t>2017-G6</t>
  </si>
  <si>
    <t>≥1</t>
  </si>
  <si>
    <t>建湖县挂[2017]4号</t>
  </si>
  <si>
    <t>国网江苏省电力公司建湖县供电公司</t>
  </si>
  <si>
    <t>双湖一品西侧地块一(东侧)</t>
  </si>
  <si>
    <t>2017-G4</t>
  </si>
  <si>
    <t>2017-08-30</t>
  </si>
  <si>
    <t>建湖县挂[2017]2号-1</t>
  </si>
  <si>
    <t>增城市碧桂园物业发展有限公司</t>
  </si>
  <si>
    <t>颜单镇沈杨村(乡村夜市)建宝路东侧地块</t>
  </si>
  <si>
    <t>＞1且≤1.2</t>
  </si>
  <si>
    <t>2017-01-24</t>
  </si>
  <si>
    <t>建湖县挂[2016]3号-3</t>
  </si>
  <si>
    <t>建湖耀颜实业有限公司</t>
  </si>
  <si>
    <t>府前路北、湖中南路东侧地块</t>
  </si>
  <si>
    <t>2016-G1</t>
  </si>
  <si>
    <t>≤2.8</t>
  </si>
  <si>
    <t>2016-03-15</t>
  </si>
  <si>
    <t>建湖县挂[2016]1号</t>
  </si>
  <si>
    <t>九龙口镇九龙大道北侧地块</t>
  </si>
  <si>
    <t>≥0.3</t>
  </si>
  <si>
    <t>2016-01-13</t>
  </si>
  <si>
    <t>建湖县挂[2015]12号-5</t>
  </si>
  <si>
    <t>恒济镇新恒蒋路西侧地块</t>
  </si>
  <si>
    <t>建湖县挂[2015]12号-4</t>
  </si>
  <si>
    <t>中国石油天然气股份有限公司江苏盐城销售分公司</t>
  </si>
  <si>
    <t>上冈镇冈东社区运河路东侧地块</t>
  </si>
  <si>
    <t>建湖县挂[2015]12号-3</t>
  </si>
  <si>
    <t>上冈镇冈中路北侧地块</t>
  </si>
  <si>
    <t>＞1,≤1.4</t>
  </si>
  <si>
    <t>建湖县挂[2015]12号-2</t>
  </si>
  <si>
    <t>裔兆群</t>
  </si>
  <si>
    <t>楼面地价</t>
  </si>
  <si>
    <t>较规则</t>
  </si>
  <si>
    <t>较规则</t>
    <phoneticPr fontId="26" type="noConversion"/>
  </si>
  <si>
    <t>六通一平</t>
    <phoneticPr fontId="26" type="noConversion"/>
  </si>
  <si>
    <t>较好</t>
  </si>
  <si>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</si>
  <si>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</si>
  <si>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</si>
  <si>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</si>
  <si>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</si>
  <si>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</si>
  <si>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正常</t>
  </si>
  <si>
    <t>时间</t>
  </si>
  <si>
    <t>水平值</t>
  </si>
  <si>
    <t>环比增长率</t>
  </si>
  <si>
    <t>指数</t>
  </si>
  <si>
    <t>南京监测指标情况一览表（综合）</t>
    <phoneticPr fontId="233" type="noConversion"/>
  </si>
  <si>
    <t>南京监测指标情况一览表（商服）</t>
    <phoneticPr fontId="233" type="noConversion"/>
  </si>
  <si>
    <t>碧桂园</t>
    <phoneticPr fontId="26" type="noConversion"/>
  </si>
  <si>
    <t>一般</t>
  </si>
  <si>
    <t>较差</t>
  </si>
  <si>
    <t>六通</t>
  </si>
  <si>
    <t>支路</t>
  </si>
  <si>
    <t>场地未平整</t>
  </si>
  <si>
    <t>平整</t>
  </si>
  <si>
    <t>平整费</t>
    <phoneticPr fontId="3" type="noConversion"/>
  </si>
  <si>
    <t>五通一平</t>
  </si>
  <si>
    <t>五通一平</t>
    <phoneticPr fontId="26" type="noConversion"/>
  </si>
  <si>
    <r>
      <t>建国用（2</t>
    </r>
    <r>
      <rPr>
        <sz val="11"/>
        <color theme="1"/>
        <rFont val="宋体"/>
        <family val="3"/>
        <charset val="134"/>
        <scheme val="minor"/>
      </rPr>
      <t>014）第600070号</t>
    </r>
    <phoneticPr fontId="233" type="noConversion"/>
  </si>
  <si>
    <t>建国用（2014）第600069号</t>
    <phoneticPr fontId="233" type="noConversion"/>
  </si>
  <si>
    <t>综合</t>
    <phoneticPr fontId="233" type="noConversion"/>
  </si>
  <si>
    <t>住宅</t>
    <phoneticPr fontId="7" type="noConversion"/>
  </si>
  <si>
    <t>商业</t>
    <phoneticPr fontId="7" type="noConversion"/>
  </si>
  <si>
    <t>出让方式</t>
  </si>
  <si>
    <t>土地星级</t>
  </si>
  <si>
    <t>崔墩路南侧、秀夫路西侧地块</t>
  </si>
  <si>
    <t>住宅用地</t>
  </si>
  <si>
    <t>挂牌</t>
  </si>
  <si>
    <t>2018-R8</t>
  </si>
  <si>
    <t>其他普通商品住房用地</t>
  </si>
  <si>
    <t>2018-12-28</t>
  </si>
  <si>
    <t>建湖县挂[2018]7号-6</t>
  </si>
  <si>
    <t>70年</t>
  </si>
  <si>
    <t>2星</t>
  </si>
  <si>
    <t>人民路东、双湖路北侧地块二</t>
  </si>
  <si>
    <t>2018-R13</t>
  </si>
  <si>
    <t>≥1.5,≤2</t>
  </si>
  <si>
    <t>建湖县挂[2018]7号-2</t>
  </si>
  <si>
    <t>建湖县新农村建设投资有限公司</t>
  </si>
  <si>
    <t>1星</t>
  </si>
  <si>
    <t>人民路东、双湖路北侧地块一</t>
  </si>
  <si>
    <t>2018-R12</t>
  </si>
  <si>
    <t>建湖县挂[2018]7号-1</t>
  </si>
  <si>
    <t>人民路东、南环路北侧地块</t>
  </si>
  <si>
    <t>2018-R14</t>
  </si>
  <si>
    <t>建湖县挂[2018]7号-3</t>
  </si>
  <si>
    <t>体育路南、人民路东侧地块</t>
  </si>
  <si>
    <t>2018-R7</t>
  </si>
  <si>
    <t>建湖县挂[2018]7号-5</t>
  </si>
  <si>
    <t>纬二路北、滨河西路西侧地块</t>
  </si>
  <si>
    <t>2018-R6</t>
  </si>
  <si>
    <t>＞1,≤3.4</t>
  </si>
  <si>
    <t>2018-09-26</t>
  </si>
  <si>
    <t>建湖县挂[2018]4号-5</t>
  </si>
  <si>
    <t>建湖县开发区建设投资有限公司</t>
  </si>
  <si>
    <t>冠华路南侧、神台河北侧地块</t>
  </si>
  <si>
    <t>2018-R5</t>
  </si>
  <si>
    <t>建湖县挂[2018]4号-4</t>
  </si>
  <si>
    <t>冠华路南侧地块二</t>
  </si>
  <si>
    <t>2018-R3</t>
  </si>
  <si>
    <t>＞1,≤3.5</t>
  </si>
  <si>
    <t>建湖县挂[2018]4号-2</t>
  </si>
  <si>
    <t>冠华路南侧地块一</t>
  </si>
  <si>
    <t>2018-R2</t>
  </si>
  <si>
    <t>＞1,≤2.4</t>
  </si>
  <si>
    <t>建湖县挂[2018]4号-1</t>
  </si>
  <si>
    <t>冠华路南侧地块三</t>
  </si>
  <si>
    <t>2018-R4</t>
  </si>
  <si>
    <t>建湖县挂[2018]4号-3</t>
  </si>
  <si>
    <t>秀夫路东侧、崔墩路北侧地块</t>
  </si>
  <si>
    <t>2018-G2</t>
  </si>
  <si>
    <t>建湖县网挂[2018]3号-1</t>
  </si>
  <si>
    <t>江苏新能源置业集团有限公司</t>
  </si>
  <si>
    <t>经四路西侧、北京路南侧地块</t>
  </si>
  <si>
    <t>2017-R8</t>
  </si>
  <si>
    <t>中低价位、中小套型普通商品住房用地</t>
  </si>
  <si>
    <t>＞1,≤2.2</t>
  </si>
  <si>
    <t>建湖县挂[2017]3号-8</t>
  </si>
  <si>
    <t>江苏开诚置业有限公司</t>
  </si>
  <si>
    <t>崔墩路南侧、建宝路东侧地块</t>
  </si>
  <si>
    <t>2017-R2</t>
  </si>
  <si>
    <t>建湖县挂[2017]3号-2</t>
  </si>
  <si>
    <t>建湖县城南建设投资有限公司</t>
  </si>
  <si>
    <t>光明路北侧地块</t>
  </si>
  <si>
    <t>2017-R6</t>
  </si>
  <si>
    <t>建湖县挂[2017]3号-6</t>
  </si>
  <si>
    <t>体育中心南侧、人民路东侧地块</t>
  </si>
  <si>
    <t>2017-R5</t>
  </si>
  <si>
    <t>建湖县挂[2017]3号-5</t>
  </si>
  <si>
    <t>城南医院东侧、南环路北侧地块</t>
  </si>
  <si>
    <t>2017-R1</t>
  </si>
  <si>
    <t>建湖县挂[2017]3号-1</t>
  </si>
  <si>
    <t>经二路西侧、北京路北侧地块</t>
  </si>
  <si>
    <t>2017-R7</t>
  </si>
  <si>
    <t>建湖县挂[2017]3号-7</t>
  </si>
  <si>
    <t>双湖一品西侧地块二(西侧)</t>
  </si>
  <si>
    <t>2017-G5</t>
  </si>
  <si>
    <t>建湖县挂[2017]2号-2</t>
  </si>
  <si>
    <t>城南实验小学东侧、南环路南侧地块</t>
  </si>
  <si>
    <t>＞1且≤2.2</t>
  </si>
  <si>
    <t>建湖县挂[2016]3号-2</t>
  </si>
  <si>
    <t>盐城金牛置业有限公司</t>
  </si>
  <si>
    <t>城南高中西侧、南环路南侧地块</t>
  </si>
  <si>
    <t>建湖县挂[2016]3号-1</t>
  </si>
  <si>
    <t>盐城市万源置业有限公司</t>
  </si>
  <si>
    <t>冈西镇顾顶村仇坝组地块二</t>
  </si>
  <si>
    <t>＞1且≤1.5</t>
  </si>
  <si>
    <t>2016-12-16</t>
  </si>
  <si>
    <t>建湖县挂[2016]2号-3</t>
  </si>
  <si>
    <t>冈西镇顾顶村仇坝组地块一</t>
  </si>
  <si>
    <t>建湖县挂[2016]2号-2</t>
  </si>
  <si>
    <t>高作镇南环路北侧地块</t>
  </si>
  <si>
    <t>建湖县挂[2016]2号-1</t>
  </si>
  <si>
    <t>芦沟镇红亮村(砖瓦厂)地块</t>
  </si>
  <si>
    <t>建湖县挂[2016]2号-4</t>
  </si>
  <si>
    <t>用途</t>
  </si>
  <si>
    <t>商住比</t>
    <phoneticPr fontId="26" type="noConversion"/>
  </si>
  <si>
    <t>正常</t>
    <phoneticPr fontId="26" type="noConversion"/>
  </si>
  <si>
    <t>正常</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</si>
</sst>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8" fillId="0" borderId="25" xfId="2" applyNumberFormat="1" applyFont="1" applyFill="1" applyBorder="1" applyAlignment="1" applyProtection="1">
      <alignment horizontal="center" vertical="center"/>
      <protection locked="0"/>
    </xf>
    <xf numFmtId="0" fontId="86" fillId="0" borderId="0" xfId="15"/>
    <xf numFmtId="0" fontId="86" fillId="17" borderId="0" xfId="15" applyFill="1"/>
    <xf numFmtId="0" fontId="86" fillId="18" borderId="0" xfId="15"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9" borderId="0" xfId="15" applyFill="1"/>
    <xf numFmtId="0" fontId="145" fillId="0" borderId="0" xfId="1">
      <alignment vertical="center"/>
    </xf>
    <xf numFmtId="0" fontId="278" fillId="19" borderId="153" xfId="1" applyFont="1" applyFill="1" applyBorder="1" applyAlignment="1">
      <alignment horizontal="center"/>
    </xf>
    <xf numFmtId="0" fontId="278" fillId="19" borderId="154" xfId="1" applyFont="1" applyFill="1" applyBorder="1" applyAlignment="1">
      <alignment horizontal="center"/>
    </xf>
    <xf numFmtId="0" fontId="145" fillId="0" borderId="0" xfId="1" applyFont="1" applyAlignment="1">
      <alignment horizontal="left" vertical="center" wrapText="1"/>
    </xf>
    <xf numFmtId="0" fontId="145" fillId="0" borderId="155" xfId="1" applyFont="1" applyBorder="1" applyAlignment="1">
      <alignment horizontal="right" vertical="center" wrapText="1"/>
    </xf>
    <xf numFmtId="0" fontId="145" fillId="0" borderId="155" xfId="1" applyBorder="1" applyAlignment="1">
      <alignment horizontal="right" vertical="center" wrapText="1"/>
    </xf>
    <xf numFmtId="0" fontId="145" fillId="20" borderId="0" xfId="1" applyFont="1" applyFill="1" applyAlignment="1">
      <alignment horizontal="left" vertical="center" wrapText="1"/>
    </xf>
    <xf numFmtId="0" fontId="145" fillId="20" borderId="155" xfId="1" applyFont="1" applyFill="1" applyBorder="1" applyAlignment="1">
      <alignment horizontal="right" vertical="center" wrapText="1"/>
    </xf>
    <xf numFmtId="0" fontId="145" fillId="20" borderId="155" xfId="1" applyFill="1" applyBorder="1" applyAlignment="1">
      <alignment horizontal="right" vertical="center" wrapText="1"/>
    </xf>
    <xf numFmtId="0" fontId="145" fillId="21" borderId="0" xfId="1" applyFont="1" applyFill="1" applyAlignment="1">
      <alignment horizontal="left" vertical="center" wrapText="1"/>
    </xf>
    <xf numFmtId="0" fontId="145" fillId="21" borderId="155" xfId="1" applyFont="1" applyFill="1" applyBorder="1" applyAlignment="1">
      <alignment horizontal="right" vertical="center" wrapText="1"/>
    </xf>
    <xf numFmtId="0" fontId="145" fillId="21" borderId="155" xfId="1" applyFill="1" applyBorder="1" applyAlignment="1">
      <alignment horizontal="right" vertical="center" wrapText="1"/>
    </xf>
    <xf numFmtId="0" fontId="279" fillId="13" borderId="0" xfId="1" applyFont="1" applyFill="1" applyAlignment="1">
      <alignment horizontal="left" vertical="center" wrapText="1"/>
    </xf>
    <xf numFmtId="0" fontId="279" fillId="13" borderId="155" xfId="1" applyFont="1" applyFill="1" applyBorder="1" applyAlignment="1">
      <alignment horizontal="right" vertical="center" wrapText="1"/>
    </xf>
    <xf numFmtId="0" fontId="217" fillId="5" borderId="0" xfId="0" applyFont="1" applyFill="1" applyBorder="1" applyAlignment="1" applyProtection="1">
      <alignment vertical="center"/>
      <protection locked="0"/>
    </xf>
    <xf numFmtId="178" fontId="71" fillId="7"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262" fillId="5" borderId="10" xfId="14"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145" fillId="0" borderId="0" xfId="0" applyFont="1">
      <alignment vertical="center"/>
    </xf>
    <xf numFmtId="14" fontId="0" fillId="0" borderId="0" xfId="0" applyNumberFormat="1">
      <alignment vertical="center"/>
    </xf>
    <xf numFmtId="0" fontId="164" fillId="0" borderId="0" xfId="0" applyFont="1" applyAlignment="1"/>
    <xf numFmtId="0" fontId="164" fillId="0" borderId="0" xfId="0" applyFont="1">
      <alignment vertical="center"/>
    </xf>
    <xf numFmtId="0" fontId="133" fillId="8" borderId="63" xfId="0" applyFont="1" applyFill="1" applyBorder="1" applyAlignment="1" applyProtection="1">
      <alignment horizontal="left" vertical="center" wrapText="1"/>
      <protection locked="0"/>
    </xf>
    <xf numFmtId="9" fontId="84" fillId="0" borderId="8"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0" xfId="1" applyFont="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85725</xdr:rowOff>
    </xdr:from>
    <xdr:to>
      <xdr:col>7</xdr:col>
      <xdr:colOff>611029</xdr:colOff>
      <xdr:row>41</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543425"/>
          <a:ext cx="5411629" cy="2619375"/>
        </a:xfrm>
        <a:prstGeom prst="rect">
          <a:avLst/>
        </a:prstGeom>
      </xdr:spPr>
    </xdr:pic>
    <xdr:clientData/>
  </xdr:twoCellAnchor>
  <xdr:twoCellAnchor editAs="oneCell">
    <xdr:from>
      <xdr:col>0</xdr:col>
      <xdr:colOff>0</xdr:colOff>
      <xdr:row>0</xdr:row>
      <xdr:rowOff>0</xdr:rowOff>
    </xdr:from>
    <xdr:to>
      <xdr:col>7</xdr:col>
      <xdr:colOff>574831</xdr:colOff>
      <xdr:row>27</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375431" cy="4667250"/>
        </a:xfrm>
        <a:prstGeom prst="rect">
          <a:avLst/>
        </a:prstGeom>
      </xdr:spPr>
    </xdr:pic>
    <xdr:clientData/>
  </xdr:twoCellAnchor>
  <xdr:twoCellAnchor editAs="oneCell">
    <xdr:from>
      <xdr:col>0</xdr:col>
      <xdr:colOff>0</xdr:colOff>
      <xdr:row>50</xdr:row>
      <xdr:rowOff>95250</xdr:rowOff>
    </xdr:from>
    <xdr:to>
      <xdr:col>14</xdr:col>
      <xdr:colOff>342900</xdr:colOff>
      <xdr:row>90</xdr:row>
      <xdr:rowOff>161925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667750"/>
          <a:ext cx="9944100" cy="6924675"/>
        </a:xfrm>
        <a:prstGeom prst="rect">
          <a:avLst/>
        </a:prstGeom>
      </xdr:spPr>
    </xdr:pic>
    <xdr:clientData/>
  </xdr:twoCellAnchor>
  <xdr:twoCellAnchor editAs="oneCell">
    <xdr:from>
      <xdr:col>9</xdr:col>
      <xdr:colOff>19050</xdr:colOff>
      <xdr:row>26</xdr:row>
      <xdr:rowOff>95250</xdr:rowOff>
    </xdr:from>
    <xdr:to>
      <xdr:col>17</xdr:col>
      <xdr:colOff>302827</xdr:colOff>
      <xdr:row>42</xdr:row>
      <xdr:rowOff>95249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91250" y="4552950"/>
          <a:ext cx="5770177" cy="2743199"/>
        </a:xfrm>
        <a:prstGeom prst="rect">
          <a:avLst/>
        </a:prstGeom>
      </xdr:spPr>
    </xdr:pic>
    <xdr:clientData/>
  </xdr:twoCellAnchor>
  <xdr:twoCellAnchor editAs="oneCell">
    <xdr:from>
      <xdr:col>9</xdr:col>
      <xdr:colOff>16650</xdr:colOff>
      <xdr:row>0</xdr:row>
      <xdr:rowOff>1</xdr:rowOff>
    </xdr:from>
    <xdr:to>
      <xdr:col>17</xdr:col>
      <xdr:colOff>161925</xdr:colOff>
      <xdr:row>27</xdr:row>
      <xdr:rowOff>32249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88850" y="1"/>
          <a:ext cx="5631675" cy="4661398"/>
        </a:xfrm>
        <a:prstGeom prst="rect">
          <a:avLst/>
        </a:prstGeom>
      </xdr:spPr>
    </xdr:pic>
    <xdr:clientData/>
  </xdr:twoCellAnchor>
  <xdr:twoCellAnchor editAs="oneCell">
    <xdr:from>
      <xdr:col>19</xdr:col>
      <xdr:colOff>0</xdr:colOff>
      <xdr:row>0</xdr:row>
      <xdr:rowOff>0</xdr:rowOff>
    </xdr:from>
    <xdr:to>
      <xdr:col>26</xdr:col>
      <xdr:colOff>419100</xdr:colOff>
      <xdr:row>25</xdr:row>
      <xdr:rowOff>95250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030200" y="0"/>
          <a:ext cx="5219700" cy="4381500"/>
        </a:xfrm>
        <a:prstGeom prst="rect">
          <a:avLst/>
        </a:prstGeom>
      </xdr:spPr>
    </xdr:pic>
    <xdr:clientData/>
  </xdr:twoCellAnchor>
  <xdr:twoCellAnchor editAs="oneCell">
    <xdr:from>
      <xdr:col>18</xdr:col>
      <xdr:colOff>511951</xdr:colOff>
      <xdr:row>25</xdr:row>
      <xdr:rowOff>64275</xdr:rowOff>
    </xdr:from>
    <xdr:to>
      <xdr:col>26</xdr:col>
      <xdr:colOff>476251</xdr:colOff>
      <xdr:row>40</xdr:row>
      <xdr:rowOff>139076</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56351" y="4350525"/>
          <a:ext cx="5450700" cy="2646551"/>
        </a:xfrm>
        <a:prstGeom prst="rect">
          <a:avLst/>
        </a:prstGeom>
      </xdr:spPr>
    </xdr:pic>
    <xdr:clientData/>
  </xdr:twoCellAnchor>
  <xdr:twoCellAnchor>
    <xdr:from>
      <xdr:col>6</xdr:col>
      <xdr:colOff>190500</xdr:colOff>
      <xdr:row>69</xdr:row>
      <xdr:rowOff>28575</xdr:rowOff>
    </xdr:from>
    <xdr:to>
      <xdr:col>6</xdr:col>
      <xdr:colOff>419100</xdr:colOff>
      <xdr:row>70</xdr:row>
      <xdr:rowOff>85725</xdr:rowOff>
    </xdr:to>
    <xdr:sp macro="" textlink="">
      <xdr:nvSpPr>
        <xdr:cNvPr id="9" name="椭圆 8"/>
        <xdr:cNvSpPr/>
      </xdr:nvSpPr>
      <xdr:spPr>
        <a:xfrm>
          <a:off x="4305300" y="11858625"/>
          <a:ext cx="228600" cy="2286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590550</xdr:colOff>
      <xdr:row>69</xdr:row>
      <xdr:rowOff>123825</xdr:rowOff>
    </xdr:from>
    <xdr:to>
      <xdr:col>8</xdr:col>
      <xdr:colOff>133350</xdr:colOff>
      <xdr:row>71</xdr:row>
      <xdr:rowOff>9525</xdr:rowOff>
    </xdr:to>
    <xdr:sp macro="" textlink="">
      <xdr:nvSpPr>
        <xdr:cNvPr id="10" name="椭圆 9"/>
        <xdr:cNvSpPr/>
      </xdr:nvSpPr>
      <xdr:spPr>
        <a:xfrm>
          <a:off x="5391150" y="11953875"/>
          <a:ext cx="228600" cy="2286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14</xdr:col>
      <xdr:colOff>438150</xdr:colOff>
      <xdr:row>15</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62100"/>
          <a:ext cx="10039350" cy="1162050"/>
        </a:xfrm>
        <a:prstGeom prst="rect">
          <a:avLst/>
        </a:prstGeom>
      </xdr:spPr>
    </xdr:pic>
    <xdr:clientData/>
  </xdr:twoCellAnchor>
  <xdr:twoCellAnchor editAs="oneCell">
    <xdr:from>
      <xdr:col>0</xdr:col>
      <xdr:colOff>0</xdr:colOff>
      <xdr:row>16</xdr:row>
      <xdr:rowOff>83325</xdr:rowOff>
    </xdr:from>
    <xdr:to>
      <xdr:col>14</xdr:col>
      <xdr:colOff>457200</xdr:colOff>
      <xdr:row>23</xdr:row>
      <xdr:rowOff>120253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845575"/>
          <a:ext cx="10058400" cy="1237078"/>
        </a:xfrm>
        <a:prstGeom prst="rect">
          <a:avLst/>
        </a:prstGeom>
      </xdr:spPr>
    </xdr:pic>
    <xdr:clientData/>
  </xdr:twoCellAnchor>
  <xdr:twoCellAnchor editAs="oneCell">
    <xdr:from>
      <xdr:col>0</xdr:col>
      <xdr:colOff>0</xdr:colOff>
      <xdr:row>26</xdr:row>
      <xdr:rowOff>0</xdr:rowOff>
    </xdr:from>
    <xdr:to>
      <xdr:col>13</xdr:col>
      <xdr:colOff>600075</xdr:colOff>
      <xdr:row>43</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476750"/>
          <a:ext cx="9515475" cy="30384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2655</v>
      </c>
      <c r="B1" s="2891" t="s">
        <v>2752</v>
      </c>
    </row>
    <row r="2" spans="1:55" s="2895" customFormat="1" ht="15" thickTop="1">
      <c r="A2" s="2893" t="s">
        <v>2659</v>
      </c>
      <c r="B2" s="2894" t="str">
        <f>'预评函-封皮'!B37</f>
        <v>江苏省盐城市建湖县双湖路北、秀夫路两侧地块二320925100203GB00021W00000000号一宗其他商服用用地出让国有建设用地使用权抵押价格预评估</v>
      </c>
      <c r="AX2" s="2896"/>
      <c r="AZ2" s="2896"/>
      <c r="BA2" s="2897"/>
      <c r="BC2" s="2897"/>
    </row>
    <row r="3" spans="1:55" s="2898" customFormat="1">
      <c r="A3" s="2877" t="s">
        <v>2660</v>
      </c>
      <c r="B3" s="2880">
        <f>'预评函-封皮'!B40</f>
        <v>0</v>
      </c>
    </row>
    <row r="4" spans="1:55" s="2879" customFormat="1">
      <c r="A4" s="2877" t="s">
        <v>2661</v>
      </c>
      <c r="B4" s="2878" t="str">
        <f>'预评函-封皮'!B46</f>
        <v>王鹏、郑燚</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2662</v>
      </c>
      <c r="B5" s="2900" t="str">
        <f>'预评函-封皮'!B49</f>
        <v>康正预评字号</v>
      </c>
    </row>
    <row r="6" spans="1:55" s="2901" customFormat="1" ht="15" thickTop="1">
      <c r="A6" s="2893" t="s">
        <v>2704</v>
      </c>
      <c r="B6" s="2894" t="str">
        <f>'预评函-1'!A4</f>
        <v>受贵公司委托，我公司对江苏省盐城市建湖县双湖路北、秀夫路两侧地块二320925100203GB00021W00000000号一宗其他商服用用地出让国有建设用地使用权抵押价格进行了预评估。</v>
      </c>
      <c r="AM6" s="2902"/>
    </row>
    <row r="7" spans="1:55" s="2876" customFormat="1">
      <c r="A7" s="2877" t="s">
        <v>2656</v>
      </c>
      <c r="B7" s="2878" t="str">
        <f>'预评函-1'!A6</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46580.7平方米。根据《建设工程规划许可证》[]、《出让合同》[]，估价对象规划建筑面积为116451.76平方米。</v>
      </c>
    </row>
    <row r="8" spans="1:55" s="2876" customFormat="1">
      <c r="A8" s="2877" t="s">
        <v>2657</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2707</v>
      </c>
      <c r="B9" s="2878"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2658</v>
      </c>
      <c r="B10" s="2878" t="str">
        <f>'预评函-1'!A11</f>
        <v>2019年5月21日（评估专业人员勘察现场之日）</v>
      </c>
    </row>
    <row r="11" spans="1:55" s="2876" customFormat="1">
      <c r="A11" s="2877" t="s">
        <v>2664</v>
      </c>
      <c r="B11" s="2878" t="str">
        <f>'预评函-1'!A14</f>
        <v>根据《不动产权证书》[苏（2018）建湖县不动产权第0004219号]，本次评估估价对象证载（地类）用途为其他商服用地。</v>
      </c>
    </row>
    <row r="12" spans="1:55" s="2876" customFormat="1">
      <c r="A12" s="2877" t="s">
        <v>2665</v>
      </c>
      <c r="B12" s="2878" t="str">
        <f>'预评函-1'!A15</f>
        <v>本次评估设定用途即为证载用途其他商服用地。</v>
      </c>
    </row>
    <row r="13" spans="1:55" s="2876" customFormat="1">
      <c r="A13" s="2877" t="s">
        <v>2666</v>
      </c>
      <c r="B13" s="2878" t="str">
        <f>'预评函-1'!A17</f>
        <v>根据委托估价方介绍及评估专业人员现场勘查，本次评估估价对象实际土地开发程度为红线外市政基础设施达“七通”（即通路、通电、通讯、通上水、通下水、、）、宗地红线内场地未平整，。</v>
      </c>
    </row>
    <row r="14" spans="1:55" s="2876" customFormat="1">
      <c r="A14" s="2877" t="s">
        <v>2667</v>
      </c>
      <c r="B14" s="2878" t="str">
        <f>'预评函-1'!A18</f>
        <v>。本次评估设定土地开发程度为红线外市政基础设施达“七通”、宗地红线内场地平整。</v>
      </c>
    </row>
    <row r="15" spans="1:55" s="2876" customFormat="1">
      <c r="A15" s="2877" t="s">
        <v>2663</v>
      </c>
      <c r="B15" s="2878" t="str">
        <f>'预评函-1'!A20</f>
        <v>根据《国有土地使用证》[]，估价对象（分摊）出让国有建设用地使用权面积为46580.7平方米。根据《建设工程规划许可证》[]、《出让合同》[]，估价对象规划建筑面积为116451.76平方米。</v>
      </c>
    </row>
    <row r="16" spans="1:55" s="2876" customFormat="1">
      <c r="A16" s="2877" t="s">
        <v>2668</v>
      </c>
      <c r="B16" s="2878" t="str">
        <f>'预评函-1'!A22</f>
        <v>本次估价对象为出让国有建设用地使用权，《不动产权证书》[苏（2018）建湖县不动产权第0004219号]证载土地终止日期为住宅2084年1月4日、商业2054年1月5日。截至估价期日，出让国有建设用地使用权剩余土地使用年限为其他商服33.92年。</v>
      </c>
    </row>
    <row r="17" spans="1:48" s="2876" customFormat="1">
      <c r="A17" s="2877" t="s">
        <v>2669</v>
      </c>
      <c r="B17" s="2878" t="str">
        <f>'预评函-1'!A23</f>
        <v>本次评估设定估价对象剩余土地使用年限为其他商服33.92年。</v>
      </c>
    </row>
    <row r="18" spans="1:48" s="2876" customFormat="1">
      <c r="A18" s="2877" t="s">
        <v>2670</v>
      </c>
      <c r="B18" s="2878" t="str">
        <f>'预评函-1'!A25</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row>
    <row r="19" spans="1:48" s="2876" customFormat="1">
      <c r="A19" s="2877" t="s">
        <v>2671</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2672</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2673</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2674</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2675</v>
      </c>
      <c r="B23" s="2878" t="str">
        <f>'预评函-2'!K2</f>
        <v>估价期日：2019年5月21日</v>
      </c>
    </row>
    <row r="24" spans="1:48">
      <c r="A24" s="2877" t="s">
        <v>2676</v>
      </c>
      <c r="B24" s="2878" t="str">
        <f>'预评函-2'!R2</f>
        <v>估价期日的国有建设用地使用权性质：出让</v>
      </c>
    </row>
    <row r="25" spans="1:48">
      <c r="A25" s="2877" t="s">
        <v>2732</v>
      </c>
      <c r="B25" s="2878" t="str">
        <f>'预评函-2'!A3</f>
        <v>估价期日土地使用者</v>
      </c>
    </row>
    <row r="26" spans="1:48">
      <c r="A26" s="2877" t="s">
        <v>2708</v>
      </c>
      <c r="B26" s="2878" t="str">
        <f>'预评函-2'!A5</f>
        <v>中信开发</v>
      </c>
    </row>
    <row r="27" spans="1:48">
      <c r="A27" s="2877" t="s">
        <v>2733</v>
      </c>
      <c r="B27" s="2878" t="str">
        <f>'预评函-2'!B3</f>
        <v>宗地编号/不动产单元号</v>
      </c>
    </row>
    <row r="28" spans="1:48">
      <c r="A28" s="2877" t="s">
        <v>2709</v>
      </c>
      <c r="B28" s="2878" t="str">
        <f>'预评函-2'!B5</f>
        <v>11111111111</v>
      </c>
    </row>
    <row r="29" spans="1:48">
      <c r="A29" s="2877" t="s">
        <v>2735</v>
      </c>
      <c r="B29" s="2878">
        <f>'预评函-2'!C5</f>
        <v>22</v>
      </c>
    </row>
    <row r="30" spans="1:48">
      <c r="A30" s="2877" t="s">
        <v>2736</v>
      </c>
      <c r="B30" s="2878" t="str">
        <f>'预评函-2'!D3</f>
        <v>土地使用证编号/不动产权证书编号</v>
      </c>
    </row>
    <row r="31" spans="1:48">
      <c r="A31" s="2877" t="s">
        <v>2710</v>
      </c>
      <c r="B31" s="2878" t="str">
        <f>'预评函-2'!D5</f>
        <v>京国土字第111号</v>
      </c>
    </row>
    <row r="32" spans="1:48">
      <c r="A32" s="2877" t="s">
        <v>2711</v>
      </c>
      <c r="B32" s="2878" t="str">
        <f>'预评函-2'!E5</f>
        <v>其他商服用地</v>
      </c>
      <c r="AV32" s="2882"/>
    </row>
    <row r="33" spans="1:2">
      <c r="A33" s="2877" t="s">
        <v>2712</v>
      </c>
      <c r="B33" s="2878">
        <f>'预评函-2'!F5</f>
        <v>258</v>
      </c>
    </row>
    <row r="34" spans="1:2">
      <c r="A34" s="2877" t="s">
        <v>2713</v>
      </c>
      <c r="B34" s="2878" t="str">
        <f>'预评函-2'!G5</f>
        <v>其他商服用地</v>
      </c>
    </row>
    <row r="35" spans="1:2">
      <c r="A35" s="2877" t="s">
        <v>2714</v>
      </c>
      <c r="B35" s="2878">
        <f>'预评函-2'!H5</f>
        <v>1.5</v>
      </c>
    </row>
    <row r="36" spans="1:2">
      <c r="A36" s="2877" t="s">
        <v>2715</v>
      </c>
      <c r="B36" s="2878">
        <f>'预评函-2'!I5</f>
        <v>1.5</v>
      </c>
    </row>
    <row r="37" spans="1:2">
      <c r="A37" s="2877" t="s">
        <v>2716</v>
      </c>
      <c r="B37" s="2878">
        <f>'预评函-2'!J5</f>
        <v>1.5</v>
      </c>
    </row>
    <row r="38" spans="1:2">
      <c r="A38" s="2877" t="s">
        <v>2717</v>
      </c>
      <c r="B38" s="2878" t="str">
        <f>'预评函-2'!K5</f>
        <v>红线外七通、宗地红线内场地未平整</v>
      </c>
    </row>
    <row r="39" spans="1:2">
      <c r="A39" s="2877" t="s">
        <v>2718</v>
      </c>
      <c r="B39" s="2878" t="str">
        <f>'预评函-2'!L5</f>
        <v>红线外七通、宗地红线内场地平整</v>
      </c>
    </row>
    <row r="40" spans="1:2">
      <c r="A40" s="2877" t="s">
        <v>2737</v>
      </c>
      <c r="B40" s="2878" t="str">
        <f>'预评函-2'!M3</f>
        <v>（剩余）土地使用年限/年</v>
      </c>
    </row>
    <row r="41" spans="1:2">
      <c r="A41" s="2877" t="s">
        <v>2719</v>
      </c>
      <c r="B41" s="2878" t="str">
        <f>'预评函-2'!M5</f>
        <v>其他商服33.92年</v>
      </c>
    </row>
    <row r="42" spans="1:2">
      <c r="A42" s="2877" t="s">
        <v>2738</v>
      </c>
      <c r="B42" s="2878" t="str">
        <f>'预评函-2'!N3</f>
        <v>（分摊）出让国有建设用地使用权面积/㎡</v>
      </c>
    </row>
    <row r="43" spans="1:2">
      <c r="A43" s="2877" t="s">
        <v>2720</v>
      </c>
      <c r="B43" s="2878">
        <f>'预评函-2'!N5</f>
        <v>46580.7</v>
      </c>
    </row>
    <row r="44" spans="1:2">
      <c r="A44" s="2877" t="s">
        <v>2739</v>
      </c>
      <c r="B44" s="2878" t="str">
        <f>'预评函-2'!O3</f>
        <v>规划建筑面积/㎡</v>
      </c>
    </row>
    <row r="45" spans="1:2">
      <c r="A45" s="2877" t="s">
        <v>2721</v>
      </c>
      <c r="B45" s="2878">
        <f>'预评函-2'!O5</f>
        <v>116451.76</v>
      </c>
    </row>
    <row r="46" spans="1:2">
      <c r="A46" s="2877" t="s">
        <v>2722</v>
      </c>
      <c r="B46" s="2878">
        <f ca="1">'预评函-2'!P5</f>
        <v>3829</v>
      </c>
    </row>
    <row r="47" spans="1:2">
      <c r="A47" s="2877" t="s">
        <v>2723</v>
      </c>
      <c r="B47" s="2878">
        <f ca="1">'预评函-2'!Q5</f>
        <v>1532</v>
      </c>
    </row>
    <row r="48" spans="1:2">
      <c r="A48" s="2877" t="s">
        <v>2724</v>
      </c>
      <c r="B48" s="2878">
        <f ca="1">'预评函-2'!R5</f>
        <v>17837</v>
      </c>
    </row>
    <row r="49" spans="1:2">
      <c r="A49" s="2877" t="s">
        <v>2740</v>
      </c>
      <c r="B49" s="2878" t="str">
        <f>'预评函-2'!A6</f>
        <v>抵押价格</v>
      </c>
    </row>
    <row r="50" spans="1:2">
      <c r="A50" s="2877" t="s">
        <v>2725</v>
      </c>
      <c r="B50" s="2878">
        <f ca="1">'预评函-2'!R6</f>
        <v>17837</v>
      </c>
    </row>
    <row r="51" spans="1:2">
      <c r="A51" s="2877" t="s">
        <v>2741</v>
      </c>
      <c r="B51" s="2878" t="str">
        <f>'预评函-2'!A7</f>
        <v>——</v>
      </c>
    </row>
    <row r="52" spans="1:2">
      <c r="A52" s="2877" t="s">
        <v>2726</v>
      </c>
      <c r="B52" s="2878" t="str">
        <f>'预评函-2'!R7</f>
        <v>——</v>
      </c>
    </row>
    <row r="53" spans="1:2">
      <c r="A53" s="2877" t="s">
        <v>2742</v>
      </c>
      <c r="B53" s="2878">
        <f>'预评函-2'!A8</f>
        <v>0</v>
      </c>
    </row>
    <row r="54" spans="1:2" s="2892" customFormat="1" ht="15" thickBot="1">
      <c r="A54" s="2899" t="s">
        <v>2727</v>
      </c>
      <c r="B54" s="2900" t="str">
        <f>'预评函-2'!R8</f>
        <v>——</v>
      </c>
    </row>
    <row r="55" spans="1:2" ht="15" thickTop="1">
      <c r="A55" s="2888" t="s">
        <v>2677</v>
      </c>
      <c r="B55" s="2889" t="str">
        <f>'预评函-3'!A2</f>
        <v>1.权利限制：根据估价对象《不动产权证书》原件，截至估价期日，估价对象抵押权未见登记。未设定租赁等其他他项权利。</v>
      </c>
    </row>
    <row r="56" spans="1:2">
      <c r="A56" s="2877" t="s">
        <v>2678</v>
      </c>
      <c r="B56" s="2878" t="str">
        <f>'预评函-3'!A3</f>
        <v>2.基础设施条件：估价对象实际开发程度为红线外七通、宗地红线内场地未平整；本次评估设定开发程度为红线外七通、宗地红线内场地平整。</v>
      </c>
    </row>
    <row r="57" spans="1:2">
      <c r="A57" s="2877" t="s">
        <v>2679</v>
      </c>
      <c r="B57" s="2878" t="str">
        <f>'预评函-3'!A4</f>
        <v>3.估价规划限制条件：详见《建设工程规划许可证》[]、《出让合同》[]。</v>
      </c>
    </row>
    <row r="58" spans="1:2" s="2892" customFormat="1" ht="15" thickBot="1">
      <c r="A58" s="2899" t="s">
        <v>2728</v>
      </c>
      <c r="B58" s="2900" t="str">
        <f>'预评函-3'!A5</f>
        <v>4.影响价格的其他限定条件：无。</v>
      </c>
    </row>
    <row r="59" spans="1:2" ht="15" thickTop="1">
      <c r="A59" s="2888" t="s">
        <v>2680</v>
      </c>
      <c r="B59" s="2889" t="str">
        <f>'预评函-3'!A8</f>
        <v>2.本《评估意见函》仅供金融机构进行内部审核使用，不做其他目的之用。</v>
      </c>
    </row>
    <row r="60" spans="1:2">
      <c r="A60" s="2877" t="s">
        <v>2681</v>
      </c>
      <c r="B60" s="2878" t="str">
        <f>'预评函-3'!A9</f>
        <v>3.抵押双方在办理抵押登记手续时，应使用本公司出具的正式《土地估价报告》，特提请报告使用者注意。</v>
      </c>
    </row>
    <row r="61" spans="1:2">
      <c r="A61" s="2877" t="s">
        <v>2683</v>
      </c>
      <c r="B61" s="2878" t="str">
        <f>'预评函-3'!A10</f>
        <v>4.估价师所知悉的法定优先受偿款情况为：</v>
      </c>
    </row>
    <row r="62" spans="1:2">
      <c r="A62" s="2877" t="s">
        <v>2682</v>
      </c>
      <c r="B62" s="2878"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2684</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2685</v>
      </c>
      <c r="B64" s="2883" t="str">
        <f>'预评函-3'!A13</f>
        <v>（3）。</v>
      </c>
    </row>
    <row r="65" spans="1:2">
      <c r="A65" s="2877" t="s">
        <v>2686</v>
      </c>
      <c r="B65" s="2884" t="str">
        <f>'预评函-3'!A14</f>
        <v>综上，本次评估不存在估价师知悉的法定优先受偿款</v>
      </c>
    </row>
    <row r="66" spans="1:2">
      <c r="A66" s="2877" t="s">
        <v>2687</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2688</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2691</v>
      </c>
      <c r="B68" s="2903">
        <f>'预评函-3'!D30</f>
        <v>42558</v>
      </c>
    </row>
    <row r="69" spans="1:2" ht="15" thickTop="1">
      <c r="A69" s="2888" t="s">
        <v>2689</v>
      </c>
      <c r="B69" s="2889" t="str">
        <f>'预评函-3'!A20</f>
        <v>王鹏</v>
      </c>
    </row>
    <row r="70" spans="1:2">
      <c r="A70" s="2877" t="s">
        <v>2689</v>
      </c>
      <c r="B70" s="2884">
        <f ca="1">'预评函-3'!B20</f>
        <v>2002110030</v>
      </c>
    </row>
    <row r="71" spans="1:2">
      <c r="A71" s="2877" t="s">
        <v>2690</v>
      </c>
      <c r="B71" s="2878" t="str">
        <f>'预评函-3'!A21</f>
        <v>郑燚</v>
      </c>
    </row>
    <row r="72" spans="1:2" s="2892" customFormat="1" ht="15" thickBot="1">
      <c r="A72" s="2899" t="s">
        <v>2690</v>
      </c>
      <c r="B72" s="2905">
        <f>'预评函-3'!B21</f>
        <v>2014110011</v>
      </c>
    </row>
    <row r="73" spans="1:2" ht="15" thickTop="1">
      <c r="A73" s="2888" t="s">
        <v>2749</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2750</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2751</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2786</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89" customWidth="1"/>
    <col min="2" max="2" width="11.375" style="1689" customWidth="1"/>
    <col min="3" max="3" width="12.625" style="1689" customWidth="1"/>
    <col min="4" max="4" width="10.8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1940</v>
      </c>
      <c r="B1" s="3245" t="str">
        <f>IF(B10="北京市","北京市",C10)&amp;F10&amp;B16&amp;"国有建设用地使用权"&amp;B9&amp;"预评估"</f>
        <v>江苏省盐城市建湖县双湖路北、秀夫路两侧地块二320925100203GB00021W00000000号一宗其他商服用用地出让国有建设用地使用权抵押价格预评估</v>
      </c>
      <c r="C1" s="3246"/>
      <c r="D1" s="3246"/>
      <c r="E1" s="3246"/>
      <c r="F1" s="3246"/>
      <c r="G1" s="3246"/>
      <c r="H1" s="3246"/>
      <c r="I1" s="3247"/>
      <c r="J1" s="1692"/>
      <c r="K1" s="2454" t="str">
        <f>IF(B10="北京市","北京市",C10)&amp;F10&amp;B16&amp;"国有建设用地使用权"&amp;B9</f>
        <v>江苏省盐城市建湖县双湖路北、秀夫路两侧地块二320925100203GB00021W00000000号一宗其他商服用用地出让国有建设用地使用权抵押价格</v>
      </c>
      <c r="L1" s="1721"/>
      <c r="M1" s="1721"/>
      <c r="N1" s="1692"/>
      <c r="O1" s="1693"/>
      <c r="P1" s="1692"/>
      <c r="Q1" s="1692"/>
      <c r="R1" s="1692"/>
      <c r="S1" s="1692"/>
      <c r="T1" s="1692"/>
      <c r="U1" s="1692"/>
    </row>
    <row r="2" spans="1:21">
      <c r="A2" s="1659" t="s">
        <v>1941</v>
      </c>
      <c r="B2" s="1840"/>
      <c r="D2" s="1692"/>
      <c r="E2" s="1692"/>
      <c r="F2" s="1692"/>
      <c r="G2" s="1692"/>
      <c r="H2" s="1659"/>
      <c r="I2" s="1693"/>
      <c r="J2" s="1692"/>
      <c r="K2" s="2454" t="str">
        <f>IF(B10="北京市","北京市",C10)&amp;F10&amp;B16&amp;"国有建设用地使用权"</f>
        <v>江苏省盐城市建湖县双湖路北、秀夫路两侧地块二320925100203GB00021W00000000号一宗其他商服用用地出让国有建设用地使用权</v>
      </c>
      <c r="L2" s="1721"/>
      <c r="M2" s="1721"/>
      <c r="N2" s="1692"/>
      <c r="O2" s="1693"/>
      <c r="P2" s="1692"/>
      <c r="Q2" s="1692"/>
      <c r="R2" s="1692"/>
      <c r="S2" s="1692"/>
      <c r="T2" s="1692"/>
      <c r="U2" s="1692"/>
    </row>
    <row r="3" spans="1:21">
      <c r="A3" s="1660" t="s">
        <v>1942</v>
      </c>
      <c r="B3" s="1661">
        <v>43606</v>
      </c>
      <c r="C3" s="1662" t="s">
        <v>1997</v>
      </c>
      <c r="D3" s="1661">
        <f>B3</f>
        <v>43606</v>
      </c>
      <c r="E3" s="1692"/>
      <c r="F3" s="1692"/>
      <c r="G3" s="1692"/>
      <c r="H3" s="1659"/>
      <c r="I3" s="1693"/>
      <c r="J3" s="1692"/>
      <c r="K3" s="1772"/>
      <c r="L3" s="1721"/>
      <c r="M3" s="1721"/>
      <c r="N3" s="1692"/>
      <c r="O3" s="1693"/>
      <c r="P3" s="1692"/>
      <c r="Q3" s="1692"/>
      <c r="R3" s="1692"/>
      <c r="S3" s="1692"/>
      <c r="T3" s="1692"/>
      <c r="U3" s="1692"/>
    </row>
    <row r="4" spans="1:21" ht="15" thickBot="1">
      <c r="A4" s="1663" t="s">
        <v>1943</v>
      </c>
      <c r="B4" s="1841" t="s">
        <v>2982</v>
      </c>
      <c r="C4" s="1844">
        <f ca="1">SUMIF(土地估价师,B4,估价师及机构信息!E3:E24)</f>
        <v>2002110030</v>
      </c>
      <c r="D4" s="1841" t="s">
        <v>2983</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王鹏、郑燚</v>
      </c>
      <c r="L4" s="1721"/>
      <c r="M4" s="1721"/>
      <c r="N4" s="1692"/>
      <c r="O4" s="1693"/>
      <c r="P4" s="1692"/>
      <c r="Q4" s="1692"/>
      <c r="R4" s="1692"/>
      <c r="S4" s="1692"/>
      <c r="T4" s="1692"/>
      <c r="U4" s="1692"/>
    </row>
    <row r="5" spans="1:21" ht="15" thickTop="1">
      <c r="A5" s="1664" t="s">
        <v>1944</v>
      </c>
      <c r="B5" s="1787"/>
      <c r="C5" s="1665"/>
      <c r="D5" s="1666"/>
      <c r="E5" s="1692"/>
      <c r="F5" s="1692"/>
      <c r="G5" s="1692"/>
      <c r="H5" s="1659"/>
      <c r="I5" s="1693"/>
      <c r="J5" s="1692"/>
      <c r="K5" s="1772"/>
      <c r="L5" s="1721"/>
      <c r="M5" s="1721"/>
      <c r="N5" s="1692"/>
      <c r="O5" s="1693"/>
      <c r="P5" s="1692"/>
      <c r="Q5" s="1692"/>
      <c r="R5" s="1692"/>
      <c r="S5" s="1692"/>
      <c r="T5" s="1692"/>
      <c r="U5" s="1692"/>
    </row>
    <row r="6" spans="1:21" ht="26.25">
      <c r="A6" s="1662" t="s">
        <v>2705</v>
      </c>
      <c r="B6" s="1787" t="s">
        <v>2992</v>
      </c>
      <c r="C6" s="1759"/>
      <c r="D6" s="1667"/>
      <c r="E6" s="1692"/>
      <c r="F6" s="1692"/>
      <c r="G6" s="1692"/>
      <c r="H6" s="1659"/>
      <c r="I6" s="1693"/>
      <c r="J6" s="1692"/>
      <c r="K6" s="3055" t="str">
        <f>IF(COUNTIF(B6,"*上海银行*"),"上海银行","")</f>
        <v/>
      </c>
      <c r="L6" s="1721"/>
      <c r="M6" s="1721"/>
      <c r="N6" s="1692"/>
      <c r="O6" s="1693"/>
      <c r="P6" s="1692"/>
      <c r="Q6" s="1692"/>
      <c r="R6" s="1692"/>
      <c r="S6" s="1692"/>
      <c r="T6" s="1692"/>
      <c r="U6" s="1692"/>
    </row>
    <row r="7" spans="1:21">
      <c r="A7" s="1668" t="s">
        <v>2706</v>
      </c>
      <c r="B7" s="1787" t="str">
        <f>C11</f>
        <v>建湖县城市建设投资有限公司</v>
      </c>
      <c r="C7" s="1759"/>
      <c r="D7" s="1667"/>
      <c r="E7" s="1692"/>
      <c r="F7" s="1692"/>
      <c r="G7" s="1692"/>
      <c r="H7" s="1659"/>
      <c r="I7" s="1693"/>
      <c r="J7" s="1692"/>
      <c r="K7" s="1772"/>
      <c r="L7" s="1721"/>
      <c r="M7" s="1721"/>
      <c r="N7" s="1692"/>
      <c r="O7" s="1693"/>
      <c r="P7" s="1692"/>
      <c r="Q7" s="1692"/>
      <c r="R7" s="1692"/>
      <c r="S7" s="1692"/>
      <c r="T7" s="1692"/>
      <c r="U7" s="1692"/>
    </row>
    <row r="8" spans="1:21">
      <c r="A8" s="1668" t="s">
        <v>1945</v>
      </c>
      <c r="B8" s="1669" t="s">
        <v>2984</v>
      </c>
      <c r="C8" s="1670"/>
      <c r="D8" s="3251" t="s">
        <v>1947</v>
      </c>
      <c r="E8" s="1842" t="s">
        <v>2985</v>
      </c>
      <c r="F8" s="1671"/>
      <c r="G8" s="1659"/>
      <c r="H8" s="1659"/>
      <c r="I8" s="1705"/>
      <c r="J8" s="1692"/>
      <c r="K8" s="1772"/>
      <c r="L8" s="1721"/>
      <c r="M8" s="1721"/>
      <c r="N8" s="1692"/>
      <c r="O8" s="1693"/>
      <c r="P8" s="1692"/>
      <c r="Q8" s="1692"/>
      <c r="R8" s="1692"/>
      <c r="S8" s="1692"/>
      <c r="T8" s="1692"/>
      <c r="U8" s="1692"/>
    </row>
    <row r="9" spans="1:21" ht="15" thickBot="1">
      <c r="A9" s="1672" t="s">
        <v>1946</v>
      </c>
      <c r="B9" s="1673" t="s">
        <v>2985</v>
      </c>
      <c r="C9" s="1674"/>
      <c r="D9" s="3252"/>
      <c r="E9" s="1673"/>
      <c r="F9" s="1745"/>
      <c r="G9" s="1740"/>
      <c r="H9" s="1740"/>
      <c r="I9" s="1741"/>
      <c r="J9" s="1692"/>
      <c r="K9" s="1772"/>
      <c r="L9" s="1721"/>
      <c r="M9" s="1721"/>
      <c r="N9" s="1692"/>
      <c r="O9" s="1693"/>
      <c r="P9" s="1692"/>
      <c r="Q9" s="1692"/>
      <c r="R9" s="1692"/>
      <c r="S9" s="1692"/>
      <c r="T9" s="1692"/>
      <c r="U9" s="1692"/>
    </row>
    <row r="10" spans="1:21" ht="15" thickTop="1">
      <c r="A10" s="1742" t="s">
        <v>2001</v>
      </c>
      <c r="B10" s="1717" t="s">
        <v>2986</v>
      </c>
      <c r="C10" s="1675" t="s">
        <v>2991</v>
      </c>
      <c r="D10" s="1666"/>
      <c r="E10" s="1676" t="s">
        <v>1949</v>
      </c>
      <c r="F10" s="1677" t="s">
        <v>2990</v>
      </c>
      <c r="G10" s="1743"/>
      <c r="H10" s="1744"/>
      <c r="I10" s="1666"/>
      <c r="J10" s="1692"/>
      <c r="K10" s="1772"/>
      <c r="L10" s="1721"/>
      <c r="M10" s="1721"/>
      <c r="N10" s="1692"/>
      <c r="O10" s="1693"/>
      <c r="P10" s="1692"/>
      <c r="Q10" s="1692"/>
      <c r="R10" s="1692"/>
      <c r="S10" s="1692"/>
      <c r="T10" s="1692"/>
      <c r="U10" s="1692"/>
    </row>
    <row r="11" spans="1:21">
      <c r="A11" s="1695" t="s">
        <v>2002</v>
      </c>
      <c r="B11" s="1696" t="s">
        <v>2987</v>
      </c>
      <c r="C11" s="3205" t="s">
        <v>2989</v>
      </c>
      <c r="D11" s="1760"/>
      <c r="E11" s="1659"/>
      <c r="F11" s="1659"/>
      <c r="G11" s="1659"/>
      <c r="H11" s="1659"/>
      <c r="I11" s="1659"/>
      <c r="J11" s="1692"/>
      <c r="K11" s="1772"/>
      <c r="L11" s="1721"/>
      <c r="M11" s="1721"/>
      <c r="N11" s="1692"/>
      <c r="O11" s="1693"/>
      <c r="P11" s="1692"/>
      <c r="Q11" s="1692"/>
      <c r="R11" s="1692"/>
      <c r="S11" s="1692"/>
      <c r="T11" s="1692"/>
      <c r="U11" s="1692"/>
    </row>
    <row r="12" spans="1:21">
      <c r="A12" s="1783" t="s">
        <v>2060</v>
      </c>
      <c r="B12" s="3248" t="s">
        <v>2994</v>
      </c>
      <c r="C12" s="3249"/>
      <c r="D12" s="3250"/>
      <c r="E12" s="1697" t="s">
        <v>2063</v>
      </c>
      <c r="F12" s="3266" t="s">
        <v>2999</v>
      </c>
      <c r="G12" s="3267"/>
      <c r="H12" s="3267"/>
      <c r="I12" s="3268"/>
      <c r="J12" s="1692"/>
      <c r="K12" s="1772"/>
      <c r="L12" s="1721"/>
      <c r="M12" s="1721"/>
      <c r="N12" s="1692"/>
      <c r="O12" s="1693"/>
      <c r="P12" s="1692"/>
      <c r="Q12" s="1692"/>
      <c r="R12" s="1692"/>
      <c r="S12" s="1692"/>
      <c r="T12" s="1692"/>
      <c r="U12" s="1692"/>
    </row>
    <row r="13" spans="1:21">
      <c r="A13" s="1685" t="s">
        <v>2061</v>
      </c>
      <c r="B13" s="3248" t="str">
        <f>B12</f>
        <v>其他商服用地</v>
      </c>
      <c r="C13" s="3249"/>
      <c r="D13" s="3250"/>
      <c r="E13" s="1697" t="s">
        <v>2063</v>
      </c>
      <c r="F13" s="3266" t="s">
        <v>3000</v>
      </c>
      <c r="G13" s="3267"/>
      <c r="H13" s="3267"/>
      <c r="I13" s="3268"/>
      <c r="J13" s="1692"/>
      <c r="K13" s="1772"/>
      <c r="L13" s="1721"/>
      <c r="M13" s="1721"/>
      <c r="N13" s="1692"/>
      <c r="O13" s="1693"/>
      <c r="P13" s="1692"/>
      <c r="Q13" s="1692"/>
      <c r="R13" s="1692"/>
      <c r="S13" s="1692"/>
      <c r="T13" s="1692"/>
      <c r="U13" s="1692"/>
    </row>
    <row r="14" spans="1:21">
      <c r="A14" s="1660" t="s">
        <v>2064</v>
      </c>
      <c r="B14" s="1697"/>
      <c r="C14" s="1843" t="s">
        <v>2996</v>
      </c>
      <c r="D14" s="1731" t="str">
        <f>IF(C14="不一致","是否符合证载地类范围","")</f>
        <v/>
      </c>
      <c r="E14" s="1697"/>
      <c r="F14" s="1788" t="s">
        <v>2995</v>
      </c>
      <c r="G14" s="1726"/>
      <c r="H14" s="1726"/>
      <c r="I14" s="1835"/>
      <c r="J14" s="1692"/>
      <c r="K14" s="1772"/>
      <c r="L14" s="1721"/>
      <c r="M14" s="1721"/>
      <c r="N14" s="1692"/>
      <c r="O14" s="1693"/>
      <c r="P14" s="1692"/>
      <c r="Q14" s="1692"/>
      <c r="R14" s="1692"/>
      <c r="S14" s="1692"/>
      <c r="T14" s="1692"/>
      <c r="U14" s="1692"/>
    </row>
    <row r="15" spans="1:21" hidden="1">
      <c r="A15" s="2644"/>
      <c r="B15" s="1662"/>
      <c r="C15" s="1662"/>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2997</v>
      </c>
      <c r="C16" s="1697" t="s">
        <v>1951</v>
      </c>
      <c r="D16" s="2645" t="s">
        <v>1952</v>
      </c>
      <c r="E16" s="1720" t="s">
        <v>2998</v>
      </c>
      <c r="F16" s="1720"/>
      <c r="G16" s="1720"/>
      <c r="H16" s="1720"/>
      <c r="I16" s="1684" t="s">
        <v>1957</v>
      </c>
      <c r="J16" s="1692"/>
      <c r="K16" s="2455" t="str">
        <f>IF(D17="","",D16&amp;TEXT(D17,"yyyy年m月d日;;"))</f>
        <v>住宅2084年1月4日</v>
      </c>
      <c r="L16" s="1697" t="str">
        <f>IF(OR(K16="",M16=""),"","、")</f>
        <v>、</v>
      </c>
      <c r="M16" s="2455" t="str">
        <f>IF(E17="","",E16&amp;TEXT(E17,"yyyy年m月d日;;"))</f>
        <v>商业2054年1月5日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1958</v>
      </c>
      <c r="D17" s="1698">
        <f>E17+3652*3</f>
        <v>67210</v>
      </c>
      <c r="E17" s="1698">
        <v>56254</v>
      </c>
      <c r="F17" s="1698"/>
      <c r="G17" s="1698"/>
      <c r="H17" s="1698"/>
      <c r="I17" s="1698"/>
      <c r="J17" s="1692"/>
      <c r="K17" s="2454" t="str">
        <f>CONCATENATE(K16,L16,M16,N16,O16,P16,Q16,R16,S16,T16,,U16)</f>
        <v>住宅2084年1月4日、商业2054年1月5日</v>
      </c>
      <c r="L17" s="1721"/>
      <c r="M17" s="1721"/>
      <c r="N17" s="1692"/>
      <c r="O17" s="1693"/>
      <c r="P17" s="1692"/>
      <c r="Q17" s="1692"/>
      <c r="R17" s="1692"/>
      <c r="S17" s="1692"/>
      <c r="T17" s="1692"/>
      <c r="U17" s="1692"/>
    </row>
    <row r="18" spans="1:21">
      <c r="A18" s="1761"/>
      <c r="B18" s="1680"/>
      <c r="C18" s="1681" t="s">
        <v>1959</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9" t="s">
        <v>1960</v>
      </c>
      <c r="D19" s="1756">
        <f>IF(B16="出让",IF(D17="","",ROUNDDOWN(MIN((D17-$D$3)/365,D18),2)),D18)</f>
        <v>64.66</v>
      </c>
      <c r="E19" s="1683">
        <f>IF(B16="出让",IF(E17="","",ROUNDDOWN(MIN((E17-$D$3)/365,E18),2)),E18)</f>
        <v>34.65</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63" t="s">
        <v>3001</v>
      </c>
      <c r="E20" s="3264"/>
      <c r="F20" s="3264"/>
      <c r="G20" s="3264"/>
      <c r="H20" s="3264"/>
      <c r="I20" s="3265"/>
      <c r="J20" s="1692"/>
      <c r="K20" s="1772"/>
      <c r="L20" s="1721"/>
      <c r="M20" s="1721"/>
      <c r="N20" s="1692"/>
      <c r="O20" s="1693"/>
      <c r="P20" s="1692"/>
      <c r="Q20" s="1692"/>
      <c r="R20" s="1692"/>
      <c r="S20" s="1692"/>
      <c r="T20" s="1692"/>
      <c r="U20" s="1692"/>
    </row>
    <row r="21" spans="1:21">
      <c r="A21" s="1761" t="s">
        <v>1961</v>
      </c>
      <c r="B21" s="1762" t="s">
        <v>1962</v>
      </c>
      <c r="C21" s="1757">
        <f>'数据-汇总表'!E3</f>
        <v>116451.76</v>
      </c>
      <c r="D21" s="1758" t="s">
        <v>1963</v>
      </c>
      <c r="E21" s="3253" t="s">
        <v>2000</v>
      </c>
      <c r="F21" s="3254"/>
      <c r="G21" s="3254"/>
      <c r="H21" s="3254"/>
      <c r="I21" s="3255"/>
      <c r="J21" s="1692"/>
      <c r="K21" s="1772"/>
      <c r="L21" s="1721"/>
      <c r="M21" s="1721"/>
      <c r="N21" s="1692"/>
      <c r="O21" s="1693"/>
      <c r="P21" s="1692"/>
      <c r="Q21" s="1692"/>
      <c r="R21" s="1692"/>
      <c r="S21" s="1692"/>
      <c r="T21" s="1692"/>
      <c r="U21" s="1692"/>
    </row>
    <row r="22" spans="1:21">
      <c r="A22" s="3148" t="s">
        <v>952</v>
      </c>
      <c r="B22" s="1660" t="s">
        <v>1964</v>
      </c>
      <c r="C22" s="1684">
        <f>'数据-汇总表'!D3</f>
        <v>46580.7</v>
      </c>
      <c r="D22" s="1685" t="s">
        <v>1963</v>
      </c>
      <c r="E22" s="3253" t="s">
        <v>2888</v>
      </c>
      <c r="F22" s="3254"/>
      <c r="G22" s="3254"/>
      <c r="H22" s="3254"/>
      <c r="I22" s="3255"/>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56" t="s">
        <v>1969</v>
      </c>
      <c r="C24" s="3257"/>
      <c r="D24" s="3258" t="s">
        <v>1970</v>
      </c>
      <c r="E24" s="3259"/>
      <c r="F24" s="1706" t="s">
        <v>1971</v>
      </c>
      <c r="G24" s="1692"/>
      <c r="H24" s="1692"/>
      <c r="I24" s="1705"/>
      <c r="J24" s="1692"/>
      <c r="K24" s="3244" t="s">
        <v>1972</v>
      </c>
      <c r="L24" s="2456"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2"/>
      <c r="O24" s="1693"/>
      <c r="P24" s="1692"/>
      <c r="Q24" s="1692"/>
      <c r="R24" s="1692"/>
      <c r="S24" s="1692"/>
      <c r="T24" s="1692"/>
      <c r="U24" s="1692"/>
    </row>
    <row r="25" spans="1:21" ht="28.5">
      <c r="A25" s="1749"/>
      <c r="B25" s="1746" t="s">
        <v>2327</v>
      </c>
      <c r="C25" s="1707" t="s">
        <v>1973</v>
      </c>
      <c r="D25" s="1708"/>
      <c r="E25" s="1709" t="s">
        <v>952</v>
      </c>
      <c r="F25" s="1710"/>
      <c r="G25" s="1692"/>
      <c r="H25" s="1692"/>
      <c r="I25" s="1705"/>
      <c r="J25" s="1692"/>
      <c r="K25" s="3244"/>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15" thickBot="1">
      <c r="A26" s="1750"/>
      <c r="B26" s="1747" t="s">
        <v>952</v>
      </c>
      <c r="C26" s="1707" t="s">
        <v>952</v>
      </c>
      <c r="D26" s="1659"/>
      <c r="E26" s="1659"/>
      <c r="F26" s="1686"/>
      <c r="G26" s="1692"/>
      <c r="H26" s="1692"/>
      <c r="I26" s="1705"/>
      <c r="J26" s="1692"/>
      <c r="K26" s="3244"/>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71" t="s">
        <v>2003</v>
      </c>
      <c r="B31" s="1762" t="s">
        <v>2004</v>
      </c>
      <c r="C31" s="3269"/>
      <c r="D31" s="3270"/>
      <c r="E31" s="1692"/>
      <c r="F31" s="1692"/>
      <c r="G31" s="1692"/>
      <c r="H31" s="1692"/>
      <c r="I31" s="1705"/>
      <c r="J31" s="1692"/>
      <c r="K31" s="2457"/>
      <c r="L31" s="1692"/>
      <c r="M31" s="1692"/>
      <c r="N31" s="1692"/>
      <c r="O31" s="1692"/>
      <c r="P31" s="1692"/>
      <c r="Q31" s="1692"/>
      <c r="R31" s="1692"/>
      <c r="S31" s="1692"/>
      <c r="T31" s="1692"/>
      <c r="U31" s="1692"/>
    </row>
    <row r="32" spans="1:21">
      <c r="A32" s="3271"/>
      <c r="B32" s="1660"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71"/>
      <c r="B33" s="1660"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72"/>
      <c r="B34" s="1660" t="s">
        <v>2007</v>
      </c>
      <c r="C34" s="3273"/>
      <c r="D34" s="3274"/>
      <c r="E34" s="1692"/>
      <c r="F34" s="1692"/>
      <c r="G34" s="1692"/>
      <c r="H34" s="1692"/>
      <c r="I34" s="1705"/>
      <c r="J34" s="1692"/>
      <c r="K34" s="2457"/>
      <c r="L34" s="1692"/>
      <c r="M34" s="1692"/>
      <c r="N34" s="1692"/>
      <c r="O34" s="1692"/>
      <c r="P34" s="1692"/>
      <c r="Q34" s="1692"/>
      <c r="R34" s="1692"/>
      <c r="S34" s="1692"/>
      <c r="T34" s="1692"/>
      <c r="U34" s="1692"/>
    </row>
    <row r="35" spans="1:21">
      <c r="A35" s="3275" t="s">
        <v>847</v>
      </c>
      <c r="B35" s="1720" t="s">
        <v>3148</v>
      </c>
      <c r="C35" s="1774" t="str">
        <f>IF(B35="场地平整","——","具体情况：")</f>
        <v>具体情况：</v>
      </c>
      <c r="D35" s="3277"/>
      <c r="E35" s="3278"/>
      <c r="F35" s="3278"/>
      <c r="G35" s="3278"/>
      <c r="H35" s="3278"/>
      <c r="I35" s="3279"/>
      <c r="J35" s="1692"/>
      <c r="K35" s="1773"/>
      <c r="L35" s="1721"/>
      <c r="M35" s="1721"/>
      <c r="N35" s="1692"/>
      <c r="O35" s="1693"/>
      <c r="P35" s="1692"/>
      <c r="Q35" s="1692"/>
      <c r="R35" s="1692"/>
      <c r="S35" s="1692"/>
      <c r="T35" s="1692"/>
      <c r="U35" s="1692"/>
    </row>
    <row r="36" spans="1:21" ht="28.5">
      <c r="A36" s="3271"/>
      <c r="B36" s="3280" t="s">
        <v>2056</v>
      </c>
      <c r="C36" s="3281"/>
      <c r="D36" s="1790" t="s">
        <v>3149</v>
      </c>
      <c r="E36" s="3282"/>
      <c r="F36" s="3282"/>
      <c r="G36" s="1685" t="str">
        <f>IF(B35="场地未平整","估价结果处理","")</f>
        <v>估价结果处理</v>
      </c>
      <c r="H36" s="3283"/>
      <c r="I36" s="3283"/>
      <c r="J36" s="1692"/>
      <c r="K36" s="1773"/>
      <c r="L36" s="1721"/>
      <c r="M36" s="1721"/>
      <c r="N36" s="1692"/>
      <c r="O36" s="1693"/>
      <c r="P36" s="1692"/>
      <c r="Q36" s="1692"/>
      <c r="R36" s="1692"/>
      <c r="S36" s="1692"/>
      <c r="T36" s="1692"/>
      <c r="U36" s="1692"/>
    </row>
    <row r="37" spans="1:21" ht="28.5">
      <c r="A37" s="3271"/>
      <c r="B37" s="3260"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71"/>
      <c r="B38" s="3261"/>
      <c r="C38" s="1668" t="s">
        <v>850</v>
      </c>
      <c r="D38" s="1789">
        <f>ROUNDDOWN(MIN(('数据-取费表'!$B$2-D37)/365,D34),1)</f>
        <v>119.4</v>
      </c>
      <c r="E38" s="1725" t="s">
        <v>851</v>
      </c>
      <c r="F38" s="1692"/>
      <c r="G38" s="1692"/>
      <c r="H38" s="1692"/>
      <c r="I38" s="1705"/>
      <c r="J38" s="1692"/>
      <c r="K38" s="1773"/>
      <c r="L38" s="1692"/>
      <c r="M38" s="1692"/>
      <c r="N38" s="1692"/>
      <c r="O38" s="1692"/>
      <c r="P38" s="1692"/>
      <c r="Q38" s="1692"/>
      <c r="R38" s="1692"/>
      <c r="S38" s="1692"/>
      <c r="T38" s="1692"/>
      <c r="U38" s="1692"/>
    </row>
    <row r="39" spans="1:21">
      <c r="A39" s="3272"/>
      <c r="B39" s="326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3002</v>
      </c>
      <c r="C40" s="1688" t="s">
        <v>3003</v>
      </c>
      <c r="D40" s="1688" t="s">
        <v>3004</v>
      </c>
      <c r="E40" s="1688" t="s">
        <v>3005</v>
      </c>
      <c r="F40" s="1688" t="s">
        <v>3006</v>
      </c>
      <c r="G40" s="1688"/>
      <c r="H40" s="1688"/>
      <c r="I40" s="1705"/>
      <c r="J40" s="1692"/>
      <c r="K40" s="1728">
        <f>COUNTIF(B40:H40,"——")</f>
        <v>0</v>
      </c>
      <c r="L40" s="1697" t="s">
        <v>1980</v>
      </c>
      <c r="M40" s="1694" t="s">
        <v>1981</v>
      </c>
      <c r="N40" s="1694" t="s">
        <v>1982</v>
      </c>
      <c r="O40" s="1694" t="s">
        <v>1983</v>
      </c>
      <c r="P40" s="1694" t="s">
        <v>1984</v>
      </c>
      <c r="Q40" s="1694" t="s">
        <v>1985</v>
      </c>
      <c r="R40" s="1694" t="s">
        <v>1986</v>
      </c>
      <c r="S40" s="3243" t="s">
        <v>1987</v>
      </c>
      <c r="T40" s="1729" t="str">
        <f>NUMBERSTRING(7-K40,1)&amp;"通"</f>
        <v>七通</v>
      </c>
      <c r="U40" s="1692"/>
    </row>
    <row r="41" spans="1:21" ht="28.5">
      <c r="A41" s="1662"/>
      <c r="B41" s="3276" t="s">
        <v>1722</v>
      </c>
      <c r="C41" s="3276"/>
      <c r="D41" s="3276"/>
      <c r="E41" s="3276"/>
      <c r="F41" s="1730" t="str">
        <f>C10</f>
        <v>江苏省盐城市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43"/>
      <c r="T41" s="1731" t="str">
        <f>IF(T40="一通",L41,IF(T40="二通",M41,IF(T40="三通",N41,IF(T40="四通",O41,IF(T40="五通",P41,IF(T40="六通",Q41,R41))))))</f>
        <v>通路、通电、通讯、通上水、通下水、、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2889</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8" sqref="I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23.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2334</v>
      </c>
      <c r="BA2" s="236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土地使用证!E4+土地使用证!E5</f>
        <v>46580.7</v>
      </c>
      <c r="B3" s="22">
        <f>IF(C3="否",G5-AT5,G5)</f>
        <v>116451.76</v>
      </c>
      <c r="C3" s="23" t="s">
        <v>3008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116451.76</v>
      </c>
      <c r="H5" s="27">
        <f t="shared" ref="H5:AT5" si="0">SUM(H13:H641)</f>
        <v>116451.76</v>
      </c>
      <c r="I5" s="27">
        <f t="shared" si="0"/>
        <v>81516.23</v>
      </c>
      <c r="J5" s="27">
        <f t="shared" si="0"/>
        <v>0</v>
      </c>
      <c r="K5" s="27">
        <f t="shared" si="0"/>
        <v>34935.53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116451.76</v>
      </c>
      <c r="BA5" s="29">
        <f t="shared" si="1"/>
        <v>116451.76</v>
      </c>
      <c r="BB5" s="29">
        <f t="shared" si="1"/>
        <v>81516.23</v>
      </c>
      <c r="BC5" s="29">
        <f t="shared" si="1"/>
        <v>34935.53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46580.7</v>
      </c>
      <c r="F6" s="27" t="s">
        <v>1</v>
      </c>
      <c r="G6" s="27" t="s">
        <v>2</v>
      </c>
      <c r="H6" s="33">
        <f>SUMIF(I$12:AB$12,"总值",I6:AB6)</f>
        <v>46580.7</v>
      </c>
      <c r="I6" s="27">
        <f t="shared" ref="I6:AB6" si="2">ROUND($A$3*I5/$B$3,2)</f>
        <v>32606.49</v>
      </c>
      <c r="J6" s="27">
        <f t="shared" si="2"/>
        <v>0</v>
      </c>
      <c r="K6" s="27">
        <f t="shared" si="2"/>
        <v>13974.21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46580.7</v>
      </c>
      <c r="AZ6" s="27" t="s">
        <v>3</v>
      </c>
      <c r="BA6" s="27">
        <f>ROUND($AY$6*BA5/$AZ$5,2)</f>
        <v>46580.7</v>
      </c>
      <c r="BB6" s="27">
        <f>ROUND($AY$6*BB5/$AZ$5,2)</f>
        <v>32606.49</v>
      </c>
      <c r="BC6" s="27">
        <f t="shared" ref="BC6:BH6" si="4">ROUND($AY$6*BC5/$AZ$5,2)</f>
        <v>13974.21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3007</v>
      </c>
      <c r="J9" s="51"/>
      <c r="K9" s="3018" t="s">
        <v>3007</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923</v>
      </c>
      <c r="J10" s="51"/>
      <c r="K10" s="3020" t="s">
        <v>2998</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f>A3*2.5</f>
        <v>116451.75</v>
      </c>
      <c r="C13" s="3013"/>
      <c r="D13" s="3014" t="s">
        <v>1679</v>
      </c>
      <c r="E13" s="27">
        <f t="shared" ref="E13:E20" si="6">IF($C$3="是",ROUND($A$3*G13/$B$3,2),ROUND($A$3*(G13-AT13)/$B$3,2))</f>
        <v>46580.7</v>
      </c>
      <c r="F13" s="81"/>
      <c r="G13" s="82">
        <f t="shared" ref="G13:G20" si="7">H13+AC13+AT13</f>
        <v>116451.76</v>
      </c>
      <c r="H13" s="33">
        <f t="shared" ref="H13:H20" si="8">SUMIF(I$12:AB$12,"总值",I13:AB13)</f>
        <v>116451.76</v>
      </c>
      <c r="I13" s="3017">
        <f>ROUND(A3*2.5*0.7,2)</f>
        <v>81516.23</v>
      </c>
      <c r="J13" s="3017"/>
      <c r="K13" s="3017">
        <f>ROUND(A3*2.5*0.3,2)</f>
        <v>34935.53</v>
      </c>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116451.75</v>
      </c>
      <c r="AX13" s="17">
        <f t="shared" si="10"/>
        <v>0</v>
      </c>
      <c r="AY13" s="996">
        <f t="shared" ref="AY13:AY20" si="11">ROUND($AY$6*AZ13/$AZ$5,2)</f>
        <v>46580.7</v>
      </c>
      <c r="AZ13" s="27">
        <f t="shared" ref="AZ13:AZ20" si="12">BA13+BL13</f>
        <v>116451.76</v>
      </c>
      <c r="BA13" s="27">
        <f t="shared" ref="BA13:BA20" si="13">SUM(BB13:BK13)</f>
        <v>116451.76</v>
      </c>
      <c r="BB13" s="27">
        <f t="shared" ref="BB13:BB20" si="14">IF($D13="是",I13-J13,0)</f>
        <v>81516.23</v>
      </c>
      <c r="BC13" s="27">
        <f t="shared" ref="BC13:BC20" si="15">IF($D13="是",K13-L13,0)</f>
        <v>34935.53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v>179388</v>
      </c>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179388</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9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4" sqref="K3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5" t="s">
        <v>203</v>
      </c>
      <c r="B2" s="3295"/>
      <c r="C2" s="3295"/>
      <c r="D2" s="1974" t="s">
        <v>204</v>
      </c>
      <c r="E2" s="106" t="s">
        <v>205</v>
      </c>
      <c r="F2" s="1983"/>
      <c r="G2" s="1198"/>
      <c r="H2" s="1199"/>
      <c r="I2" s="1200" t="s">
        <v>857</v>
      </c>
      <c r="J2" s="1983"/>
      <c r="K2" s="1983"/>
      <c r="L2" s="1983"/>
    </row>
    <row r="3" spans="1:16" ht="15.75" thickBot="1">
      <c r="A3" s="3296" t="s">
        <v>206</v>
      </c>
      <c r="B3" s="3296"/>
      <c r="C3" s="3296"/>
      <c r="D3" s="107">
        <f>'数据-基础表'!AY6</f>
        <v>46580.7</v>
      </c>
      <c r="E3" s="107">
        <f>'数据-基础表'!AZ5</f>
        <v>116451.76</v>
      </c>
      <c r="F3" s="1983"/>
      <c r="G3" s="280" t="s">
        <v>858</v>
      </c>
      <c r="H3" s="275" t="s">
        <v>859</v>
      </c>
      <c r="I3" s="1975">
        <f>ROUND('数据-基础表'!B3/'数据-基础表'!A3,2)</f>
        <v>2.5</v>
      </c>
      <c r="J3" s="1983"/>
      <c r="K3" s="1983"/>
      <c r="L3" s="1983"/>
    </row>
    <row r="4" spans="1:16" ht="15">
      <c r="A4" s="3297"/>
      <c r="B4" s="3298"/>
      <c r="C4" s="3299"/>
      <c r="D4" s="108" t="s">
        <v>204</v>
      </c>
      <c r="E4" s="109" t="s">
        <v>205</v>
      </c>
      <c r="F4" s="1983"/>
      <c r="G4" s="1201"/>
      <c r="H4" s="275" t="s">
        <v>860</v>
      </c>
      <c r="I4" s="1975">
        <f>ROUND(SUMIF('数据-基础表'!I9:AS9,"地上",'数据-基础表'!I5:AS5)/'数据-基础表'!A3,2)</f>
        <v>2.5</v>
      </c>
      <c r="J4" s="1983"/>
      <c r="K4" s="1983"/>
      <c r="L4" s="1983"/>
    </row>
    <row r="5" spans="1:16">
      <c r="A5" s="110" t="s">
        <v>207</v>
      </c>
      <c r="B5" s="3300" t="s">
        <v>230</v>
      </c>
      <c r="C5" s="3300"/>
      <c r="D5" s="111">
        <f>ROUND($D$3*E5/$E$3,2)</f>
        <v>32606.49</v>
      </c>
      <c r="E5" s="112">
        <f>SUMIF('数据-基础表'!$11:$11,"住宅",'数据-基础表'!$5:$5)</f>
        <v>81516.23</v>
      </c>
      <c r="F5" s="1983"/>
      <c r="G5" s="280" t="s">
        <v>861</v>
      </c>
      <c r="H5" s="275" t="s">
        <v>859</v>
      </c>
      <c r="I5" s="1975">
        <f>ROUND(E31/D31,2)</f>
        <v>2.5</v>
      </c>
      <c r="J5" s="1983"/>
      <c r="K5" s="1983"/>
      <c r="L5" s="1983"/>
    </row>
    <row r="6" spans="1:16" ht="15" thickBot="1">
      <c r="A6" s="113"/>
      <c r="B6" s="3300" t="s">
        <v>208</v>
      </c>
      <c r="C6" s="3300"/>
      <c r="D6" s="111">
        <f>ROUND($D$3*E6/$E$3,2)</f>
        <v>13974.21</v>
      </c>
      <c r="E6" s="112">
        <f>E3-E5</f>
        <v>34935.53</v>
      </c>
      <c r="F6" s="1983"/>
      <c r="G6" s="1201"/>
      <c r="H6" s="275" t="s">
        <v>860</v>
      </c>
      <c r="I6" s="1975">
        <f>ROUND(F31/D31,2)</f>
        <v>2.5</v>
      </c>
      <c r="J6" s="1983"/>
      <c r="K6" s="1983"/>
      <c r="L6" s="1983"/>
    </row>
    <row r="7" spans="1:16" ht="15">
      <c r="A7" s="3292"/>
      <c r="B7" s="3293"/>
      <c r="C7" s="3294"/>
      <c r="D7" s="108" t="s">
        <v>204</v>
      </c>
      <c r="E7" s="114" t="s">
        <v>231</v>
      </c>
      <c r="F7" s="1983"/>
      <c r="G7" s="1156" t="s">
        <v>1646</v>
      </c>
      <c r="H7" s="1157"/>
      <c r="I7" s="1845"/>
      <c r="J7" s="1983"/>
      <c r="K7" s="1983"/>
      <c r="L7" s="1983"/>
    </row>
    <row r="8" spans="1:16">
      <c r="A8" s="110" t="s">
        <v>209</v>
      </c>
      <c r="B8" s="115" t="s">
        <v>210</v>
      </c>
      <c r="C8" s="111" t="s">
        <v>211</v>
      </c>
      <c r="D8" s="111">
        <f t="shared" ref="D8:D15" si="0">ROUND($D$3*E8/$E$3,2)</f>
        <v>46580.7</v>
      </c>
      <c r="E8" s="116">
        <f>SUMIF('数据-基础表'!BB10:BK10,"地上",'数据-基础表'!BB5:BK5)</f>
        <v>116451.76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46580.7</v>
      </c>
      <c r="E16" s="120">
        <f>SUM(E8:E15)</f>
        <v>116451.76</v>
      </c>
      <c r="F16" s="1983"/>
      <c r="G16" s="1985"/>
      <c r="H16" s="968" t="s">
        <v>219</v>
      </c>
      <c r="I16" s="969"/>
      <c r="J16" s="1983"/>
      <c r="K16" s="3286" t="s">
        <v>2566</v>
      </c>
      <c r="L16" s="3287"/>
      <c r="M16" s="3287"/>
      <c r="N16" s="3287"/>
      <c r="O16" s="3287"/>
      <c r="P16" s="3288"/>
    </row>
    <row r="17" spans="1:19" ht="15">
      <c r="A17" s="121" t="s">
        <v>216</v>
      </c>
      <c r="B17" s="122" t="s">
        <v>217</v>
      </c>
      <c r="C17" s="2297" t="s">
        <v>2315</v>
      </c>
      <c r="D17" s="108" t="s">
        <v>204</v>
      </c>
      <c r="E17" s="124" t="s">
        <v>205</v>
      </c>
      <c r="F17" s="125"/>
      <c r="G17" s="1366"/>
      <c r="H17" s="970" t="s">
        <v>218</v>
      </c>
      <c r="I17" s="971" t="s">
        <v>2314</v>
      </c>
      <c r="J17" s="1983"/>
      <c r="K17" s="3289" t="s">
        <v>2567</v>
      </c>
      <c r="L17" s="3290"/>
      <c r="M17" s="3291"/>
      <c r="N17" s="3289" t="s">
        <v>2568</v>
      </c>
      <c r="O17" s="3290"/>
      <c r="P17" s="3291"/>
      <c r="R17" s="2298" t="s">
        <v>2313</v>
      </c>
      <c r="S17" s="144"/>
    </row>
    <row r="18" spans="1:19" ht="15">
      <c r="A18" s="117"/>
      <c r="B18" s="128"/>
      <c r="C18" s="129"/>
      <c r="D18" s="2641"/>
      <c r="E18" s="130" t="s">
        <v>220</v>
      </c>
      <c r="F18" s="131" t="s">
        <v>221</v>
      </c>
      <c r="G18" s="1367" t="s">
        <v>222</v>
      </c>
      <c r="H18" s="972" t="s">
        <v>223</v>
      </c>
      <c r="I18" s="973" t="s">
        <v>224</v>
      </c>
      <c r="J18" s="1983"/>
      <c r="K18" s="2604" t="s">
        <v>2569</v>
      </c>
      <c r="L18" s="2605" t="s">
        <v>2570</v>
      </c>
      <c r="M18" s="2606" t="s">
        <v>2571</v>
      </c>
      <c r="N18" s="2604" t="s">
        <v>2569</v>
      </c>
      <c r="O18" s="2605" t="s">
        <v>2570</v>
      </c>
      <c r="P18" s="2606" t="s">
        <v>2571</v>
      </c>
      <c r="R18" s="2299" t="s">
        <v>2311</v>
      </c>
      <c r="S18" s="2299" t="s">
        <v>2312</v>
      </c>
    </row>
    <row r="19" spans="1:19">
      <c r="A19" s="133"/>
      <c r="B19" s="115" t="s">
        <v>225</v>
      </c>
      <c r="C19" s="3024" t="s">
        <v>3156</v>
      </c>
      <c r="D19" s="111">
        <f t="shared" ref="D19:D26" si="1">ROUND($D$3*E19/$E$3,2)</f>
        <v>32606.49</v>
      </c>
      <c r="E19" s="134">
        <f t="shared" ref="E19:E26" si="2">SUM(F19:G19)</f>
        <v>81516.23</v>
      </c>
      <c r="F19" s="135">
        <f>'数据-基础表'!I13</f>
        <v>81516.23</v>
      </c>
      <c r="G19" s="1368"/>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32606.49</v>
      </c>
      <c r="S19" s="2300">
        <f t="shared" si="5"/>
        <v>81516.23</v>
      </c>
    </row>
    <row r="20" spans="1:19">
      <c r="A20" s="138"/>
      <c r="B20" s="115" t="s">
        <v>226</v>
      </c>
      <c r="C20" s="3024" t="s">
        <v>3157</v>
      </c>
      <c r="D20" s="111">
        <f t="shared" si="1"/>
        <v>13974.21</v>
      </c>
      <c r="E20" s="134">
        <f t="shared" si="2"/>
        <v>34935.53</v>
      </c>
      <c r="F20" s="135">
        <f>'数据-基础表'!K13</f>
        <v>34935.53</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13974.21</v>
      </c>
      <c r="S20" s="2300">
        <f t="shared" si="5"/>
        <v>34935.53</v>
      </c>
    </row>
    <row r="21" spans="1:19">
      <c r="A21" s="138"/>
      <c r="B21" s="115" t="s">
        <v>226</v>
      </c>
      <c r="C21" s="3024"/>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46580.7</v>
      </c>
      <c r="E27" s="143">
        <f>IF(SUM(E19:E26)='数据-基础表'!BA5,SUM(E19:E26),IF(F27="地上面积有误","面积有误","地下面积有误"))</f>
        <v>116451.76</v>
      </c>
      <c r="F27" s="134">
        <f>IF(SUM(F19:F26)=E8,SUM(F19:F26),"地上面积有误")</f>
        <v>116451.76</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46580.7</v>
      </c>
      <c r="S27" s="275">
        <f>IF(SUM(S19:S26)=$E$3,SUM(S19:S26),SUM(S19:S26)&amp;"误差"&amp;ROUND(SUM(S19:S26)-E3,2))</f>
        <v>116451.76</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2324</v>
      </c>
      <c r="D31" s="1372">
        <f>D27+D30</f>
        <v>46580.7</v>
      </c>
      <c r="E31" s="1372">
        <f>E27+E30</f>
        <v>116451.76</v>
      </c>
      <c r="F31" s="1373">
        <f>F27+F30</f>
        <v>116451.76</v>
      </c>
      <c r="G31" s="1374">
        <f>G27+G30</f>
        <v>0</v>
      </c>
      <c r="H31" s="1983"/>
      <c r="I31" s="1983"/>
      <c r="J31" s="1983"/>
      <c r="K31" s="1983"/>
      <c r="L31" s="1983"/>
    </row>
    <row r="32" spans="1:19">
      <c r="A32" s="1983"/>
      <c r="B32" s="2362" t="s">
        <v>2323</v>
      </c>
      <c r="C32" s="2646"/>
      <c r="D32" s="1201"/>
      <c r="E32" s="1201">
        <f>SUMIF(C19:C26,"*住宅*",E19:E26)</f>
        <v>81516.23</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43606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20" t="s">
        <v>2572</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67210</v>
      </c>
      <c r="F6" s="174">
        <f>SUMIF(项目基本情况!D$15:I$15,C6,项目基本情况!D$19:I$19)</f>
        <v>64.66</v>
      </c>
      <c r="G6" s="175">
        <f>IF(ISERROR(ROUND(POWER(1+H6,D6-F6)*(POWER(1+H6,F6)-1)/(POWER(1+H6,D6)-1),3)),0,ROUND(POWER(1+H6,D6-F6)*(POWER(1+H6,F6)-1)/(POWER(1+H6,D6)-1),3))</f>
        <v>0.98699999999999999</v>
      </c>
      <c r="H6" s="3025">
        <v>4.4999999999999998E-2</v>
      </c>
      <c r="I6" s="3025">
        <v>0.05</v>
      </c>
      <c r="J6" s="176">
        <v>8.5000000000000006E-2</v>
      </c>
      <c r="K6" s="179">
        <f>SUMIF('数据-汇总表'!C$19:C$33,'数据-取费表'!A6,'数据-汇总表'!E$19:E$33)</f>
        <v>81516.23</v>
      </c>
      <c r="L6" s="3026">
        <v>2000</v>
      </c>
      <c r="M6" s="177">
        <f t="shared" ref="M6:M14" si="0">ROUND(K6*L6/10000,0)</f>
        <v>16303</v>
      </c>
      <c r="N6" s="3027">
        <v>0</v>
      </c>
      <c r="O6" s="177">
        <f>IF($N$5="成新度","——",ROUND(M6*N6,0))</f>
        <v>0</v>
      </c>
      <c r="P6" s="178">
        <f>IF($N$5="成新度","——",M6-O6)</f>
        <v>16303</v>
      </c>
      <c r="Q6" s="3028">
        <v>0.15</v>
      </c>
      <c r="R6" s="179">
        <f>SUMIF('数据-汇总表'!C$19:C$33,A6,'数据-汇总表'!R$19:R$33)</f>
        <v>32606.49</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9">
        <v>0.01</v>
      </c>
      <c r="AN6" s="2391"/>
      <c r="AO6" s="1999"/>
      <c r="AP6" s="1204">
        <f>ROUND(1-1/(1+H6)^F6,3)</f>
        <v>0.94199999999999995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2998</v>
      </c>
      <c r="D7" s="2307">
        <f>SUMIF(项目基本情况!D$15:I$15,C7,项目基本情况!D$18:I$18)</f>
        <v>40</v>
      </c>
      <c r="E7" s="2308">
        <f>IF(B7="","",SUMIF(项目基本情况!D$15:I$15,C7,项目基本情况!D$17:I$17))</f>
        <v>56254</v>
      </c>
      <c r="F7" s="174">
        <f>SUMIF(项目基本情况!D$15:I$15,C7,项目基本情况!D$19:I$19)</f>
        <v>34.65</v>
      </c>
      <c r="G7" s="175">
        <f t="shared" ref="G7:G11" si="2">IF(ISERROR(ROUND(POWER(1+H7,D7-F7)*(POWER(1+H7,F7)-1)/(POWER(1+H7,D7)-1),3)),0,ROUND(POWER(1+H7,D7-F7)*(POWER(1+H7,F7)-1)/(POWER(1+H7,D7)-1),3))</f>
        <v>0.95099999999999996</v>
      </c>
      <c r="H7" s="3025">
        <v>0.05</v>
      </c>
      <c r="I7" s="3025">
        <v>5.5E-2</v>
      </c>
      <c r="J7" s="176">
        <v>8.5000000000000006E-2</v>
      </c>
      <c r="K7" s="179">
        <f>SUMIF('数据-汇总表'!C$19:C$33,'数据-取费表'!A7,'数据-汇总表'!E$19:E$33)</f>
        <v>34935.53</v>
      </c>
      <c r="L7" s="3026">
        <v>2800</v>
      </c>
      <c r="M7" s="177">
        <f t="shared" si="0"/>
        <v>9782</v>
      </c>
      <c r="N7" s="3027">
        <v>0</v>
      </c>
      <c r="O7" s="177">
        <f t="shared" ref="O7:O14" si="3">IF($N$5="成新度","——",ROUND(M7*N7,0))</f>
        <v>0</v>
      </c>
      <c r="P7" s="178">
        <f t="shared" ref="P7:P14" si="4">IF($N$5="成新度","——",M7-O7)</f>
        <v>9782</v>
      </c>
      <c r="Q7" s="3028">
        <v>0.15</v>
      </c>
      <c r="R7" s="179">
        <f>SUMIF('数据-汇总表'!C$19:C$33,A7,'数据-汇总表'!R$19:R$33)</f>
        <v>13974.21</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1.3</v>
      </c>
      <c r="V7" s="181">
        <v>2.5000000000000001E-2</v>
      </c>
      <c r="W7" s="181">
        <v>0.1</v>
      </c>
      <c r="X7" s="2320"/>
      <c r="Y7" s="182">
        <v>1</v>
      </c>
      <c r="Z7" s="183"/>
      <c r="AA7" s="176"/>
      <c r="AB7" s="176"/>
      <c r="AC7" s="2323"/>
      <c r="AD7" s="184"/>
      <c r="AE7" s="972">
        <f t="shared" ref="AE7:AE13" ca="1" si="6">IF(AN7="",0,SUMIF(INDIRECT("'"&amp;AN7&amp;"'"&amp;"!E:E"),$AE$5,INDIRECT("'"&amp;AN7&amp;"'"&amp;"!F:F")))</f>
        <v>32.65</v>
      </c>
      <c r="AF7" s="141"/>
      <c r="AG7" s="1213">
        <f t="shared" ref="AG7:AG13" si="7">IF(AF7="",0,AE7-AF7)</f>
        <v>0</v>
      </c>
      <c r="AH7" s="141"/>
      <c r="AI7" s="187">
        <v>365</v>
      </c>
      <c r="AJ7" s="188"/>
      <c r="AK7" s="189">
        <v>1.4999999999999999E-2</v>
      </c>
      <c r="AL7" s="190">
        <v>1.5E-3</v>
      </c>
      <c r="AM7" s="3039">
        <v>0.01</v>
      </c>
      <c r="AN7" s="2391" t="s">
        <v>3010</v>
      </c>
      <c r="AO7" s="1999"/>
      <c r="AP7" s="1204">
        <f t="shared" ref="AP7:AP13" si="8">ROUND(1-1/(1+H7)^F7,3)</f>
        <v>0.81599999999999995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1680</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1680</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0.97599999999999998</v>
      </c>
      <c r="H16" s="203">
        <f>ROUND(SUMPRODUCT(H6:H13,K6:K13)/SUMPRODUCT((H6:H13&gt;0)*(K6:K13)),3)</f>
        <v>4.7E-2</v>
      </c>
      <c r="I16" s="204"/>
      <c r="J16" s="204"/>
      <c r="K16" s="205">
        <f>SUM(K6:K15)</f>
        <v>116451.76</v>
      </c>
      <c r="L16" s="206">
        <f>ROUND(M16*10000/SUM(K6:K14),0)</f>
        <v>2240</v>
      </c>
      <c r="M16" s="206">
        <f>SUM(M6:M14)</f>
        <v>26085</v>
      </c>
      <c r="N16" s="207">
        <f>ROUND(SUMPRODUCT(M6:M14,N6:N14)/M16,3)</f>
        <v>0</v>
      </c>
      <c r="O16" s="206">
        <f>SUM(O6:O14)</f>
        <v>0</v>
      </c>
      <c r="P16" s="206">
        <f>SUM(P6:P14)</f>
        <v>26085</v>
      </c>
      <c r="Q16" s="208">
        <f>ROUND(SUMPRODUCT(Q6:Q13,K6:K13)/SUMPRODUCT((Q6:Q13&gt;0)*(K6:K13)),2)</f>
        <v>0.15</v>
      </c>
      <c r="R16" s="2310">
        <f>SUM(R6:R13)</f>
        <v>46580.7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0.90400000000000003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90</v>
      </c>
      <c r="C27" s="3074" t="s">
        <v>3009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3179"/>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2891</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2457</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4"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76" t="s">
        <v>2901</v>
      </c>
      <c r="D53" s="3077"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2903</v>
      </c>
      <c r="B54" s="186">
        <v>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2904</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2905</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2906</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2907</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2908</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1" t="s">
        <v>1664</v>
      </c>
      <c r="B1" s="3302"/>
      <c r="C1" s="3302"/>
      <c r="D1" s="3302"/>
      <c r="E1" s="3302"/>
      <c r="F1" s="3302"/>
      <c r="G1" s="3302"/>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81" t="s">
        <v>2919</v>
      </c>
      <c r="D3" s="2008"/>
      <c r="E3" s="1229" t="s">
        <v>1667</v>
      </c>
      <c r="F3" s="1230" t="s">
        <v>1655</v>
      </c>
      <c r="G3" s="3085" t="s">
        <v>2918</v>
      </c>
      <c r="H3" s="2007"/>
      <c r="I3" s="2007"/>
      <c r="J3" s="2007"/>
      <c r="K3" s="2007"/>
      <c r="L3" s="2007"/>
      <c r="M3" s="2007"/>
      <c r="N3" s="2007"/>
      <c r="O3" s="2007"/>
      <c r="P3" s="2007"/>
      <c r="Q3" s="2007"/>
      <c r="R3" s="2007"/>
    </row>
    <row r="4" spans="1:18" ht="41.25">
      <c r="A4" s="1229"/>
      <c r="B4" s="1231" t="s">
        <v>1668</v>
      </c>
      <c r="C4" s="3082" t="s">
        <v>2920</v>
      </c>
      <c r="D4" s="2008"/>
      <c r="E4" s="1232"/>
      <c r="F4" s="1233" t="s">
        <v>1669</v>
      </c>
      <c r="G4" s="3083" t="s">
        <v>2915</v>
      </c>
      <c r="H4" s="2007"/>
      <c r="I4" s="2007"/>
      <c r="J4" s="2007"/>
      <c r="K4" s="2007"/>
      <c r="L4" s="2007"/>
      <c r="M4" s="2007"/>
      <c r="N4" s="2007"/>
      <c r="O4" s="2007"/>
      <c r="P4" s="2007"/>
      <c r="Q4" s="2007"/>
      <c r="R4" s="2007"/>
    </row>
    <row r="5" spans="1:18" ht="41.25">
      <c r="A5" s="1229"/>
      <c r="B5" s="1231" t="s">
        <v>1670</v>
      </c>
      <c r="C5" s="3082" t="s">
        <v>2921</v>
      </c>
      <c r="D5" s="2008"/>
      <c r="E5" s="1232"/>
      <c r="F5" s="1231" t="s">
        <v>2546</v>
      </c>
      <c r="G5" s="3083" t="s">
        <v>2916</v>
      </c>
      <c r="H5" s="2007"/>
      <c r="I5" s="2007"/>
      <c r="J5" s="2007"/>
      <c r="K5" s="2007"/>
      <c r="L5" s="2007"/>
      <c r="M5" s="2007"/>
      <c r="N5" s="2007"/>
      <c r="O5" s="2007"/>
      <c r="P5" s="2007"/>
      <c r="Q5" s="2007"/>
      <c r="R5" s="2007"/>
    </row>
    <row r="6" spans="1:18" ht="54">
      <c r="A6" s="1229"/>
      <c r="B6" s="1231" t="s">
        <v>1656</v>
      </c>
      <c r="C6" s="3083" t="s">
        <v>2915</v>
      </c>
      <c r="D6" s="2008"/>
      <c r="E6" s="1232"/>
      <c r="F6" s="1231" t="s">
        <v>2547</v>
      </c>
      <c r="G6" s="3083" t="s">
        <v>2913</v>
      </c>
      <c r="H6" s="2007"/>
      <c r="I6" s="2007"/>
      <c r="J6" s="2007"/>
      <c r="K6" s="2007"/>
      <c r="L6" s="2007"/>
      <c r="M6" s="2007"/>
      <c r="N6" s="2007"/>
      <c r="O6" s="2007"/>
      <c r="P6" s="2007"/>
      <c r="Q6" s="2007"/>
      <c r="R6" s="2007"/>
    </row>
    <row r="7" spans="1:18" ht="41.25" thickBot="1">
      <c r="A7" s="1229"/>
      <c r="B7" s="1231" t="s">
        <v>2546</v>
      </c>
      <c r="C7" s="3083" t="s">
        <v>2916</v>
      </c>
      <c r="D7" s="2009"/>
      <c r="E7" s="1234"/>
      <c r="F7" s="1235" t="s">
        <v>1671</v>
      </c>
      <c r="G7" s="3086" t="s">
        <v>2917</v>
      </c>
      <c r="H7" s="2007"/>
      <c r="I7" s="2007"/>
      <c r="J7" s="2007"/>
      <c r="K7" s="2007"/>
      <c r="L7" s="2007"/>
      <c r="M7" s="2007"/>
      <c r="N7" s="2007"/>
      <c r="O7" s="2007"/>
      <c r="P7" s="2007"/>
      <c r="Q7" s="2007"/>
      <c r="R7" s="2007"/>
    </row>
    <row r="8" spans="1:18" ht="27">
      <c r="A8" s="1229"/>
      <c r="B8" s="1231" t="s">
        <v>2547</v>
      </c>
      <c r="C8" s="3083" t="s">
        <v>2913</v>
      </c>
      <c r="D8" s="2009"/>
      <c r="E8" s="2009"/>
      <c r="F8" s="1553"/>
      <c r="G8" s="1553"/>
      <c r="H8" s="2007"/>
      <c r="I8" s="2007"/>
      <c r="J8" s="2007"/>
      <c r="K8" s="2007"/>
      <c r="L8" s="2007"/>
      <c r="M8" s="2007"/>
      <c r="N8" s="2007"/>
      <c r="O8" s="2007"/>
      <c r="P8" s="2007"/>
      <c r="Q8" s="2007"/>
      <c r="R8" s="2007"/>
    </row>
    <row r="9" spans="1:18" ht="40.5">
      <c r="A9" s="1229"/>
      <c r="B9" s="1231" t="s">
        <v>1657</v>
      </c>
      <c r="C9" s="3082" t="s">
        <v>2914</v>
      </c>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084"/>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4"/>
      <c r="E13" s="2577"/>
      <c r="F13" s="2577"/>
      <c r="G13" s="2577"/>
    </row>
    <row r="14" spans="1:18" ht="14.25" thickBot="1">
      <c r="A14" s="1238"/>
      <c r="B14" s="1239"/>
      <c r="C14" s="1240" t="s">
        <v>1665</v>
      </c>
      <c r="D14" s="2008"/>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08"/>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08"/>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09"/>
      <c r="E17" s="2585"/>
      <c r="F17" s="1247" t="s">
        <v>1675</v>
      </c>
      <c r="G17" s="2793"/>
    </row>
    <row r="18" spans="1:7" ht="54">
      <c r="A18" s="2588"/>
      <c r="B18" s="1247" t="s">
        <v>1656</v>
      </c>
      <c r="C18" s="1005" t="str">
        <f>C6</f>
        <v>估价对象周边道路状况、公共交通通达情况、停车便捷程度，综合评价交通便捷度较好</v>
      </c>
      <c r="D18" s="2009"/>
      <c r="E18" s="2585"/>
      <c r="F18" s="1247" t="s">
        <v>1671</v>
      </c>
      <c r="G18" s="1005" t="str">
        <f>G7</f>
        <v>该园区内是否有污染型企业，绿化情况，卫生条件，整体环境状况判断</v>
      </c>
    </row>
    <row r="19" spans="1:7" ht="27">
      <c r="A19" s="2588"/>
      <c r="B19" s="1247" t="s">
        <v>1660</v>
      </c>
      <c r="C19" s="2793"/>
      <c r="D19" s="2008"/>
      <c r="E19" s="2585"/>
      <c r="F19" s="1231" t="s">
        <v>2546</v>
      </c>
      <c r="G19" s="1005" t="str">
        <f>G5</f>
        <v>估价对象所在区域公共配套设施齐备情况</v>
      </c>
    </row>
    <row r="20" spans="1:7" ht="40.5">
      <c r="A20" s="2588"/>
      <c r="B20" s="1247" t="s">
        <v>1661</v>
      </c>
      <c r="C20" s="1246" t="str">
        <f>C9</f>
        <v>区域自然环境：；人文环境；综合评价环境状况一般</v>
      </c>
      <c r="D20" s="2009"/>
      <c r="E20" s="2585"/>
      <c r="F20" s="1231" t="s">
        <v>2547</v>
      </c>
      <c r="G20" s="1005" t="str">
        <f>G6</f>
        <v>估价对象所在区域基础设施水平</v>
      </c>
    </row>
    <row r="21" spans="1:7" ht="27">
      <c r="A21" s="2588"/>
      <c r="B21" s="1231" t="s">
        <v>2546</v>
      </c>
      <c r="C21" s="1005" t="str">
        <f>C7</f>
        <v>估价对象所在区域公共配套设施齐备情况</v>
      </c>
      <c r="D21" s="2008"/>
      <c r="E21" s="2585"/>
      <c r="F21" s="1247" t="s">
        <v>1662</v>
      </c>
      <c r="G21" s="3087"/>
    </row>
    <row r="22" spans="1:7" ht="27">
      <c r="A22" s="2588"/>
      <c r="B22" s="1231" t="s">
        <v>2547</v>
      </c>
      <c r="C22" s="1005" t="str">
        <f>C8</f>
        <v>估价对象所在区域基础设施水平</v>
      </c>
      <c r="D22" s="2008"/>
      <c r="E22" s="2585"/>
      <c r="F22" s="1247" t="s">
        <v>1672</v>
      </c>
      <c r="G22" s="2793"/>
    </row>
    <row r="23" spans="1:7" ht="15" thickBot="1">
      <c r="A23" s="2588"/>
      <c r="B23" s="1247" t="s">
        <v>1662</v>
      </c>
      <c r="C23" s="3087"/>
      <c r="E23" s="2586"/>
      <c r="F23" s="1248" t="s">
        <v>1676</v>
      </c>
      <c r="G23" s="3088"/>
    </row>
    <row r="24" spans="1:7" ht="14.25" thickBot="1">
      <c r="A24" s="2589"/>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7" sqref="F7"/>
    </sheetView>
  </sheetViews>
  <sheetFormatPr defaultColWidth="14.625" defaultRowHeight="13.5"/>
  <cols>
    <col min="1" max="1" width="24.375" customWidth="1"/>
  </cols>
  <sheetData>
    <row r="1" spans="1:9" ht="16.5">
      <c r="A1" s="3045" t="s">
        <v>2843</v>
      </c>
      <c r="B1" s="3045">
        <f>SUM(B14:B23)</f>
        <v>116451.76</v>
      </c>
      <c r="C1" s="3046"/>
      <c r="D1" s="3046"/>
      <c r="E1" s="3046"/>
      <c r="F1" s="3046"/>
    </row>
    <row r="2" spans="1:9" ht="16.5">
      <c r="A2" s="3045" t="s">
        <v>2844</v>
      </c>
      <c r="B2" s="3045">
        <f>SUM(C14:C23)</f>
        <v>46580.7</v>
      </c>
      <c r="C2" s="3046"/>
      <c r="D2" s="3046"/>
      <c r="E2" s="3046"/>
      <c r="F2" s="3046"/>
    </row>
    <row r="3" spans="1:9" ht="16.5">
      <c r="A3" s="3045" t="s">
        <v>2845</v>
      </c>
      <c r="B3" s="3047">
        <f>项目基本情况!D3</f>
        <v>43606</v>
      </c>
      <c r="C3" s="3046"/>
      <c r="D3" s="3046"/>
      <c r="E3" s="3046"/>
      <c r="F3" s="3046"/>
    </row>
    <row r="4" spans="1:9" ht="33">
      <c r="A4" s="3045" t="s">
        <v>2846</v>
      </c>
      <c r="B4" s="3045" t="s">
        <v>2847</v>
      </c>
      <c r="C4" s="3045" t="s">
        <v>2848</v>
      </c>
      <c r="D4" s="3045" t="s">
        <v>2849</v>
      </c>
      <c r="E4" s="3046"/>
      <c r="F4" s="3046"/>
    </row>
    <row r="5" spans="1:9" ht="16.5">
      <c r="A5" s="3045" t="s">
        <v>2850</v>
      </c>
      <c r="B5" s="3045">
        <f ca="1">SUM(D14:D23)</f>
        <v>17837</v>
      </c>
      <c r="C5" s="3045">
        <f ca="1">ROUND(B5*10000/$B$1,0)</f>
        <v>1532</v>
      </c>
      <c r="D5" s="3045">
        <f ca="1">ROUND(B5*10000/$B$2,0)</f>
        <v>3829</v>
      </c>
      <c r="E5" s="3046"/>
      <c r="F5" s="3046"/>
    </row>
    <row r="6" spans="1:9" ht="16.5">
      <c r="A6" s="3045" t="s">
        <v>2851</v>
      </c>
      <c r="B6" s="3045">
        <f ca="1">SUM(G14:G23)</f>
        <v>17837</v>
      </c>
      <c r="C6" s="3045">
        <f t="shared" ref="C6:C8" ca="1" si="0">ROUND(B6*10000/$B$1,0)</f>
        <v>1532</v>
      </c>
      <c r="D6" s="3045">
        <f t="shared" ref="D6:D8" ca="1" si="1">ROUND(B6*10000/$B$2,0)</f>
        <v>3829</v>
      </c>
      <c r="E6" s="3046"/>
      <c r="F6" s="3046"/>
    </row>
    <row r="7" spans="1:9" ht="16.5">
      <c r="A7" s="3045" t="s">
        <v>2852</v>
      </c>
      <c r="B7" s="3045">
        <f>SUM(H14:H23)</f>
        <v>0</v>
      </c>
      <c r="C7" s="3045">
        <f t="shared" si="0"/>
        <v>0</v>
      </c>
      <c r="D7" s="3045">
        <f t="shared" si="1"/>
        <v>0</v>
      </c>
      <c r="E7" s="3046"/>
      <c r="F7" s="3046"/>
    </row>
    <row r="8" spans="1:9" ht="16.5">
      <c r="A8" s="3045" t="s">
        <v>2853</v>
      </c>
      <c r="B8" s="3045">
        <f>SUM(I14:I23)</f>
        <v>0</v>
      </c>
      <c r="C8" s="3045">
        <f t="shared" si="0"/>
        <v>0</v>
      </c>
      <c r="D8" s="3045">
        <f t="shared" si="1"/>
        <v>0</v>
      </c>
      <c r="E8" s="3046"/>
      <c r="F8" s="3046"/>
    </row>
    <row r="9" spans="1:9" ht="16.5">
      <c r="A9" s="3045" t="s">
        <v>2854</v>
      </c>
      <c r="B9" s="3048"/>
      <c r="C9" s="3046"/>
      <c r="D9" s="3046"/>
      <c r="E9" s="3046"/>
      <c r="F9" s="3046"/>
    </row>
    <row r="10" spans="1:9" ht="16.5">
      <c r="A10" s="3045" t="s">
        <v>2855</v>
      </c>
      <c r="B10" s="3048"/>
      <c r="C10" s="3046"/>
      <c r="D10" s="3046"/>
      <c r="E10" s="3046"/>
      <c r="F10" s="3046"/>
    </row>
    <row r="11" spans="1:9" ht="16.5">
      <c r="A11" s="3045" t="s">
        <v>2872</v>
      </c>
      <c r="B11" s="3048"/>
      <c r="C11" s="3046"/>
      <c r="D11" s="3046"/>
      <c r="E11" s="3046"/>
      <c r="F11" s="3046"/>
    </row>
    <row r="12" spans="1:9" ht="16.5">
      <c r="A12" s="3046"/>
      <c r="B12" s="3046"/>
      <c r="C12" s="3046"/>
      <c r="D12" s="3046"/>
      <c r="E12" s="3046"/>
      <c r="F12" s="3046"/>
    </row>
    <row r="13" spans="1:9" ht="33">
      <c r="A13" s="3051" t="s">
        <v>2871</v>
      </c>
      <c r="B13" s="3049" t="s">
        <v>2843</v>
      </c>
      <c r="C13" s="3049" t="s">
        <v>2844</v>
      </c>
      <c r="D13" s="3049" t="s">
        <v>2856</v>
      </c>
      <c r="E13" s="3045" t="s">
        <v>2870</v>
      </c>
      <c r="F13" s="3045" t="s">
        <v>2849</v>
      </c>
      <c r="G13" s="3049" t="s">
        <v>2857</v>
      </c>
      <c r="H13" s="3049" t="s">
        <v>2858</v>
      </c>
      <c r="I13" s="3049" t="s">
        <v>2859</v>
      </c>
    </row>
    <row r="14" spans="1:9" ht="16.5">
      <c r="A14" s="3052" t="s">
        <v>2869</v>
      </c>
      <c r="B14" s="3049">
        <f>结果表!L38</f>
        <v>116451.76</v>
      </c>
      <c r="C14" s="3049">
        <f>结果表!K38</f>
        <v>46580.7</v>
      </c>
      <c r="D14" s="3049">
        <f ca="1">结果表!C42</f>
        <v>17837</v>
      </c>
      <c r="E14" s="3049">
        <f ca="1">ROUND(D14*10000/B14,0)</f>
        <v>1532</v>
      </c>
      <c r="F14" s="3049">
        <f ca="1">ROUND(D14*10000/C14,0)</f>
        <v>3829</v>
      </c>
      <c r="G14" s="3049">
        <f ca="1">结果表!C44</f>
        <v>17837</v>
      </c>
      <c r="H14" s="3049" t="str">
        <f>结果表!C45</f>
        <v>——</v>
      </c>
      <c r="I14" s="3049" t="str">
        <f>结果表!C46</f>
        <v>——</v>
      </c>
    </row>
    <row r="15" spans="1:9" ht="16.5">
      <c r="A15" s="3052" t="s">
        <v>2860</v>
      </c>
      <c r="B15" s="3204"/>
      <c r="C15" s="3204"/>
      <c r="D15" s="3204"/>
      <c r="E15" s="3049" t="e">
        <f t="shared" ref="E15:E23" si="2">ROUND(D15*10000/B15,0)</f>
        <v>#DIV/0!</v>
      </c>
      <c r="F15" s="3049" t="e">
        <f t="shared" ref="F15:F23" si="3">ROUND(D15*10000/C15,0)</f>
        <v>#DIV/0!</v>
      </c>
      <c r="G15" s="3204"/>
      <c r="H15" s="3204"/>
      <c r="I15" s="3204"/>
    </row>
    <row r="16" spans="1:9" ht="16.5">
      <c r="A16" s="3052" t="s">
        <v>2861</v>
      </c>
      <c r="B16" s="3053"/>
      <c r="C16" s="3053"/>
      <c r="D16" s="3053"/>
      <c r="E16" s="3049" t="e">
        <f t="shared" si="2"/>
        <v>#DIV/0!</v>
      </c>
      <c r="F16" s="3049" t="e">
        <f t="shared" si="3"/>
        <v>#DIV/0!</v>
      </c>
      <c r="G16" s="3050"/>
      <c r="H16" s="3050"/>
      <c r="I16" s="3053"/>
    </row>
    <row r="17" spans="1:9" ht="16.5">
      <c r="A17" s="3052" t="s">
        <v>2862</v>
      </c>
      <c r="B17" s="3053"/>
      <c r="C17" s="3053"/>
      <c r="D17" s="3053"/>
      <c r="E17" s="3049" t="e">
        <f t="shared" si="2"/>
        <v>#DIV/0!</v>
      </c>
      <c r="F17" s="3049" t="e">
        <f t="shared" si="3"/>
        <v>#DIV/0!</v>
      </c>
      <c r="G17" s="3050"/>
      <c r="H17" s="3050"/>
      <c r="I17" s="3053"/>
    </row>
    <row r="18" spans="1:9" ht="16.5">
      <c r="A18" s="3052" t="s">
        <v>2863</v>
      </c>
      <c r="B18" s="3053"/>
      <c r="C18" s="3053"/>
      <c r="D18" s="3053"/>
      <c r="E18" s="3049" t="e">
        <f t="shared" si="2"/>
        <v>#DIV/0!</v>
      </c>
      <c r="F18" s="3049" t="e">
        <f t="shared" si="3"/>
        <v>#DIV/0!</v>
      </c>
      <c r="G18" s="3053"/>
      <c r="H18" s="3053"/>
      <c r="I18" s="3053"/>
    </row>
    <row r="19" spans="1:9" ht="16.5">
      <c r="A19" s="3052" t="s">
        <v>2864</v>
      </c>
      <c r="B19" s="3053"/>
      <c r="C19" s="3053"/>
      <c r="D19" s="3053"/>
      <c r="E19" s="3049" t="e">
        <f t="shared" si="2"/>
        <v>#DIV/0!</v>
      </c>
      <c r="F19" s="3049" t="e">
        <f t="shared" si="3"/>
        <v>#DIV/0!</v>
      </c>
      <c r="G19" s="3053"/>
      <c r="H19" s="3053"/>
      <c r="I19" s="3053"/>
    </row>
    <row r="20" spans="1:9" ht="16.5">
      <c r="A20" s="3052" t="s">
        <v>2865</v>
      </c>
      <c r="B20" s="3053"/>
      <c r="C20" s="3053"/>
      <c r="D20" s="3053"/>
      <c r="E20" s="3049" t="e">
        <f t="shared" si="2"/>
        <v>#DIV/0!</v>
      </c>
      <c r="F20" s="3049" t="e">
        <f t="shared" si="3"/>
        <v>#DIV/0!</v>
      </c>
      <c r="G20" s="3053"/>
      <c r="H20" s="3053"/>
      <c r="I20" s="3053"/>
    </row>
    <row r="21" spans="1:9" ht="16.5">
      <c r="A21" s="3052" t="s">
        <v>2866</v>
      </c>
      <c r="B21" s="3053"/>
      <c r="C21" s="3053"/>
      <c r="D21" s="3053"/>
      <c r="E21" s="3049" t="e">
        <f t="shared" si="2"/>
        <v>#DIV/0!</v>
      </c>
      <c r="F21" s="3049" t="e">
        <f t="shared" si="3"/>
        <v>#DIV/0!</v>
      </c>
      <c r="G21" s="3053"/>
      <c r="H21" s="3053"/>
      <c r="I21" s="3053"/>
    </row>
    <row r="22" spans="1:9" ht="16.5">
      <c r="A22" s="3052" t="s">
        <v>2867</v>
      </c>
      <c r="B22" s="3053"/>
      <c r="C22" s="3053"/>
      <c r="D22" s="3053"/>
      <c r="E22" s="3049" t="e">
        <f t="shared" si="2"/>
        <v>#DIV/0!</v>
      </c>
      <c r="F22" s="3049" t="e">
        <f t="shared" si="3"/>
        <v>#DIV/0!</v>
      </c>
      <c r="G22" s="3053"/>
      <c r="H22" s="3053"/>
      <c r="I22" s="3053"/>
    </row>
    <row r="23" spans="1:9" ht="16.5">
      <c r="A23" s="3052" t="s">
        <v>2868</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2057</v>
      </c>
      <c r="B1" s="1776"/>
      <c r="C1" s="1804" t="s">
        <v>2058</v>
      </c>
      <c r="D1" s="1805" t="s">
        <v>3016</v>
      </c>
      <c r="E1" s="1804" t="s">
        <v>2059</v>
      </c>
      <c r="F1" s="1806" t="s">
        <v>3017</v>
      </c>
      <c r="G1" s="311"/>
      <c r="H1" s="311"/>
      <c r="I1" s="311"/>
      <c r="J1" s="2028"/>
      <c r="K1" s="2028"/>
      <c r="L1" s="2028"/>
      <c r="M1" s="2028"/>
      <c r="N1" s="2028"/>
      <c r="O1" s="2028"/>
      <c r="P1" s="2028"/>
      <c r="Q1" s="2028"/>
      <c r="R1" s="2028"/>
      <c r="S1" s="2028"/>
      <c r="T1" s="2028"/>
      <c r="U1" s="2028"/>
      <c r="V1" s="2028"/>
    </row>
    <row r="2" spans="1:22" ht="21.75" customHeight="1" thickBot="1">
      <c r="A2" s="3348" t="str">
        <f>项目基本情况!K2</f>
        <v>江苏省盐城市建湖县双湖路北、秀夫路两侧地块二320925100203GB00021W00000000号一宗其他商服用用地出让国有建设用地使用权</v>
      </c>
      <c r="B2" s="3349"/>
      <c r="C2" s="3350"/>
      <c r="D2" s="3350"/>
      <c r="E2" s="3350"/>
      <c r="F2" s="3350"/>
      <c r="G2" s="3349"/>
      <c r="H2" s="3349"/>
      <c r="I2" s="3351"/>
      <c r="J2" s="2029"/>
      <c r="K2" s="2028"/>
      <c r="L2" s="2028"/>
      <c r="M2" s="2028"/>
      <c r="N2" s="2028"/>
      <c r="O2" s="2028"/>
      <c r="P2" s="2028"/>
      <c r="Q2" s="2028"/>
      <c r="R2" s="2028"/>
      <c r="S2" s="2028"/>
      <c r="T2" s="2028"/>
      <c r="U2" s="2028"/>
      <c r="V2" s="2028"/>
    </row>
    <row r="3" spans="1:22" ht="14.25">
      <c r="A3" s="3359" t="s">
        <v>298</v>
      </c>
      <c r="B3" s="3360"/>
      <c r="C3" s="3360"/>
      <c r="D3" s="3360"/>
      <c r="E3" s="3360"/>
      <c r="F3" s="3360"/>
      <c r="G3" s="3360"/>
      <c r="H3" s="3360"/>
      <c r="I3" s="3360"/>
      <c r="J3" s="2029"/>
      <c r="K3" s="2028"/>
      <c r="L3" s="2028"/>
      <c r="M3" s="2028"/>
      <c r="N3" s="2028"/>
      <c r="O3" s="2028"/>
      <c r="P3" s="2028"/>
      <c r="Q3" s="2028"/>
      <c r="R3" s="2028"/>
      <c r="S3" s="2028"/>
      <c r="T3" s="2028"/>
      <c r="U3" s="2028"/>
      <c r="V3" s="2028"/>
    </row>
    <row r="4" spans="1:22" ht="14.25">
      <c r="A4" s="258" t="s">
        <v>299</v>
      </c>
      <c r="B4" s="259" t="s">
        <v>300</v>
      </c>
      <c r="C4" s="260" t="s">
        <v>3014</v>
      </c>
      <c r="D4" s="260" t="s">
        <v>3015</v>
      </c>
      <c r="E4" s="3323" t="s">
        <v>301</v>
      </c>
      <c r="F4" s="3365"/>
      <c r="G4" s="3365"/>
      <c r="H4" s="3365"/>
      <c r="I4" s="3324"/>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2" t="s">
        <v>302</v>
      </c>
      <c r="B5" s="3353">
        <v>25</v>
      </c>
      <c r="C5" s="3361"/>
      <c r="D5" s="3364"/>
      <c r="E5" s="261" t="s">
        <v>303</v>
      </c>
      <c r="F5" s="262"/>
      <c r="G5" s="262"/>
      <c r="H5" s="262"/>
      <c r="I5" s="263"/>
      <c r="J5" s="2029"/>
      <c r="K5" s="2028"/>
      <c r="L5" s="2028"/>
      <c r="M5" s="2028"/>
      <c r="N5" s="2028"/>
      <c r="O5" s="2028"/>
      <c r="P5" s="2028"/>
      <c r="Q5" s="2028"/>
      <c r="R5" s="2028"/>
      <c r="S5" s="2028"/>
      <c r="T5" s="2028"/>
      <c r="U5" s="2028"/>
      <c r="V5" s="2028"/>
    </row>
    <row r="6" spans="1:22" ht="14.25">
      <c r="A6" s="3352"/>
      <c r="B6" s="3353"/>
      <c r="C6" s="3362"/>
      <c r="D6" s="3364"/>
      <c r="E6" s="261" t="s">
        <v>304</v>
      </c>
      <c r="F6" s="262"/>
      <c r="G6" s="262"/>
      <c r="H6" s="262"/>
      <c r="I6" s="263"/>
      <c r="J6" s="2029"/>
      <c r="K6" s="2028"/>
      <c r="L6" s="2028"/>
      <c r="M6" s="2028"/>
      <c r="N6" s="2028"/>
      <c r="O6" s="2028"/>
      <c r="P6" s="2028"/>
      <c r="Q6" s="2028"/>
      <c r="R6" s="2028"/>
      <c r="S6" s="2028"/>
      <c r="T6" s="2028"/>
      <c r="U6" s="2028"/>
      <c r="V6" s="2028"/>
    </row>
    <row r="7" spans="1:22" ht="14.25">
      <c r="A7" s="3352"/>
      <c r="B7" s="3353"/>
      <c r="C7" s="3363"/>
      <c r="D7" s="3364"/>
      <c r="E7" s="261" t="s">
        <v>305</v>
      </c>
      <c r="F7" s="262"/>
      <c r="G7" s="262"/>
      <c r="H7" s="262"/>
      <c r="I7" s="263"/>
      <c r="J7" s="2029"/>
      <c r="K7" s="2028"/>
      <c r="L7" s="2028"/>
      <c r="M7" s="2028"/>
      <c r="N7" s="2028"/>
      <c r="O7" s="2028"/>
      <c r="P7" s="2028"/>
      <c r="Q7" s="2028"/>
      <c r="R7" s="2028"/>
      <c r="S7" s="2028"/>
      <c r="T7" s="2028"/>
      <c r="U7" s="2028"/>
      <c r="V7" s="2028"/>
    </row>
    <row r="8" spans="1:22" ht="14.25">
      <c r="A8" s="3352" t="s">
        <v>306</v>
      </c>
      <c r="B8" s="3353">
        <v>15</v>
      </c>
      <c r="C8" s="3361"/>
      <c r="D8" s="3364"/>
      <c r="E8" s="261" t="s">
        <v>307</v>
      </c>
      <c r="F8" s="262"/>
      <c r="G8" s="262"/>
      <c r="H8" s="262"/>
      <c r="I8" s="263"/>
      <c r="J8" s="2029"/>
      <c r="K8" s="2028"/>
      <c r="L8" s="2028"/>
      <c r="M8" s="2028"/>
      <c r="N8" s="2028"/>
      <c r="O8" s="2028"/>
      <c r="P8" s="2028"/>
      <c r="Q8" s="2028"/>
      <c r="R8" s="2028"/>
      <c r="S8" s="2028"/>
      <c r="T8" s="2028"/>
      <c r="U8" s="2028"/>
      <c r="V8" s="2028"/>
    </row>
    <row r="9" spans="1:22" ht="14.25">
      <c r="A9" s="3352"/>
      <c r="B9" s="3353"/>
      <c r="C9" s="3363"/>
      <c r="D9" s="3364"/>
      <c r="E9" s="261" t="s">
        <v>308</v>
      </c>
      <c r="F9" s="262"/>
      <c r="G9" s="262"/>
      <c r="H9" s="262"/>
      <c r="I9" s="263"/>
      <c r="J9" s="2029"/>
      <c r="K9" s="2028"/>
      <c r="L9" s="2028"/>
      <c r="M9" s="2028"/>
      <c r="N9" s="2028"/>
      <c r="O9" s="2028"/>
      <c r="P9" s="2028"/>
      <c r="Q9" s="2028"/>
      <c r="R9" s="2028"/>
      <c r="S9" s="2028"/>
      <c r="T9" s="2028"/>
      <c r="U9" s="2028"/>
      <c r="V9" s="2028"/>
    </row>
    <row r="10" spans="1:22" ht="14.25">
      <c r="A10" s="3352" t="s">
        <v>309</v>
      </c>
      <c r="B10" s="3353">
        <v>15</v>
      </c>
      <c r="C10" s="3361"/>
      <c r="D10" s="3364"/>
      <c r="E10" s="261" t="s">
        <v>310</v>
      </c>
      <c r="F10" s="262"/>
      <c r="G10" s="262"/>
      <c r="H10" s="262"/>
      <c r="I10" s="263"/>
      <c r="J10" s="2029"/>
      <c r="K10" s="2028"/>
      <c r="L10" s="2028"/>
      <c r="M10" s="2028"/>
      <c r="N10" s="2028"/>
      <c r="O10" s="2028"/>
      <c r="P10" s="2028"/>
      <c r="Q10" s="2028"/>
      <c r="R10" s="2028"/>
      <c r="S10" s="2028"/>
      <c r="T10" s="2028"/>
      <c r="U10" s="2028"/>
      <c r="V10" s="2028"/>
    </row>
    <row r="11" spans="1:22" ht="14.25">
      <c r="A11" s="3352"/>
      <c r="B11" s="3353"/>
      <c r="C11" s="3363"/>
      <c r="D11" s="3364"/>
      <c r="E11" s="261" t="s">
        <v>311</v>
      </c>
      <c r="F11" s="262"/>
      <c r="G11" s="262"/>
      <c r="H11" s="262"/>
      <c r="I11" s="263"/>
      <c r="J11" s="2029"/>
      <c r="K11" s="2028"/>
      <c r="L11" s="2028"/>
      <c r="M11" s="2028"/>
      <c r="N11" s="2028"/>
      <c r="O11" s="2028"/>
      <c r="P11" s="2028"/>
      <c r="Q11" s="2028"/>
      <c r="R11" s="2028"/>
      <c r="S11" s="2028"/>
      <c r="T11" s="2028"/>
      <c r="U11" s="2028"/>
      <c r="V11" s="2028"/>
    </row>
    <row r="12" spans="1:22" ht="14.25">
      <c r="A12" s="3352" t="s">
        <v>312</v>
      </c>
      <c r="B12" s="3353">
        <v>15</v>
      </c>
      <c r="C12" s="3361"/>
      <c r="D12" s="3364"/>
      <c r="E12" s="261" t="s">
        <v>313</v>
      </c>
      <c r="F12" s="262"/>
      <c r="G12" s="262"/>
      <c r="H12" s="262"/>
      <c r="I12" s="263"/>
      <c r="J12" s="2029"/>
      <c r="K12" s="2028"/>
      <c r="L12" s="2028"/>
      <c r="M12" s="2028"/>
      <c r="N12" s="2028"/>
      <c r="O12" s="2028"/>
      <c r="P12" s="2028"/>
      <c r="Q12" s="2028"/>
      <c r="R12" s="2028"/>
      <c r="S12" s="2028"/>
      <c r="T12" s="2028"/>
      <c r="U12" s="2028"/>
      <c r="V12" s="2028"/>
    </row>
    <row r="13" spans="1:22" ht="14.25">
      <c r="A13" s="3352"/>
      <c r="B13" s="3353"/>
      <c r="C13" s="3363"/>
      <c r="D13" s="3364"/>
      <c r="E13" s="261" t="s">
        <v>314</v>
      </c>
      <c r="F13" s="262"/>
      <c r="G13" s="262"/>
      <c r="H13" s="262"/>
      <c r="I13" s="263"/>
      <c r="J13" s="2029"/>
      <c r="K13" s="2028"/>
      <c r="L13" s="2028"/>
      <c r="M13" s="2028"/>
      <c r="N13" s="2028"/>
      <c r="O13" s="2028"/>
      <c r="P13" s="2028"/>
      <c r="Q13" s="2028"/>
      <c r="R13" s="2028"/>
      <c r="S13" s="2028"/>
      <c r="T13" s="2028"/>
      <c r="U13" s="2028"/>
      <c r="V13" s="2028"/>
    </row>
    <row r="14" spans="1:22" ht="14.25">
      <c r="A14" s="3352" t="s">
        <v>315</v>
      </c>
      <c r="B14" s="3353">
        <v>30</v>
      </c>
      <c r="C14" s="3361">
        <v>5</v>
      </c>
      <c r="D14" s="3364">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52"/>
      <c r="B15" s="3353"/>
      <c r="C15" s="3362"/>
      <c r="D15" s="3364"/>
      <c r="E15" s="261" t="s">
        <v>317</v>
      </c>
      <c r="F15" s="262"/>
      <c r="G15" s="262"/>
      <c r="H15" s="262"/>
      <c r="I15" s="263"/>
      <c r="J15" s="2029"/>
      <c r="K15" s="2028"/>
      <c r="L15" s="2028"/>
      <c r="M15" s="2028"/>
      <c r="N15" s="2028"/>
      <c r="O15" s="2028"/>
      <c r="P15" s="2028"/>
      <c r="Q15" s="2028"/>
      <c r="R15" s="2028"/>
      <c r="S15" s="2028"/>
      <c r="T15" s="2028"/>
      <c r="U15" s="2028"/>
      <c r="V15" s="2028"/>
    </row>
    <row r="16" spans="1:22" ht="14.25">
      <c r="A16" s="3352"/>
      <c r="B16" s="3353"/>
      <c r="C16" s="3363"/>
      <c r="D16" s="336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17805</v>
      </c>
      <c r="D19" s="271">
        <f ca="1">SUMIF(INDIRECT("'"&amp;D4&amp;"'"&amp;"!A:A"),结果表!B19,INDIRECT("'"&amp;D4&amp;"'"&amp;"!B:B"))</f>
        <v>18335</v>
      </c>
      <c r="E19" s="268" t="s">
        <v>323</v>
      </c>
      <c r="F19" s="269" t="s">
        <v>322</v>
      </c>
      <c r="G19" s="272">
        <f ca="1">ROUND(C19*$C$18+D19*$D$18,0)</f>
        <v>18070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1529</v>
      </c>
      <c r="D20" s="277">
        <f ca="1">SUMIF(INDIRECT("'"&amp;D4&amp;"'"&amp;"!A:A"),结果表!B20,INDIRECT("'"&amp;D4&amp;"'"&amp;"!B:B"))</f>
        <v>1574</v>
      </c>
      <c r="E20" s="274"/>
      <c r="F20" s="275" t="s">
        <v>325</v>
      </c>
      <c r="G20" s="278">
        <f ca="1">ROUND(C20*$C$18+D20*$D$18,0)</f>
        <v>1552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3822</v>
      </c>
      <c r="D21" s="151">
        <f ca="1">SUMIF(INDIRECT("'"&amp;D4&amp;"'"&amp;"!A:A"),结果表!B21,INDIRECT("'"&amp;D4&amp;"'"&amp;"!B:B"))</f>
        <v>3936</v>
      </c>
      <c r="E21" s="274"/>
      <c r="F21" s="280" t="s">
        <v>327</v>
      </c>
      <c r="G21" s="282">
        <f ca="1">ROUND(C21*$C$18+D21*$D$18,0)</f>
        <v>3879</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2.9766919404661696E-2</v>
      </c>
      <c r="E22" s="284"/>
      <c r="F22" s="285"/>
      <c r="G22" s="286">
        <f ca="1">ROUND(G19/('数据-汇总表'!D3/666.67),0)</f>
        <v>259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5" t="s">
        <v>330</v>
      </c>
      <c r="B24" s="269" t="s">
        <v>322</v>
      </c>
      <c r="C24" s="288">
        <f>IF(B30=0,0,D30)</f>
        <v>233</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67"/>
      <c r="B25" s="1321" t="s">
        <v>331</v>
      </c>
      <c r="C25" s="290">
        <f>IF(B30=0,0,C30)</f>
        <v>0</v>
      </c>
      <c r="D25" s="291"/>
      <c r="E25" s="311"/>
      <c r="F25" s="311"/>
      <c r="G25" s="311"/>
      <c r="H25" s="311"/>
      <c r="I25" s="311"/>
      <c r="J25" s="2028"/>
      <c r="K25" s="1255" t="str">
        <f ca="1">项目基本情况!B16&amp;"国有建设用地使用权价格："&amp;O38&amp;"万元"</f>
        <v>出让国有建设用地使用权价格：17837万元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大写金额：人民币壹亿柒仟捌佰叁拾柒万元整</v>
      </c>
      <c r="L26" s="1252"/>
      <c r="M26" s="1252"/>
      <c r="N26" s="1252"/>
      <c r="O26" s="1251"/>
      <c r="P26" s="2028"/>
      <c r="Q26" s="2028"/>
      <c r="R26" s="2028"/>
      <c r="S26" s="2028"/>
      <c r="T26" s="2028"/>
      <c r="U26" s="2028"/>
      <c r="V26" s="2028"/>
      <c r="W26" s="292"/>
      <c r="X26" s="292"/>
      <c r="Y26" s="292"/>
      <c r="Z26" s="292"/>
    </row>
    <row r="27" spans="1:26" ht="18">
      <c r="A27" s="3203" t="s">
        <v>3150</v>
      </c>
      <c r="B27" s="294">
        <f>'数据-汇总表'!D3</f>
        <v>46580.7</v>
      </c>
      <c r="C27" s="294">
        <v>50</v>
      </c>
      <c r="D27" s="295">
        <f>ROUND(B27*C27/10000,0)</f>
        <v>233</v>
      </c>
      <c r="E27" s="311"/>
      <c r="F27" s="311"/>
      <c r="G27" s="311"/>
      <c r="H27" s="311"/>
      <c r="I27" s="311"/>
      <c r="J27" s="2028"/>
      <c r="K27" s="1258" t="str">
        <f ca="1">"单位面积地价："&amp;M38&amp;"元/平方米"</f>
        <v>单位面积地价：3829元/平方米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楼面地价：1532元/平方米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抵押价格：17837万元</v>
      </c>
      <c r="L29" s="1252"/>
      <c r="M29" s="1252"/>
      <c r="N29" s="1252"/>
      <c r="O29" s="1251"/>
      <c r="P29" s="2028"/>
      <c r="V29" s="2028"/>
    </row>
    <row r="30" spans="1:26" ht="18.75" thickBot="1">
      <c r="A30" s="3130" t="s">
        <v>336</v>
      </c>
      <c r="B30" s="309">
        <f>B27</f>
        <v>46580.7</v>
      </c>
      <c r="C30" s="309"/>
      <c r="D30" s="310">
        <f>SUM(D27:D29)</f>
        <v>233</v>
      </c>
      <c r="E30" s="3131" t="s">
        <v>2968</v>
      </c>
      <c r="F30" s="311"/>
      <c r="G30" s="311"/>
      <c r="H30" s="311"/>
      <c r="I30" s="311"/>
      <c r="J30" s="2028"/>
      <c r="K30" s="1258" t="str">
        <f ca="1">IF(K29="——","——","大写金额：人民币"&amp;NUMBERSTRING(INT(O39*10000),2)&amp;"元整")</f>
        <v>大写金额：人民币壹亿柒仟捌佰叁拾柒万元整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337</v>
      </c>
      <c r="B32" s="1381" t="s">
        <v>1689</v>
      </c>
      <c r="C32" s="1382">
        <f ca="1">G19-C24</f>
        <v>17837</v>
      </c>
      <c r="D32" s="1383" t="s">
        <v>1690</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340</v>
      </c>
      <c r="B33" s="1384" t="s">
        <v>1691</v>
      </c>
      <c r="C33" s="264">
        <f ca="1">ROUND(C32*10000/'数据-汇总表'!E3,0)</f>
        <v>1532</v>
      </c>
      <c r="D33" s="1385" t="s">
        <v>1692</v>
      </c>
      <c r="E33" s="3325"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1693</v>
      </c>
      <c r="C34" s="264">
        <f ca="1">ROUND(C32*10000/'数据-汇总表'!D3,0)</f>
        <v>3829</v>
      </c>
      <c r="D34" s="1387" t="s">
        <v>1692</v>
      </c>
      <c r="E34" s="3326"/>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255</v>
      </c>
      <c r="D35" s="1390" t="s">
        <v>1694</v>
      </c>
      <c r="E35" s="3327"/>
      <c r="F35" s="301" t="s">
        <v>342</v>
      </c>
      <c r="G35" s="982"/>
      <c r="H35" s="981" t="s">
        <v>343</v>
      </c>
      <c r="I35" s="311"/>
      <c r="J35" s="2028"/>
      <c r="K35" s="3331" t="s">
        <v>350</v>
      </c>
      <c r="L35" s="3331" t="s">
        <v>351</v>
      </c>
      <c r="M35" s="1264" t="s">
        <v>352</v>
      </c>
      <c r="N35" s="3331" t="s">
        <v>353</v>
      </c>
      <c r="O35" s="3331" t="s">
        <v>354</v>
      </c>
      <c r="P35" s="2028"/>
      <c r="V35" s="2028"/>
    </row>
    <row r="36" spans="1:26" ht="16.5" customHeight="1">
      <c r="A36" s="303" t="s">
        <v>344</v>
      </c>
      <c r="B36" s="304" t="s">
        <v>333</v>
      </c>
      <c r="C36" s="305" t="s">
        <v>345</v>
      </c>
      <c r="D36" s="305" t="s">
        <v>346</v>
      </c>
      <c r="E36" s="306" t="s">
        <v>347</v>
      </c>
      <c r="F36" s="311"/>
      <c r="G36" s="311"/>
      <c r="H36" s="311"/>
      <c r="I36" s="311"/>
      <c r="J36" s="2030"/>
      <c r="K36" s="3332"/>
      <c r="L36" s="3332"/>
      <c r="M36" s="1266" t="s">
        <v>355</v>
      </c>
      <c r="N36" s="3332"/>
      <c r="O36" s="3332"/>
      <c r="P36" s="2028"/>
      <c r="V36" s="2028"/>
    </row>
    <row r="37" spans="1:26" ht="16.5" customHeight="1" thickBot="1">
      <c r="A37" s="1260" t="s">
        <v>348</v>
      </c>
      <c r="B37" s="307"/>
      <c r="C37" s="294"/>
      <c r="D37" s="294"/>
      <c r="E37" s="295"/>
      <c r="F37" s="311"/>
      <c r="G37" s="311"/>
      <c r="H37" s="311"/>
      <c r="I37" s="311"/>
      <c r="J37" s="2030"/>
      <c r="K37" s="3333"/>
      <c r="L37" s="3333"/>
      <c r="M37" s="1267"/>
      <c r="N37" s="3333"/>
      <c r="O37" s="3333"/>
      <c r="P37" s="2028"/>
      <c r="V37" s="2028"/>
    </row>
    <row r="38" spans="1:26" ht="16.5" customHeight="1" thickBot="1">
      <c r="A38" s="1260" t="s">
        <v>349</v>
      </c>
      <c r="B38" s="307"/>
      <c r="C38" s="294"/>
      <c r="D38" s="294"/>
      <c r="E38" s="295"/>
      <c r="F38" s="311"/>
      <c r="G38" s="311"/>
      <c r="H38" s="311"/>
      <c r="I38" s="311"/>
      <c r="J38" s="2030"/>
      <c r="K38" s="1268">
        <f>'数据-汇总表'!D3</f>
        <v>46580.7</v>
      </c>
      <c r="L38" s="1269">
        <f>'数据-汇总表'!E3</f>
        <v>116451.76</v>
      </c>
      <c r="M38" s="1269">
        <f ca="1">C34</f>
        <v>3829</v>
      </c>
      <c r="N38" s="1269">
        <f ca="1">C33</f>
        <v>1532</v>
      </c>
      <c r="O38" s="1270">
        <f ca="1">C32</f>
        <v>17837</v>
      </c>
      <c r="P38" s="2028"/>
      <c r="V38" s="2028"/>
    </row>
    <row r="39" spans="1:26" ht="16.5" customHeight="1" thickBot="1">
      <c r="A39" s="1265"/>
      <c r="B39" s="308"/>
      <c r="C39" s="309"/>
      <c r="D39" s="309"/>
      <c r="E39" s="310"/>
      <c r="F39" s="311"/>
      <c r="G39" s="311"/>
      <c r="H39" s="311"/>
      <c r="I39" s="311"/>
      <c r="J39" s="2030"/>
      <c r="K39" s="3308" t="str">
        <f>MID(A44,3,LEN(A44)-2)</f>
        <v>抵押价格</v>
      </c>
      <c r="L39" s="3309"/>
      <c r="M39" s="3309"/>
      <c r="N39" s="3310"/>
      <c r="O39" s="1392">
        <f ca="1">C44</f>
        <v>17837</v>
      </c>
      <c r="P39" s="2028"/>
      <c r="V39" s="2028"/>
    </row>
    <row r="40" spans="1:26" ht="19.5" thickBot="1">
      <c r="A40" s="104" t="s">
        <v>873</v>
      </c>
      <c r="B40" s="311"/>
      <c r="C40" s="311"/>
      <c r="D40" s="311"/>
      <c r="E40" s="311"/>
      <c r="F40" s="311"/>
      <c r="G40" s="311"/>
      <c r="H40" s="311"/>
      <c r="I40" s="311"/>
      <c r="J40" s="2030"/>
      <c r="K40" s="3308" t="str">
        <f t="shared" ref="K40:K41" si="0">MID(A45,3,LEN(A45)-2)</f>
        <v/>
      </c>
      <c r="L40" s="3309"/>
      <c r="M40" s="3309"/>
      <c r="N40" s="3310"/>
      <c r="O40" s="1392" t="str">
        <f>C45</f>
        <v>——</v>
      </c>
      <c r="P40" s="2028"/>
      <c r="V40" s="2028"/>
    </row>
    <row r="41" spans="1:26" ht="16.5" thickBot="1">
      <c r="A41" s="312" t="s">
        <v>356</v>
      </c>
      <c r="B41" s="313"/>
      <c r="C41" s="314" t="s">
        <v>357</v>
      </c>
      <c r="D41" s="315" t="s">
        <v>358</v>
      </c>
      <c r="E41" s="315" t="s">
        <v>359</v>
      </c>
      <c r="F41" s="316" t="s">
        <v>360</v>
      </c>
      <c r="G41" s="311"/>
      <c r="H41" s="311"/>
      <c r="I41" s="311"/>
      <c r="J41" s="2030"/>
      <c r="K41" s="3308" t="str">
        <f t="shared" si="0"/>
        <v/>
      </c>
      <c r="L41" s="3309"/>
      <c r="M41" s="3309"/>
      <c r="N41" s="3310"/>
      <c r="O41" s="1392" t="str">
        <f>C46</f>
        <v>——</v>
      </c>
      <c r="P41" s="2028"/>
      <c r="V41" s="2028"/>
    </row>
    <row r="42" spans="1:26" ht="29.25">
      <c r="A42" s="3368" t="s">
        <v>2069</v>
      </c>
      <c r="B42" s="3369"/>
      <c r="C42" s="264">
        <f ca="1">C32</f>
        <v>17837</v>
      </c>
      <c r="D42" s="317">
        <f ca="1">C33</f>
        <v>1532</v>
      </c>
      <c r="E42" s="317">
        <f ca="1">C34</f>
        <v>3829</v>
      </c>
      <c r="F42" s="318">
        <f ca="1">C35</f>
        <v>255</v>
      </c>
      <c r="G42" s="311"/>
      <c r="H42" s="311"/>
      <c r="I42" s="319"/>
      <c r="J42" s="2030"/>
      <c r="K42" s="1271" t="s">
        <v>361</v>
      </c>
      <c r="L42" s="2047" t="s">
        <v>362</v>
      </c>
      <c r="M42" s="1272" t="s">
        <v>363</v>
      </c>
      <c r="N42" s="2048" t="s">
        <v>364</v>
      </c>
      <c r="O42" s="2049" t="s">
        <v>365</v>
      </c>
      <c r="P42" s="2028"/>
      <c r="V42" s="2028"/>
    </row>
    <row r="43" spans="1:26" ht="30">
      <c r="A43" s="3378" t="s">
        <v>2729</v>
      </c>
      <c r="B43" s="3379"/>
      <c r="C43" s="264">
        <f>IF(H33="正常操作",G33+G34+G35,G34+G35)</f>
        <v>0</v>
      </c>
      <c r="D43" s="317" t="s">
        <v>43</v>
      </c>
      <c r="E43" s="317" t="s">
        <v>44</v>
      </c>
      <c r="F43" s="318" t="s">
        <v>44</v>
      </c>
      <c r="G43" s="2866" t="s">
        <v>952</v>
      </c>
      <c r="H43" s="311"/>
      <c r="I43" s="319"/>
      <c r="J43" s="2030"/>
      <c r="K43" s="1273" t="str">
        <f>C4</f>
        <v>比较法-住宅、综合</v>
      </c>
      <c r="L43" s="1274">
        <f ca="1">IF(L42="估价结果/万元",C19,C20)</f>
        <v>17805</v>
      </c>
      <c r="M43" s="1275">
        <f>C18</f>
        <v>0.5</v>
      </c>
      <c r="N43" s="1276">
        <f ca="1">IF(N42="测算结果/万元",G19,G20)</f>
        <v>18070</v>
      </c>
      <c r="O43" s="1277">
        <f ca="1">IF(O42="最终结果/万元",C32,C33)</f>
        <v>17837</v>
      </c>
      <c r="P43" s="2028"/>
      <c r="V43" s="2028"/>
    </row>
    <row r="44" spans="1:26" ht="30.75" thickBot="1">
      <c r="A44" s="3368" t="str">
        <f>IF(OR(项目基本情况!E8="抵押价格",项目基本情况!E8="已注销及未注销"),"3.抵押价格","——")</f>
        <v>3.抵押价格</v>
      </c>
      <c r="B44" s="3369"/>
      <c r="C44" s="264">
        <f ca="1">IF(A44="——","——",C42-C43)</f>
        <v>17837</v>
      </c>
      <c r="D44" s="317">
        <f ca="1">ROUND(C44*10000/'数据-汇总表'!E3,0)</f>
        <v>1532</v>
      </c>
      <c r="E44" s="317">
        <f ca="1">ROUND(C44*10000/'数据-汇总表'!D3,0)</f>
        <v>3829</v>
      </c>
      <c r="F44" s="318">
        <f ca="1">ROUND(C44/('数据-汇总表'!D3/666.67),0)</f>
        <v>255</v>
      </c>
      <c r="G44" s="311"/>
      <c r="H44" s="311"/>
      <c r="I44" s="319"/>
      <c r="J44" s="2030"/>
      <c r="K44" s="1278" t="str">
        <f>D4</f>
        <v>剩余法-待开发</v>
      </c>
      <c r="L44" s="1279">
        <f ca="1">IF(L42="估价结果/万元",D19,D20)</f>
        <v>18335</v>
      </c>
      <c r="M44" s="1280">
        <f>D18</f>
        <v>0.5</v>
      </c>
      <c r="N44" s="1281"/>
      <c r="O44" s="1282"/>
      <c r="P44" s="2028"/>
      <c r="V44" s="2028"/>
    </row>
    <row r="45" spans="1:26" ht="15">
      <c r="A45" s="3373" t="str">
        <f>IF(项目基本情况!E8="已注销及未注销","4.抵押担保权已注销时的抵押价格",IF(项目基本情况!E8="已注销","3.抵押担保权已注销时的抵押价格","——"))</f>
        <v>——</v>
      </c>
      <c r="B45" s="337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70" t="str">
        <f>IF(项目基本情况!E9="抵押净值",IF(A45="——","4.抵押净值","5.抵押净值"),"——")</f>
        <v>——</v>
      </c>
      <c r="B46" s="3371"/>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6" t="s">
        <v>374</v>
      </c>
      <c r="B63" s="3337"/>
      <c r="C63" s="3338"/>
      <c r="D63" s="341">
        <f ca="1">ROUND(C42*F63,0)</f>
        <v>17837</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375" t="s">
        <v>378</v>
      </c>
      <c r="B64" s="3376"/>
      <c r="C64" s="3376"/>
      <c r="D64" s="3376"/>
      <c r="E64" s="3376"/>
      <c r="F64" s="3376"/>
      <c r="G64" s="3377"/>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72" t="s">
        <v>386</v>
      </c>
      <c r="B66" s="3343"/>
      <c r="C66" s="3343"/>
      <c r="D66" s="261">
        <f ca="1">IF(H66="情况1",0,IF(H66="情况2",D70,IF(H66="情况3",D71,IF(H66="情况4",D72))))</f>
        <v>934</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12" t="s">
        <v>385</v>
      </c>
      <c r="M66" s="3313"/>
      <c r="N66" s="2458"/>
      <c r="O66" s="2459"/>
      <c r="P66" s="2460"/>
      <c r="Q66" s="2028"/>
      <c r="R66" s="2028"/>
      <c r="S66" s="2028"/>
      <c r="T66" s="2028"/>
      <c r="U66" s="2028"/>
      <c r="V66" s="2028"/>
    </row>
    <row r="67" spans="1:22" ht="25.5" customHeight="1">
      <c r="A67" s="352" t="s">
        <v>390</v>
      </c>
      <c r="B67" s="3355" t="s">
        <v>391</v>
      </c>
      <c r="C67" s="3355"/>
      <c r="D67" s="353">
        <v>0</v>
      </c>
      <c r="E67" s="41" t="s">
        <v>392</v>
      </c>
      <c r="F67" s="62" t="s">
        <v>21</v>
      </c>
      <c r="G67" s="3339"/>
      <c r="H67" s="311"/>
      <c r="I67" s="1292"/>
      <c r="J67" s="2035"/>
      <c r="K67" s="1976">
        <v>2</v>
      </c>
      <c r="L67" s="3311" t="s">
        <v>389</v>
      </c>
      <c r="M67" s="3311"/>
      <c r="N67" s="1325">
        <f>'数据-取费表'!B2</f>
        <v>43606</v>
      </c>
      <c r="O67" s="1325"/>
      <c r="P67" s="1325"/>
      <c r="Q67" s="2028"/>
      <c r="R67" s="2028"/>
      <c r="S67" s="2028"/>
      <c r="T67" s="2028"/>
      <c r="U67" s="2028"/>
      <c r="V67" s="2028"/>
    </row>
    <row r="68" spans="1:22" ht="25.5" customHeight="1">
      <c r="A68" s="354"/>
      <c r="B68" s="3355" t="s">
        <v>394</v>
      </c>
      <c r="C68" s="3355"/>
      <c r="D68" s="355"/>
      <c r="E68" s="77"/>
      <c r="F68" s="356"/>
      <c r="G68" s="3340"/>
      <c r="H68" s="311"/>
      <c r="I68" s="1292"/>
      <c r="J68" s="2035"/>
      <c r="K68" s="1976">
        <v>3</v>
      </c>
      <c r="L68" s="3311" t="s">
        <v>393</v>
      </c>
      <c r="M68" s="3311"/>
      <c r="N68" s="1293">
        <f ca="1">C42</f>
        <v>17837</v>
      </c>
      <c r="O68" s="1293"/>
      <c r="P68" s="1293"/>
      <c r="Q68" s="2028"/>
      <c r="R68" s="2028"/>
      <c r="S68" s="2028"/>
      <c r="T68" s="2028"/>
      <c r="U68" s="2028"/>
      <c r="V68" s="2028"/>
    </row>
    <row r="69" spans="1:22" ht="12" customHeight="1">
      <c r="A69" s="357"/>
      <c r="B69" s="3355" t="s">
        <v>395</v>
      </c>
      <c r="C69" s="3355"/>
      <c r="D69" s="358"/>
      <c r="E69" s="73"/>
      <c r="F69" s="356"/>
      <c r="G69" s="3341"/>
      <c r="H69" s="311"/>
      <c r="I69" s="1292"/>
      <c r="J69" s="2035"/>
      <c r="K69" s="1294">
        <v>4</v>
      </c>
      <c r="L69" s="3317" t="s">
        <v>2882</v>
      </c>
      <c r="M69" s="3318"/>
      <c r="N69" s="1295">
        <f ca="1">C44</f>
        <v>17837</v>
      </c>
      <c r="O69" s="1295"/>
      <c r="P69" s="1295"/>
      <c r="Q69" s="2028"/>
      <c r="R69" s="2028"/>
      <c r="S69" s="2028"/>
      <c r="T69" s="2028"/>
      <c r="U69" s="2028"/>
      <c r="V69" s="2028"/>
    </row>
    <row r="70" spans="1:22" ht="24" customHeight="1">
      <c r="A70" s="359" t="s">
        <v>396</v>
      </c>
      <c r="B70" s="3355" t="s">
        <v>397</v>
      </c>
      <c r="C70" s="3355"/>
      <c r="D70" s="358">
        <f ca="1">ROUND(D63*'数据-取费表'!B41/(1+'数据-取费表'!C42),0)</f>
        <v>934</v>
      </c>
      <c r="E70" s="17" t="s">
        <v>398</v>
      </c>
      <c r="F70" s="360">
        <f>'数据-取费表'!B41</f>
        <v>5.5000000000000007E-2</v>
      </c>
      <c r="G70" s="361"/>
      <c r="H70" s="311"/>
      <c r="I70" s="1292"/>
      <c r="J70" s="2035"/>
      <c r="K70" s="3062"/>
      <c r="L70" s="3063"/>
      <c r="M70" s="3063"/>
      <c r="N70" s="3064" t="s">
        <v>2887</v>
      </c>
      <c r="O70" s="3063"/>
      <c r="P70" s="3065"/>
      <c r="Q70" s="2028"/>
      <c r="R70" s="2028"/>
      <c r="S70" s="2028"/>
      <c r="T70" s="2028"/>
      <c r="U70" s="2028"/>
      <c r="V70" s="2028"/>
    </row>
    <row r="71" spans="1:22" ht="12" customHeight="1">
      <c r="A71" s="359" t="s">
        <v>404</v>
      </c>
      <c r="B71" s="3354" t="s">
        <v>405</v>
      </c>
      <c r="C71" s="3366"/>
      <c r="D71" s="358">
        <f ca="1">ROUND(D63*'数据-取费表'!B41/(1+'数据-取费表'!C42),0)</f>
        <v>934</v>
      </c>
      <c r="E71" s="17" t="s">
        <v>398</v>
      </c>
      <c r="F71" s="360">
        <f>'数据-取费表'!B41</f>
        <v>5.5000000000000007E-2</v>
      </c>
      <c r="G71" s="361"/>
      <c r="H71" s="311"/>
      <c r="I71" s="1292"/>
      <c r="J71" s="2035"/>
      <c r="K71" s="3061" t="s">
        <v>399</v>
      </c>
      <c r="L71" s="3319" t="s">
        <v>400</v>
      </c>
      <c r="M71" s="3319"/>
      <c r="N71" s="3061" t="s">
        <v>401</v>
      </c>
      <c r="O71" s="3061" t="s">
        <v>402</v>
      </c>
      <c r="P71" s="3061" t="s">
        <v>403</v>
      </c>
      <c r="Q71" s="2028"/>
      <c r="R71" s="2028"/>
      <c r="S71" s="2028"/>
      <c r="T71" s="2028"/>
      <c r="U71" s="2028"/>
      <c r="V71" s="2028"/>
    </row>
    <row r="72" spans="1:22" ht="12" customHeight="1">
      <c r="A72" s="359" t="s">
        <v>407</v>
      </c>
      <c r="B72" s="3354" t="s">
        <v>408</v>
      </c>
      <c r="C72" s="3366"/>
      <c r="D72" s="358">
        <f ca="1">C86</f>
        <v>824</v>
      </c>
      <c r="E72" s="73" t="s">
        <v>409</v>
      </c>
      <c r="F72" s="360">
        <f>'数据-取费表'!B41</f>
        <v>5.5000000000000007E-2</v>
      </c>
      <c r="G72" s="361"/>
      <c r="H72" s="1298"/>
      <c r="I72" s="1292"/>
      <c r="J72" s="2035"/>
      <c r="K72" s="1976">
        <v>1</v>
      </c>
      <c r="L72" s="3316" t="s">
        <v>406</v>
      </c>
      <c r="M72" s="3316"/>
      <c r="N72" s="1296">
        <f ca="1">D66</f>
        <v>934</v>
      </c>
      <c r="O72" s="1859" t="str">
        <f>E66</f>
        <v>销售额×税（费）率</v>
      </c>
      <c r="P72" s="1297">
        <f>F66</f>
        <v>5.5000000000000007E-2</v>
      </c>
      <c r="Q72" s="2028"/>
      <c r="R72" s="2028"/>
      <c r="S72" s="2028"/>
      <c r="T72" s="2028"/>
      <c r="U72" s="2028"/>
      <c r="V72" s="2028"/>
    </row>
    <row r="73" spans="1:22" ht="24" customHeight="1">
      <c r="A73" s="3342" t="s">
        <v>411</v>
      </c>
      <c r="B73" s="3343"/>
      <c r="C73" s="3343"/>
      <c r="D73" s="362">
        <f>IF(H73="个人住宅",0,ROUND(D63*I73,0))</f>
        <v>0</v>
      </c>
      <c r="E73" s="17" t="s">
        <v>412</v>
      </c>
      <c r="F73" s="360" t="str">
        <f>IF(H73="正常",I73,"免征")</f>
        <v>免征</v>
      </c>
      <c r="G73" s="361"/>
      <c r="H73" s="191" t="s">
        <v>2455</v>
      </c>
      <c r="I73" s="360">
        <f>'数据-取费表'!B49</f>
        <v>5.0000000000000001E-4</v>
      </c>
      <c r="J73" s="2035"/>
      <c r="K73" s="1976">
        <v>2</v>
      </c>
      <c r="L73" s="3316" t="s">
        <v>410</v>
      </c>
      <c r="M73" s="3316"/>
      <c r="N73" s="1296">
        <f t="shared" ref="N73:P74" si="1">D73</f>
        <v>0</v>
      </c>
      <c r="O73" s="1859" t="str">
        <f t="shared" si="1"/>
        <v>销售额×税（费）率</v>
      </c>
      <c r="P73" s="1297" t="str">
        <f t="shared" si="1"/>
        <v>免征</v>
      </c>
      <c r="Q73" s="2028"/>
      <c r="R73" s="2028"/>
      <c r="S73" s="2028"/>
      <c r="T73" s="2028"/>
      <c r="U73" s="2028"/>
      <c r="V73" s="2028"/>
    </row>
    <row r="74" spans="1:22" ht="24.75">
      <c r="A74" s="3342" t="s">
        <v>415</v>
      </c>
      <c r="B74" s="3343"/>
      <c r="C74" s="3343"/>
      <c r="D74" s="362">
        <f ca="1">IF(H74="个人住宅",D75,D76)</f>
        <v>9457</v>
      </c>
      <c r="E74" s="17" t="s">
        <v>416</v>
      </c>
      <c r="F74" s="360" t="str">
        <f>IF(H74="正常",F76,"免征")</f>
        <v>——</v>
      </c>
      <c r="G74" s="983" t="s">
        <v>417</v>
      </c>
      <c r="H74" s="363" t="s">
        <v>413</v>
      </c>
      <c r="I74" s="42"/>
      <c r="J74" s="2035"/>
      <c r="K74" s="1976">
        <v>3</v>
      </c>
      <c r="L74" s="3316" t="s">
        <v>414</v>
      </c>
      <c r="M74" s="3316"/>
      <c r="N74" s="1296">
        <f t="shared" ca="1" si="1"/>
        <v>9457</v>
      </c>
      <c r="O74" s="1859" t="str">
        <f t="shared" si="1"/>
        <v>增值额×税（费）率</v>
      </c>
      <c r="P74" s="1299" t="str">
        <f t="shared" si="1"/>
        <v>——</v>
      </c>
      <c r="Q74" s="2028"/>
      <c r="R74" s="2028"/>
      <c r="S74" s="2028"/>
      <c r="T74" s="2028"/>
      <c r="U74" s="2028"/>
      <c r="V74" s="2028"/>
    </row>
    <row r="75" spans="1:22" ht="24">
      <c r="A75" s="359" t="s">
        <v>418</v>
      </c>
      <c r="B75" s="3323" t="s">
        <v>419</v>
      </c>
      <c r="C75" s="3324"/>
      <c r="D75" s="364">
        <v>0</v>
      </c>
      <c r="E75" s="41" t="s">
        <v>420</v>
      </c>
      <c r="F75" s="365"/>
      <c r="G75" s="361"/>
      <c r="H75" s="42"/>
      <c r="I75" s="42"/>
      <c r="J75" s="2035"/>
      <c r="K75" s="3054">
        <f>IF(H77="非个人房产","",4)</f>
        <v>4</v>
      </c>
      <c r="L75" s="3316" t="str">
        <f>IF(H77="非个人房产","——","个人所得税")</f>
        <v>个人所得税</v>
      </c>
      <c r="M75" s="3316"/>
      <c r="N75" s="1300">
        <f ca="1">D77</f>
        <v>178</v>
      </c>
      <c r="O75" s="1872" t="str">
        <f>E77</f>
        <v>销售额×税（费）率</v>
      </c>
      <c r="P75" s="1301">
        <f>F77</f>
        <v>0.01</v>
      </c>
      <c r="Q75" s="2028"/>
      <c r="R75" s="2028"/>
      <c r="S75" s="2028"/>
      <c r="T75" s="2028"/>
      <c r="U75" s="2028"/>
      <c r="V75" s="2028"/>
    </row>
    <row r="76" spans="1:22" ht="24.75">
      <c r="A76" s="359" t="s">
        <v>396</v>
      </c>
      <c r="B76" s="3323" t="s">
        <v>422</v>
      </c>
      <c r="C76" s="3365"/>
      <c r="D76" s="362">
        <f ca="1">IF(H76="转让取得",C99,C115)</f>
        <v>9457</v>
      </c>
      <c r="E76" s="17" t="s">
        <v>423</v>
      </c>
      <c r="F76" s="53" t="s">
        <v>21</v>
      </c>
      <c r="G76" s="361"/>
      <c r="H76" s="363" t="s">
        <v>424</v>
      </c>
      <c r="I76" s="42"/>
      <c r="J76" s="2035"/>
      <c r="K76" s="3054" t="str">
        <f>IF(项目基本情况!K6="上海银行",IF(K75="",4,K75+1),"")</f>
        <v/>
      </c>
      <c r="L76" s="3304" t="str">
        <f>IF(项目基本情况!K6="上海银行","其他处置费用","")</f>
        <v/>
      </c>
      <c r="M76" s="3305"/>
      <c r="N76" s="1296" t="str">
        <f>IF(项目基本情况!K6="上海银行",N89,"")</f>
        <v/>
      </c>
      <c r="O76" s="3306" t="str">
        <f>IF(项目基本情况!K6="上海银行","包含处置中涉及的律师、诉讼、拍卖、评估等费用","")</f>
        <v/>
      </c>
      <c r="P76" s="3307"/>
      <c r="Q76" s="2028"/>
      <c r="R76" s="2028"/>
      <c r="S76" s="2028"/>
      <c r="T76" s="2028"/>
      <c r="U76" s="2028"/>
      <c r="V76" s="2028"/>
    </row>
    <row r="77" spans="1:22" ht="26.25" thickBot="1">
      <c r="A77" s="3334" t="s">
        <v>426</v>
      </c>
      <c r="B77" s="3335"/>
      <c r="C77" s="3335"/>
      <c r="D77" s="366">
        <f ca="1">IF(H77="非个人房产","——",IF(H77="个人住宅",0,ROUND(D63*I77,0)))</f>
        <v>178</v>
      </c>
      <c r="E77" s="367" t="str">
        <f>IF(H77="非个人房产","——","销售额×税（费）率")</f>
        <v>销售额×税（费）率</v>
      </c>
      <c r="F77" s="368">
        <f>IF(H77="非个人房产","——",IF(H77="个人住宅","免征",I77))</f>
        <v>0.01</v>
      </c>
      <c r="G77" s="984" t="s">
        <v>417</v>
      </c>
      <c r="H77" s="363" t="s">
        <v>2883</v>
      </c>
      <c r="I77" s="369">
        <v>0.01</v>
      </c>
      <c r="J77" s="2035"/>
      <c r="K77" s="3330">
        <f>IF(AND(K75="",K76=""),4,IF(项目基本情况!K6="上海银行",K76+1,K75+1))</f>
        <v>5</v>
      </c>
      <c r="L77" s="3316" t="s">
        <v>2884</v>
      </c>
      <c r="M77" s="3060" t="s">
        <v>421</v>
      </c>
      <c r="N77" s="1302"/>
      <c r="O77" s="1303">
        <f ca="1">SUMIF(N72:N76,"&lt;9e307")</f>
        <v>10569</v>
      </c>
      <c r="P77" s="1304"/>
      <c r="Q77" s="3058">
        <f ca="1">O77/N69</f>
        <v>0.59253237652071533</v>
      </c>
      <c r="R77" s="2028"/>
      <c r="S77" s="2028"/>
      <c r="T77" s="2028"/>
      <c r="U77" s="2028"/>
      <c r="V77" s="2028"/>
    </row>
    <row r="78" spans="1:22" ht="12" customHeight="1">
      <c r="A78" s="1305"/>
      <c r="B78" s="311"/>
      <c r="C78" s="311"/>
      <c r="D78" s="311"/>
      <c r="E78" s="42"/>
      <c r="F78" s="42"/>
      <c r="G78" s="42"/>
      <c r="H78" s="1003"/>
      <c r="I78" s="311"/>
      <c r="J78" s="2035"/>
      <c r="K78" s="3330"/>
      <c r="L78" s="3316"/>
      <c r="M78" s="3060" t="s">
        <v>425</v>
      </c>
      <c r="N78" s="1302"/>
      <c r="O78" s="1303" t="str">
        <f ca="1">NUMBERSTRING(INT(O77*10000),2)&amp;"元整"</f>
        <v>壹亿零伍佰陆拾玖万元整</v>
      </c>
      <c r="P78" s="1304"/>
      <c r="Q78" s="2028"/>
      <c r="R78" s="2028"/>
      <c r="S78" s="2028"/>
      <c r="T78" s="2028"/>
      <c r="U78" s="2028"/>
      <c r="V78" s="2028"/>
    </row>
    <row r="79" spans="1:22" ht="13.5" thickBot="1">
      <c r="A79" s="3320" t="s">
        <v>427</v>
      </c>
      <c r="B79" s="3320"/>
      <c r="C79" s="3320"/>
      <c r="D79" s="3320"/>
      <c r="E79" s="3320"/>
      <c r="F79" s="42"/>
      <c r="G79" s="42"/>
      <c r="H79" s="1003"/>
      <c r="I79" s="311"/>
      <c r="J79" s="2035"/>
      <c r="K79" s="3314">
        <f>K77+1</f>
        <v>6</v>
      </c>
      <c r="L79" s="3316" t="s">
        <v>2885</v>
      </c>
      <c r="M79" s="3060" t="s">
        <v>421</v>
      </c>
      <c r="N79" s="1302"/>
      <c r="O79" s="1303">
        <f ca="1">N69-O77</f>
        <v>7268</v>
      </c>
      <c r="P79" s="1304"/>
      <c r="Q79" s="2028"/>
      <c r="R79" s="2028"/>
      <c r="S79" s="2028"/>
      <c r="T79" s="2028"/>
      <c r="U79" s="2028"/>
      <c r="V79" s="2028"/>
    </row>
    <row r="80" spans="1:22" ht="25.5">
      <c r="A80" s="3321" t="s">
        <v>428</v>
      </c>
      <c r="B80" s="3322"/>
      <c r="C80" s="994"/>
      <c r="D80" s="994" t="s">
        <v>429</v>
      </c>
      <c r="E80" s="370" t="s">
        <v>430</v>
      </c>
      <c r="F80" s="42"/>
      <c r="G80" s="42"/>
      <c r="H80" s="1003"/>
      <c r="I80" s="311"/>
      <c r="J80" s="2028"/>
      <c r="K80" s="3315"/>
      <c r="L80" s="3316"/>
      <c r="M80" s="3060" t="s">
        <v>425</v>
      </c>
      <c r="N80" s="1302"/>
      <c r="O80" s="1303" t="str">
        <f ca="1">NUMBERSTRING(INT(O79*10000),2)&amp;"元整"</f>
        <v>柒仟贰佰陆拾捌万元整</v>
      </c>
      <c r="P80" s="1304"/>
      <c r="Q80" s="2028"/>
      <c r="R80" s="2028"/>
      <c r="S80" s="2028"/>
      <c r="T80" s="2028"/>
      <c r="U80" s="2028"/>
      <c r="V80" s="2028"/>
    </row>
    <row r="81" spans="1:26" ht="13.5" thickBot="1">
      <c r="A81" s="381" t="s">
        <v>1824</v>
      </c>
      <c r="B81" s="371" t="s">
        <v>431</v>
      </c>
      <c r="C81" s="372">
        <f ca="1">ROUND((C82+C83)/(1+'数据-取费表'!C42),0)</f>
        <v>16988</v>
      </c>
      <c r="D81" s="373"/>
      <c r="E81" s="374"/>
      <c r="F81" s="42"/>
      <c r="G81" s="42"/>
      <c r="H81" s="1003"/>
      <c r="I81" s="311"/>
      <c r="J81" s="2028"/>
      <c r="K81" s="3054">
        <f>K79+1</f>
        <v>7</v>
      </c>
      <c r="L81" s="3328" t="s">
        <v>2886</v>
      </c>
      <c r="M81" s="3329"/>
      <c r="N81" s="1306"/>
      <c r="O81" s="1307">
        <f ca="1">ROUND(O79*10000/'数据-汇总表'!E3,0)</f>
        <v>624</v>
      </c>
      <c r="P81" s="1308"/>
      <c r="Q81" s="2028"/>
      <c r="R81" s="2028"/>
      <c r="S81" s="2028"/>
      <c r="T81" s="2028"/>
      <c r="U81" s="2028"/>
      <c r="V81" s="2028"/>
    </row>
    <row r="82" spans="1:26" ht="13.5" thickTop="1">
      <c r="A82" s="375" t="s">
        <v>1825</v>
      </c>
      <c r="B82" s="376" t="s">
        <v>432</v>
      </c>
      <c r="C82" s="377">
        <f ca="1">D63</f>
        <v>17837</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03" t="s">
        <v>2873</v>
      </c>
      <c r="L83" s="3066" t="s">
        <v>2874</v>
      </c>
      <c r="M83" s="3056">
        <f ca="1">IF(N69&gt;10000,N69*0.5%,IF(AND(N69&gt;1000,N69&lt;=10000),N69*1%,IF(AND(N69&gt;100,N69&lt;=1000),N69*3%,IF(AND(N69&gt;10,N69&lt;=100),N69*5%,N69*8%))))</f>
        <v>89.185000000000002</v>
      </c>
      <c r="N83" s="53">
        <f ca="1">ROUND(M83,1)</f>
        <v>89.2</v>
      </c>
      <c r="O83" s="3059"/>
      <c r="P83" s="2028"/>
      <c r="Q83" s="2028"/>
      <c r="R83" s="2028"/>
      <c r="S83" s="2028"/>
      <c r="T83" s="2028"/>
      <c r="U83" s="2028"/>
      <c r="V83" s="2028"/>
    </row>
    <row r="84" spans="1:26" ht="12.75">
      <c r="A84" s="381" t="s">
        <v>1827</v>
      </c>
      <c r="B84" s="382" t="s">
        <v>434</v>
      </c>
      <c r="C84" s="383">
        <v>2000</v>
      </c>
      <c r="D84" s="384" t="s">
        <v>19</v>
      </c>
      <c r="E84" s="3101" t="s">
        <v>2940</v>
      </c>
      <c r="F84" s="42"/>
      <c r="G84" s="42"/>
      <c r="H84" s="1003"/>
      <c r="I84" s="311"/>
      <c r="J84" s="2028"/>
      <c r="K84" s="3303"/>
      <c r="L84" s="3066" t="s">
        <v>2875</v>
      </c>
      <c r="M84" s="3056">
        <f ca="1">IF(N69&gt;2000,N69*0.5%,IF(AND(N69&gt;1000,N69&lt;=2000),N69*0.6%,IF(AND(N69&gt;500,N69&lt;=1000),N69*0.7%,IF(AND(N69&gt;200,N69&lt;=500),N69*0.8%,IF(AND(N69&gt;100,N69&lt;=200),N69*0.9%,IF(AND(N69&gt;50,N69&lt;=100),N69*1%,IF(AND(N69&gt;20,N69&lt;=50),N69*1.5%,IF(AND(N69&gt;10,N69&lt;=20),N69*2%,IF(AND(N69&gt;1,N69&lt;=10),N69*2.5%)))))))))</f>
        <v>89.185000000000002</v>
      </c>
      <c r="N84" s="53">
        <f t="shared" ref="N84:N85" ca="1" si="2">ROUND(M84,1)</f>
        <v>89.2</v>
      </c>
      <c r="O84" s="2028" t="s">
        <v>2876</v>
      </c>
      <c r="P84" s="2028"/>
      <c r="Q84" s="2028"/>
      <c r="R84" s="2028"/>
      <c r="S84" s="2028"/>
      <c r="T84" s="2028"/>
      <c r="U84" s="2028"/>
      <c r="V84" s="2028"/>
    </row>
    <row r="85" spans="1:26" ht="12.75">
      <c r="A85" s="381" t="s">
        <v>1828</v>
      </c>
      <c r="B85" s="382" t="s">
        <v>435</v>
      </c>
      <c r="C85" s="385">
        <f ca="1">C81-C84</f>
        <v>14988</v>
      </c>
      <c r="D85" s="378" t="s">
        <v>19</v>
      </c>
      <c r="E85" s="379"/>
      <c r="F85" s="42"/>
      <c r="G85" s="42"/>
      <c r="H85" s="1003"/>
      <c r="I85" s="311"/>
      <c r="J85" s="2028"/>
      <c r="K85" s="3303"/>
      <c r="L85" s="3066" t="s">
        <v>2877</v>
      </c>
      <c r="M85" s="3056">
        <f ca="1">IF(N69&gt;1000,N69*0.1%,IF(AND(N69&gt;500,N69&lt;=1000),N69*0.5%,IF(AND(N69&gt;50,N69&lt;=500),N69*1%,IF(AND(N69&gt;1,N69&lt;=50),N69*1.5%))))</f>
        <v>17.837</v>
      </c>
      <c r="N85" s="53">
        <f t="shared" ca="1" si="2"/>
        <v>17.8</v>
      </c>
      <c r="O85" s="2028" t="s">
        <v>2876</v>
      </c>
      <c r="P85" s="2028"/>
      <c r="Q85" s="2028"/>
      <c r="R85" s="2028"/>
      <c r="S85" s="2028"/>
      <c r="T85" s="2028"/>
      <c r="U85" s="2028"/>
      <c r="V85" s="2028"/>
    </row>
    <row r="86" spans="1:26" ht="13.5" thickBot="1">
      <c r="A86" s="386" t="s">
        <v>1829</v>
      </c>
      <c r="B86" s="387" t="s">
        <v>436</v>
      </c>
      <c r="C86" s="388">
        <f ca="1">IF(C85&lt;=0,0,ROUND(C85*D86,0))</f>
        <v>824</v>
      </c>
      <c r="D86" s="389">
        <f>'数据-取费表'!B41</f>
        <v>5.5000000000000007E-2</v>
      </c>
      <c r="E86" s="390"/>
      <c r="F86" s="42"/>
      <c r="G86" s="42"/>
      <c r="H86" s="1003"/>
      <c r="I86" s="311"/>
      <c r="J86" s="2028"/>
      <c r="K86" s="3303"/>
      <c r="L86" s="3066" t="s">
        <v>2878</v>
      </c>
      <c r="M86" s="3056">
        <f ca="1">N69*0.5%</f>
        <v>89.185000000000002</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03"/>
      <c r="L87" s="3066" t="s">
        <v>2880</v>
      </c>
      <c r="M87" s="3056">
        <f ca="1">IF(N69&gt;=10000,(8.25+(N69-10000)*0.01%),IF(AND(N69&gt;=8000,N69&lt;10000),(7.85+(N69-8000)*0.02%),IF(AND(N69&gt;=5000,N69&lt;8000),(6.65+(N69-5000)*0.04%),IF(AND(N69&gt;=2000,N69&lt;5000),(4.25+(PN69-2000)*0.08%),IF(AND(N69&gt;=1000,N69&lt;2000),(2.75+(N69-1000)*0.15%),IF(AND(N69&gt;=100,N69&lt;1000),(0.5+(N69-100)*0.25%),IF(AND(N69&gt;0,N69&lt;100),N69*0.5%)))))))</f>
        <v>9.0336999999999996</v>
      </c>
      <c r="N87" s="53">
        <f ca="1">ROUND(M87*0.9,1)</f>
        <v>8.1</v>
      </c>
      <c r="O87" s="3059"/>
      <c r="P87" s="311"/>
      <c r="Q87" s="2028"/>
      <c r="R87" s="2028"/>
      <c r="S87" s="2028"/>
      <c r="T87" s="2028"/>
      <c r="U87" s="2028"/>
      <c r="V87" s="2028"/>
      <c r="W87" s="292"/>
      <c r="X87" s="292"/>
      <c r="Y87" s="292"/>
      <c r="Z87" s="292"/>
    </row>
    <row r="88" spans="1:26" s="1314" customFormat="1" ht="15" thickBot="1">
      <c r="A88" s="3357" t="s">
        <v>437</v>
      </c>
      <c r="B88" s="3358"/>
      <c r="C88" s="3358"/>
      <c r="D88" s="3358"/>
      <c r="E88" s="3358"/>
      <c r="F88" s="3358"/>
      <c r="G88" s="3358"/>
      <c r="H88" s="3358"/>
      <c r="I88" s="1315"/>
      <c r="J88" s="2036"/>
      <c r="K88" s="3303"/>
      <c r="L88" s="3066" t="s">
        <v>2881</v>
      </c>
      <c r="M88" s="3056">
        <f ca="1">IF(N69&gt;10000,N69*0.5%,IF(AND(N69&gt;5000,N69&lt;=10000),N69*1%,IF(AND(N69&gt;1000,N69&lt;=5000),N69*2%,IF(AND(N69&gt;200,N69&lt;=1000),N69*3%,N69*5%))))</f>
        <v>89.185000000000002</v>
      </c>
      <c r="N88" s="53">
        <f ca="1">ROUND(M88,1)</f>
        <v>89.2</v>
      </c>
      <c r="O88" s="3059"/>
      <c r="P88" s="11"/>
      <c r="Q88" s="2033"/>
      <c r="R88" s="2033"/>
      <c r="S88" s="2033"/>
      <c r="T88" s="2033"/>
      <c r="U88" s="2033"/>
      <c r="V88" s="2033"/>
      <c r="W88" s="2037"/>
      <c r="X88" s="2037"/>
      <c r="Y88" s="2037"/>
      <c r="Z88" s="2037"/>
    </row>
    <row r="89" spans="1:26" s="1314" customFormat="1" ht="14.25">
      <c r="A89" s="3321" t="s">
        <v>428</v>
      </c>
      <c r="B89" s="3322"/>
      <c r="C89" s="994"/>
      <c r="D89" s="994" t="s">
        <v>429</v>
      </c>
      <c r="E89" s="391" t="s">
        <v>438</v>
      </c>
      <c r="F89" s="392"/>
      <c r="G89" s="392"/>
      <c r="H89" s="393"/>
      <c r="I89" s="1316"/>
      <c r="J89" s="2038"/>
      <c r="K89" s="3303"/>
      <c r="L89" s="3066" t="s">
        <v>27</v>
      </c>
      <c r="M89" s="3057"/>
      <c r="N89" s="53">
        <f ca="1">ROUND(SUM(N83:N88),0)</f>
        <v>294</v>
      </c>
      <c r="O89" s="3067">
        <f ca="1">N89/N69</f>
        <v>1.6482592364186803E-2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16988</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2646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54" t="s">
        <v>447</v>
      </c>
      <c r="F94" s="3355"/>
      <c r="G94" s="3355"/>
      <c r="H94" s="335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85</v>
      </c>
      <c r="D96" s="406">
        <f>'数据-取费表'!B43</f>
        <v>5.000000000000001E-3</v>
      </c>
      <c r="E96" s="3344" t="s">
        <v>2428</v>
      </c>
      <c r="F96" s="3345"/>
      <c r="G96" s="3345"/>
      <c r="H96" s="334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2" t="s">
        <v>451</v>
      </c>
      <c r="C97" s="385">
        <f ca="1">C90-C91</f>
        <v>14342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2" t="s">
        <v>452</v>
      </c>
      <c r="C98" s="407">
        <f ca="1">IF(C97&lt;=0,0,C97/C91)</f>
        <v>5.4202569916855632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7" t="s">
        <v>453</v>
      </c>
      <c r="C99" s="408">
        <f ca="1">ROUND(IF(C97&lt;=0,0,IF(C98&gt;=200%,C97*60%-C91*35%,IF(C98&gt;=100%,C97*50%-C91*15%,IF(C98&gt;=50%,C97*40%-C91*5%,IF(C98&lt;50%,C97*30%,0))))),0)</f>
        <v>7679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57" t="s">
        <v>454</v>
      </c>
      <c r="B101" s="3358"/>
      <c r="C101" s="3358"/>
      <c r="D101" s="3358"/>
      <c r="E101" s="3358"/>
      <c r="F101" s="3358"/>
      <c r="G101" s="3358"/>
      <c r="H101" s="3358"/>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1" t="s">
        <v>428</v>
      </c>
      <c r="B102" s="3322"/>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16988</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775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6" t="s">
        <v>461</v>
      </c>
      <c r="C109" s="405">
        <f>IF(H109="——",IF(F1="现房",'剩余法-现房'!C18,'剩余法-待开发'!C18),I109)</f>
        <v>55</v>
      </c>
      <c r="D109" s="406"/>
      <c r="E109" s="3347" t="s">
        <v>462</v>
      </c>
      <c r="F109" s="3345"/>
      <c r="G109" s="3345"/>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6" t="s">
        <v>463</v>
      </c>
      <c r="C110" s="405">
        <f>ROUND((C105+C108+C109)*D110,0)</f>
        <v>63</v>
      </c>
      <c r="D110" s="406">
        <v>0.1</v>
      </c>
      <c r="E110" s="3347" t="s">
        <v>464</v>
      </c>
      <c r="F110" s="3345"/>
      <c r="G110" s="3345"/>
      <c r="H110" s="334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6" t="s">
        <v>450</v>
      </c>
      <c r="C111" s="405">
        <f ca="1">ROUND(D63*D111/(1+'数据-取费表'!C42),0)</f>
        <v>85</v>
      </c>
      <c r="D111" s="406">
        <f>'数据-取费表'!B43</f>
        <v>5.000000000000001E-3</v>
      </c>
      <c r="E111" s="3344" t="s">
        <v>2428</v>
      </c>
      <c r="F111" s="3345"/>
      <c r="G111" s="3345"/>
      <c r="H111" s="334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6" t="s">
        <v>465</v>
      </c>
      <c r="C112" s="405">
        <f>ROUND(C108*D112,0)</f>
        <v>0</v>
      </c>
      <c r="D112" s="406">
        <v>0.2</v>
      </c>
      <c r="E112" s="3347" t="s">
        <v>2453</v>
      </c>
      <c r="F112" s="3345"/>
      <c r="G112" s="3345"/>
      <c r="H112" s="334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2" t="s">
        <v>451</v>
      </c>
      <c r="C113" s="385">
        <f ca="1">ROUND(C103-C104,0)</f>
        <v>16213</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2" t="s">
        <v>452</v>
      </c>
      <c r="C114" s="407">
        <f ca="1">IF(C113&lt;=0,0,C113/C104)</f>
        <v>20.92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7" t="s">
        <v>453</v>
      </c>
      <c r="C115" s="408">
        <f ca="1">ROUND(IF(C113&lt;=0,0,IF(C114&gt;=200%,C113*60%-C104*35%,IF(C114&gt;=100%,C113*50%-C104*15%,IF(C114&gt;=50%,C113*40%-C104*5%,IF(C114&lt;50%,C113*30%,0))))),0)</f>
        <v>9457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2651</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26085</v>
      </c>
      <c r="D13" s="451"/>
      <c r="E13" s="365"/>
      <c r="F13" s="452"/>
      <c r="G13" s="444"/>
      <c r="H13" s="447"/>
      <c r="I13" s="447"/>
      <c r="J13" s="447"/>
      <c r="K13" s="448"/>
    </row>
    <row r="14" spans="1:41" s="2116" customFormat="1" ht="13.5" customHeight="1">
      <c r="A14" s="1633" t="s">
        <v>1850</v>
      </c>
      <c r="B14" s="449" t="s">
        <v>480</v>
      </c>
      <c r="C14" s="53">
        <f ca="1">ROUND(C13*F14,0)</f>
        <v>783</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815</v>
      </c>
      <c r="D15" s="451"/>
      <c r="E15" s="365"/>
      <c r="F15" s="453">
        <f>'数据-取费表'!B34</f>
        <v>0.05</v>
      </c>
      <c r="G15" s="444" t="s">
        <v>502</v>
      </c>
      <c r="H15" s="447"/>
      <c r="I15" s="447"/>
      <c r="J15" s="447"/>
      <c r="K15" s="448"/>
    </row>
    <row r="16" spans="1:41" s="2117" customFormat="1" ht="13.5" customHeight="1">
      <c r="A16" s="1633" t="s">
        <v>1852</v>
      </c>
      <c r="B16" s="449" t="s">
        <v>484</v>
      </c>
      <c r="C16" s="53">
        <f ca="1">ROUND(D16*E16/10000,0)</f>
        <v>2329</v>
      </c>
      <c r="D16" s="451">
        <f ca="1">IF(B1="",'数据-汇总表'!E3,INDIRECT("'数据-取费表'!K"&amp;$K$1)+INDIRECT("'数据-取费表'!S"&amp;$K$1))</f>
        <v>116451.76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391</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30403</v>
      </c>
      <c r="D18" s="461"/>
      <c r="E18" s="462"/>
      <c r="F18" s="462"/>
      <c r="G18" s="1327" t="s">
        <v>2432</v>
      </c>
      <c r="H18" s="447"/>
      <c r="I18" s="447"/>
      <c r="J18" s="447"/>
      <c r="K18" s="448"/>
    </row>
    <row r="19" spans="1:14" s="2119" customFormat="1" ht="13.5" customHeight="1">
      <c r="A19" s="1634" t="s">
        <v>1855</v>
      </c>
      <c r="B19" s="459" t="s">
        <v>493</v>
      </c>
      <c r="C19" s="460">
        <f ca="1">ROUND(C18*F19,0)</f>
        <v>608</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30">
        <f>F20</f>
        <v>0.02</v>
      </c>
      <c r="D20" s="469" t="s">
        <v>505</v>
      </c>
      <c r="E20" s="469"/>
      <c r="F20" s="486">
        <f>'数据-取费表'!B38</f>
        <v>0.02</v>
      </c>
      <c r="G20" s="1327" t="s">
        <v>506</v>
      </c>
      <c r="H20" s="447"/>
      <c r="I20" s="447"/>
      <c r="J20" s="447"/>
      <c r="K20" s="448"/>
      <c r="L20" s="2121"/>
      <c r="M20" s="2121"/>
      <c r="N20" s="2121"/>
    </row>
    <row r="21" spans="1:14" s="2121" customFormat="1" ht="13.5" customHeight="1">
      <c r="A21" s="1634" t="s">
        <v>1859</v>
      </c>
      <c r="B21" s="461" t="s">
        <v>494</v>
      </c>
      <c r="C21" s="470">
        <f ca="1">C22</f>
        <v>1473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3" t="s">
        <v>1849</v>
      </c>
      <c r="B22" s="1328" t="s">
        <v>2435</v>
      </c>
      <c r="C22" s="487">
        <f ca="1">ROUND(IF('数据-取费表'!B22&lt;=1,(C18+C19)*F21*'数据-取费表'!B20/2,(C18+C19)*(POWER((1+F21),'数据-取费表'!B20/2)-1)),0)</f>
        <v>1473</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1850</v>
      </c>
      <c r="B23" s="1328" t="s">
        <v>508</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32" t="s">
        <v>2831</v>
      </c>
      <c r="C24" s="478">
        <f ca="1">C25</f>
        <v>4652</v>
      </c>
      <c r="D24" s="489">
        <f ca="1">C26</f>
        <v>3.0000000000000001E-3</v>
      </c>
      <c r="E24" s="469" t="s">
        <v>507</v>
      </c>
      <c r="F24" s="479">
        <f ca="1">IF(B1="",'数据-取费表'!Q16,INDIRECT("'数据-取费表'!q"&amp;$K$1))</f>
        <v>0.15</v>
      </c>
      <c r="G24" s="444"/>
      <c r="H24" s="447"/>
      <c r="I24" s="447"/>
      <c r="J24" s="447"/>
      <c r="K24" s="448"/>
    </row>
    <row r="25" spans="1:14" s="2120" customFormat="1" ht="13.5" customHeight="1">
      <c r="A25" s="1633" t="s">
        <v>1849</v>
      </c>
      <c r="B25" s="1328" t="s">
        <v>2436</v>
      </c>
      <c r="C25" s="490">
        <f ca="1">ROUND((C18+C19)*F24,0)</f>
        <v>4652</v>
      </c>
      <c r="D25" s="472"/>
      <c r="E25" s="473"/>
      <c r="F25" s="480"/>
      <c r="G25" s="1326" t="s">
        <v>2433</v>
      </c>
      <c r="H25" s="457"/>
      <c r="I25" s="457"/>
      <c r="J25" s="457"/>
      <c r="K25" s="458"/>
    </row>
    <row r="26" spans="1:14" s="2120" customFormat="1" ht="13.5" customHeight="1">
      <c r="A26" s="1633" t="s">
        <v>1850</v>
      </c>
      <c r="B26" s="1328" t="s">
        <v>509</v>
      </c>
      <c r="C26" s="491">
        <f ca="1">ROUND(F20*F24,4)</f>
        <v>3.0000000000000001E-3</v>
      </c>
      <c r="D26" s="472"/>
      <c r="E26" s="481"/>
      <c r="F26" s="480"/>
      <c r="G26" s="1326" t="s">
        <v>510</v>
      </c>
      <c r="H26" s="457"/>
      <c r="I26" s="457"/>
      <c r="J26" s="457"/>
      <c r="K26" s="458"/>
    </row>
    <row r="27" spans="1:14" s="2120" customFormat="1" ht="13.5" customHeight="1">
      <c r="A27" s="1637" t="s">
        <v>1868</v>
      </c>
      <c r="B27" s="459" t="s">
        <v>511</v>
      </c>
      <c r="C27" s="3031">
        <f>ROUND(F27/(1+'数据-取费表'!C42),4)</f>
        <v>5.2400000000000002E-2</v>
      </c>
      <c r="D27" s="462" t="s">
        <v>2829</v>
      </c>
      <c r="E27" s="462"/>
      <c r="F27" s="466">
        <f>'数据-取费表'!B41</f>
        <v>5.5000000000000007E-2</v>
      </c>
      <c r="G27" s="1960" t="s">
        <v>2293</v>
      </c>
      <c r="H27" s="447"/>
      <c r="I27" s="447"/>
      <c r="J27" s="447"/>
      <c r="K27" s="448"/>
    </row>
    <row r="28" spans="1:14" s="2121" customFormat="1" ht="13.5" customHeight="1">
      <c r="A28" s="1637" t="s">
        <v>1869</v>
      </c>
      <c r="B28" s="476" t="s">
        <v>512</v>
      </c>
      <c r="C28" s="470">
        <f ca="1">ROUND((C18+C19+C21+C24)/(1-C20-D21-D24-C27),0)</f>
        <v>40208</v>
      </c>
      <c r="D28" s="477"/>
      <c r="E28" s="469"/>
      <c r="F28" s="471"/>
      <c r="G28" s="1327" t="s">
        <v>2434</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1866</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L31" sqref="L3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17805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1529</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3822</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255</v>
      </c>
      <c r="C5" s="431" t="s">
        <v>469</v>
      </c>
      <c r="D5" s="2061"/>
      <c r="E5" s="2061"/>
      <c r="F5" s="2061"/>
      <c r="G5" s="2128"/>
      <c r="H5" s="2128"/>
      <c r="I5" s="3200" t="s">
        <v>3143</v>
      </c>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402" t="s">
        <v>522</v>
      </c>
      <c r="D6" s="3403"/>
      <c r="E6" s="3402" t="s">
        <v>523</v>
      </c>
      <c r="F6" s="3403"/>
      <c r="G6" s="3402" t="s">
        <v>524</v>
      </c>
      <c r="H6" s="3403"/>
      <c r="I6" s="3402" t="s">
        <v>525</v>
      </c>
      <c r="J6" s="3403"/>
      <c r="K6" s="514" t="s">
        <v>526</v>
      </c>
      <c r="L6" s="2133"/>
      <c r="M6" s="2132"/>
      <c r="N6" s="2132"/>
      <c r="O6" s="2134"/>
      <c r="P6" s="3404" t="s">
        <v>527</v>
      </c>
      <c r="Q6" s="3405"/>
      <c r="R6" s="3390" t="s">
        <v>523</v>
      </c>
      <c r="S6" s="3391"/>
      <c r="T6" s="3390" t="s">
        <v>524</v>
      </c>
      <c r="U6" s="3391"/>
      <c r="V6" s="3410" t="s">
        <v>525</v>
      </c>
      <c r="W6" s="3410"/>
      <c r="X6" s="1567"/>
      <c r="Y6" s="3390" t="s">
        <v>527</v>
      </c>
      <c r="Z6" s="3391"/>
      <c r="AA6" s="3385" t="s">
        <v>523</v>
      </c>
      <c r="AB6" s="3386" t="s">
        <v>524</v>
      </c>
      <c r="AC6" s="3385" t="s">
        <v>525</v>
      </c>
    </row>
    <row r="7" spans="1:30" ht="20.25">
      <c r="A7" s="515"/>
      <c r="B7" s="516"/>
      <c r="C7" s="3413" t="s">
        <v>2927</v>
      </c>
      <c r="D7" s="3414"/>
      <c r="E7" s="3413" t="str">
        <f>Sheet2!A2</f>
        <v>崔墩路南侧、秀夫路西侧地块</v>
      </c>
      <c r="F7" s="3414"/>
      <c r="G7" s="3413" t="str">
        <f>Sheet2!A3</f>
        <v>人民路东、双湖路北侧地块二</v>
      </c>
      <c r="H7" s="3414"/>
      <c r="I7" s="3413" t="str">
        <f>Sheet2!A4</f>
        <v>人民路东、双湖路北侧地块一</v>
      </c>
      <c r="J7" s="3414"/>
      <c r="K7" s="514"/>
      <c r="L7" s="2133"/>
      <c r="M7" s="2132"/>
      <c r="N7" s="2132"/>
      <c r="O7" s="2134"/>
      <c r="P7" s="3406"/>
      <c r="Q7" s="3407"/>
      <c r="R7" s="3392"/>
      <c r="S7" s="3393"/>
      <c r="T7" s="3392"/>
      <c r="U7" s="3393"/>
      <c r="V7" s="3410"/>
      <c r="W7" s="3410"/>
      <c r="X7" s="1567"/>
      <c r="Y7" s="3392"/>
      <c r="Z7" s="3393"/>
      <c r="AA7" s="3386"/>
      <c r="AB7" s="3386"/>
      <c r="AC7" s="3386"/>
    </row>
    <row r="8" spans="1:30" ht="21" thickBot="1">
      <c r="A8" s="515"/>
      <c r="B8" s="516"/>
      <c r="C8" s="3415" t="s">
        <v>2931</v>
      </c>
      <c r="D8" s="3416"/>
      <c r="E8" s="3415" t="str">
        <f>土地案例!F12</f>
        <v>2017-R3</v>
      </c>
      <c r="F8" s="3416"/>
      <c r="G8" s="3411" t="str">
        <f>土地案例!F13</f>
        <v>2017-R4</v>
      </c>
      <c r="H8" s="3412"/>
      <c r="I8" s="3411" t="str">
        <f>土地案例!F15</f>
        <v>2017-G4</v>
      </c>
      <c r="J8" s="3412"/>
      <c r="K8" s="514" t="s">
        <v>528</v>
      </c>
      <c r="L8" s="2133"/>
      <c r="M8" s="2132"/>
      <c r="N8" s="2132"/>
      <c r="O8" s="2134"/>
      <c r="P8" s="3408"/>
      <c r="Q8" s="3409"/>
      <c r="R8" s="3392"/>
      <c r="S8" s="3393"/>
      <c r="T8" s="3394"/>
      <c r="U8" s="3395"/>
      <c r="V8" s="3410"/>
      <c r="W8" s="3410"/>
      <c r="X8" s="1567"/>
      <c r="Y8" s="3394"/>
      <c r="Z8" s="3395"/>
      <c r="AA8" s="3387"/>
      <c r="AB8" s="3387"/>
      <c r="AC8" s="3387"/>
    </row>
    <row r="9" spans="1:30" s="1220" customFormat="1" ht="21" thickBot="1">
      <c r="A9" s="2912"/>
      <c r="B9" s="2919" t="s">
        <v>529</v>
      </c>
      <c r="C9" s="2911">
        <f>'数据-取费表'!B2</f>
        <v>43606</v>
      </c>
      <c r="D9" s="520">
        <v>100</v>
      </c>
      <c r="E9" s="521" t="str">
        <f>土地案例!K12</f>
        <v>2017-10-20</v>
      </c>
      <c r="F9" s="522">
        <f>SUMIF(72:72,YEAR(E9)&amp;"-"&amp;INT((MONTH(E9)+2)/3),73:73)</f>
        <v>97</v>
      </c>
      <c r="G9" s="523" t="str">
        <f>土地案例!K13</f>
        <v>2017-10-20</v>
      </c>
      <c r="H9" s="520">
        <f>SUMIF(72:72,YEAR(G9)&amp;"-"&amp;INT((MONTH(G9)+2)/3),73:73)</f>
        <v>97</v>
      </c>
      <c r="I9" s="523" t="str">
        <f>土地案例!K15</f>
        <v>2017-08-30</v>
      </c>
      <c r="J9" s="520">
        <f>SUMIF(72:72,YEAR(I9)&amp;"-"&amp;INT((MONTH(I9)+2)/3),73:73)</f>
        <v>96.5</v>
      </c>
      <c r="K9" s="524"/>
      <c r="L9" s="2135"/>
      <c r="M9" s="2132"/>
      <c r="N9" s="2132"/>
      <c r="O9" s="2136"/>
      <c r="P9" s="3388" t="s">
        <v>530</v>
      </c>
      <c r="Q9" s="3397"/>
      <c r="R9" s="1568" t="s">
        <v>8</v>
      </c>
      <c r="S9" s="1569">
        <f t="shared" ref="S9:S17" si="0">F9</f>
        <v>97</v>
      </c>
      <c r="T9" s="1568" t="s">
        <v>8</v>
      </c>
      <c r="U9" s="1569">
        <f t="shared" ref="U9:U17" si="1">H9</f>
        <v>97</v>
      </c>
      <c r="V9" s="1568" t="s">
        <v>8</v>
      </c>
      <c r="W9" s="1569">
        <f t="shared" ref="W9:W17" si="2">J9</f>
        <v>96.5</v>
      </c>
      <c r="X9" s="1570"/>
      <c r="Y9" s="3388" t="s">
        <v>530</v>
      </c>
      <c r="Z9" s="3389"/>
      <c r="AA9" s="1571">
        <f>D9/F9</f>
        <v>1.0309278350515463</v>
      </c>
      <c r="AB9" s="1571">
        <f>D9/H9</f>
        <v>1.0309278350515463</v>
      </c>
      <c r="AC9" s="1571">
        <f>D9/J9</f>
        <v>1.0362694300518134</v>
      </c>
    </row>
    <row r="10" spans="1:30" s="1220" customFormat="1" ht="21" thickBot="1">
      <c r="A10" s="2913"/>
      <c r="B10" s="2920" t="s">
        <v>531</v>
      </c>
      <c r="C10" s="856" t="s">
        <v>532</v>
      </c>
      <c r="D10" s="520">
        <v>100</v>
      </c>
      <c r="E10" s="525" t="s">
        <v>3136</v>
      </c>
      <c r="F10" s="522">
        <f>SUMIF(75:75,E10,76:76)-SUMIF(75:75,C10,76:76)+100</f>
        <v>100</v>
      </c>
      <c r="G10" s="525" t="s">
        <v>3136</v>
      </c>
      <c r="H10" s="520">
        <f>SUMIF(75:75,G10,76:76)-SUMIF(75:75,C10,76:76)+100</f>
        <v>100</v>
      </c>
      <c r="I10" s="525" t="s">
        <v>3136</v>
      </c>
      <c r="J10" s="520">
        <f>SUMIF(75:75,I10,76:76)-SUMIF(75:75,C10,76:76)+100</f>
        <v>100</v>
      </c>
      <c r="K10" s="524"/>
      <c r="L10" s="2135"/>
      <c r="M10" s="2132"/>
      <c r="N10" s="2132"/>
      <c r="O10" s="2136"/>
      <c r="P10" s="3388" t="s">
        <v>533</v>
      </c>
      <c r="Q10" s="3389"/>
      <c r="R10" s="1568" t="s">
        <v>8</v>
      </c>
      <c r="S10" s="1569">
        <f t="shared" si="0"/>
        <v>100</v>
      </c>
      <c r="T10" s="1568" t="s">
        <v>8</v>
      </c>
      <c r="U10" s="1569">
        <f t="shared" si="1"/>
        <v>100</v>
      </c>
      <c r="V10" s="1568" t="s">
        <v>8</v>
      </c>
      <c r="W10" s="1569">
        <f t="shared" si="2"/>
        <v>100</v>
      </c>
      <c r="X10" s="1570"/>
      <c r="Y10" s="3388" t="s">
        <v>533</v>
      </c>
      <c r="Z10" s="3389"/>
      <c r="AA10" s="1571">
        <f t="shared" ref="AA10:AA47" si="3">D10/F10</f>
        <v>1</v>
      </c>
      <c r="AB10" s="1571">
        <f t="shared" ref="AB10:AB47" si="4">D10/H10</f>
        <v>1</v>
      </c>
      <c r="AC10" s="1571">
        <f t="shared" ref="AC10:AC47" si="5">D10/J10</f>
        <v>1</v>
      </c>
    </row>
    <row r="11" spans="1:30" s="1220" customFormat="1" ht="20.25">
      <c r="A11" s="2914"/>
      <c r="B11" s="2921" t="s">
        <v>2755</v>
      </c>
      <c r="C11" s="2908" t="s">
        <v>3250</v>
      </c>
      <c r="D11" s="254">
        <v>100</v>
      </c>
      <c r="E11" s="2908" t="s">
        <v>3250</v>
      </c>
      <c r="F11" s="254">
        <f>SUMIF(77:77,E11,78:78)-SUMIF(77:77,C11,78:78)+100</f>
        <v>100</v>
      </c>
      <c r="G11" s="2908" t="s">
        <v>3250</v>
      </c>
      <c r="H11" s="254">
        <f>SUMIF(77:77,G11,78:78)-SUMIF(77:77,C11,78:78)+100</f>
        <v>100</v>
      </c>
      <c r="I11" s="2908" t="s">
        <v>3250</v>
      </c>
      <c r="J11" s="254">
        <f>SUMIF(77:77,I11,78:78)-SUMIF(77:77,C11,78:78)+100</f>
        <v>100</v>
      </c>
      <c r="K11" s="524"/>
      <c r="L11" s="2135"/>
      <c r="M11" s="2132"/>
      <c r="N11" s="2132"/>
      <c r="O11" s="2137"/>
      <c r="P11" s="3396" t="s">
        <v>535</v>
      </c>
      <c r="Q11" s="1151" t="str">
        <f t="shared" ref="Q11:Q17" si="6">B11</f>
        <v>用途</v>
      </c>
      <c r="R11" s="1568" t="s">
        <v>8</v>
      </c>
      <c r="S11" s="1569">
        <f t="shared" si="0"/>
        <v>100</v>
      </c>
      <c r="T11" s="1568" t="s">
        <v>8</v>
      </c>
      <c r="U11" s="1569">
        <f t="shared" si="1"/>
        <v>100</v>
      </c>
      <c r="V11" s="1568" t="s">
        <v>8</v>
      </c>
      <c r="W11" s="1569">
        <f t="shared" si="2"/>
        <v>100</v>
      </c>
      <c r="X11" s="1570"/>
      <c r="Y11" s="3353" t="s">
        <v>536</v>
      </c>
      <c r="Z11" s="1150" t="str">
        <f t="shared" ref="Z11:Z17" si="7">Q11</f>
        <v>用途</v>
      </c>
      <c r="AA11" s="1571">
        <f t="shared" si="3"/>
        <v>1</v>
      </c>
      <c r="AB11" s="1571">
        <f t="shared" si="4"/>
        <v>1</v>
      </c>
      <c r="AC11" s="1571">
        <f t="shared" si="5"/>
        <v>1</v>
      </c>
    </row>
    <row r="12" spans="1:30" s="1338" customFormat="1" ht="27">
      <c r="A12" s="2915"/>
      <c r="B12" s="2920" t="s">
        <v>2756</v>
      </c>
      <c r="C12" s="910"/>
      <c r="D12" s="255">
        <v>100</v>
      </c>
      <c r="E12" s="529"/>
      <c r="F12" s="255">
        <f>ROUND(100/'数据-取费表'!G16,0)</f>
        <v>102</v>
      </c>
      <c r="G12" s="530"/>
      <c r="H12" s="255">
        <f>ROUND(100/'数据-取费表'!G16,0)</f>
        <v>102</v>
      </c>
      <c r="I12" s="530"/>
      <c r="J12" s="255">
        <f>ROUND(100/'数据-取费表'!G16,0)</f>
        <v>102</v>
      </c>
      <c r="K12" s="531"/>
      <c r="L12" s="2138"/>
      <c r="M12" s="2132"/>
      <c r="N12" s="2132"/>
      <c r="O12" s="2139"/>
      <c r="P12" s="3396"/>
      <c r="Q12" s="1151" t="str">
        <f t="shared" si="6"/>
        <v>土地使用年限（年）</v>
      </c>
      <c r="R12" s="1568" t="s">
        <v>8</v>
      </c>
      <c r="S12" s="1569">
        <f t="shared" si="0"/>
        <v>102</v>
      </c>
      <c r="T12" s="1568" t="s">
        <v>8</v>
      </c>
      <c r="U12" s="1569">
        <f t="shared" si="1"/>
        <v>102</v>
      </c>
      <c r="V12" s="1568" t="s">
        <v>8</v>
      </c>
      <c r="W12" s="1569">
        <f t="shared" si="2"/>
        <v>102</v>
      </c>
      <c r="X12" s="1570"/>
      <c r="Y12" s="3353"/>
      <c r="Z12" s="1150" t="str">
        <f t="shared" si="7"/>
        <v>土地使用年限（年）</v>
      </c>
      <c r="AA12" s="1571">
        <f t="shared" si="3"/>
        <v>0.98039215686274506</v>
      </c>
      <c r="AB12" s="1571">
        <f t="shared" si="4"/>
        <v>0.98039215686274506</v>
      </c>
      <c r="AC12" s="1571">
        <f t="shared" si="5"/>
        <v>0.98039215686274506</v>
      </c>
    </row>
    <row r="13" spans="1:30" ht="20.25">
      <c r="A13" s="2916"/>
      <c r="B13" s="2920" t="s">
        <v>2757</v>
      </c>
      <c r="C13" s="534">
        <f>'数据-汇总表'!I6</f>
        <v>2.5</v>
      </c>
      <c r="D13" s="255">
        <v>100</v>
      </c>
      <c r="E13" s="533">
        <v>2</v>
      </c>
      <c r="F13" s="255">
        <f>LOOKUP(E13,82:82,83:83)-LOOKUP(C13,82:82,83:83)+100</f>
        <v>102</v>
      </c>
      <c r="G13" s="534">
        <v>2</v>
      </c>
      <c r="H13" s="255">
        <f>LOOKUP(G13,82:82,83:83)-LOOKUP(C13,82:82,83:83)+100</f>
        <v>102</v>
      </c>
      <c r="I13" s="533">
        <v>2</v>
      </c>
      <c r="J13" s="255">
        <f>LOOKUP(I13,82:82,83:83)-LOOKUP(C13,82:82,83:83)+100</f>
        <v>102</v>
      </c>
      <c r="K13" s="535">
        <v>2</v>
      </c>
      <c r="L13" s="2140"/>
      <c r="M13" s="2132"/>
      <c r="N13" s="2132"/>
      <c r="O13" s="2141"/>
      <c r="P13" s="3396"/>
      <c r="Q13" s="1151" t="str">
        <f t="shared" si="6"/>
        <v>容积率</v>
      </c>
      <c r="R13" s="1568" t="s">
        <v>8</v>
      </c>
      <c r="S13" s="1569">
        <f t="shared" si="0"/>
        <v>102</v>
      </c>
      <c r="T13" s="1568" t="s">
        <v>8</v>
      </c>
      <c r="U13" s="1569">
        <f t="shared" si="1"/>
        <v>102</v>
      </c>
      <c r="V13" s="1568" t="s">
        <v>8</v>
      </c>
      <c r="W13" s="1569">
        <f t="shared" si="2"/>
        <v>102</v>
      </c>
      <c r="X13" s="1570"/>
      <c r="Y13" s="3353"/>
      <c r="Z13" s="1150" t="str">
        <f t="shared" si="7"/>
        <v>容积率</v>
      </c>
      <c r="AA13" s="1571">
        <f t="shared" si="3"/>
        <v>0.98039215686274506</v>
      </c>
      <c r="AB13" s="1571">
        <f t="shared" si="4"/>
        <v>0.98039215686274506</v>
      </c>
      <c r="AC13" s="1571">
        <f t="shared" si="5"/>
        <v>0.98039215686274506</v>
      </c>
    </row>
    <row r="14" spans="1:30" s="1220" customFormat="1" ht="20.25">
      <c r="A14" s="2913"/>
      <c r="B14" s="2922" t="s">
        <v>2758</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96"/>
      <c r="Q14" s="1151" t="str">
        <f t="shared" si="6"/>
        <v>配建</v>
      </c>
      <c r="R14" s="1568" t="s">
        <v>8</v>
      </c>
      <c r="S14" s="1569">
        <f t="shared" si="0"/>
        <v>100</v>
      </c>
      <c r="T14" s="1568" t="s">
        <v>8</v>
      </c>
      <c r="U14" s="1569">
        <f t="shared" si="1"/>
        <v>100</v>
      </c>
      <c r="V14" s="1568" t="s">
        <v>8</v>
      </c>
      <c r="W14" s="1569">
        <f t="shared" si="2"/>
        <v>100</v>
      </c>
      <c r="X14" s="1570"/>
      <c r="Y14" s="3353"/>
      <c r="Z14" s="1150" t="str">
        <f t="shared" si="7"/>
        <v>配建</v>
      </c>
      <c r="AA14" s="1571">
        <f>D14/F14</f>
        <v>1</v>
      </c>
      <c r="AB14" s="1571">
        <f>D14/H14</f>
        <v>1</v>
      </c>
      <c r="AC14" s="1571">
        <f>D14/J14</f>
        <v>1</v>
      </c>
    </row>
    <row r="15" spans="1:30" ht="20.25">
      <c r="A15" s="2917"/>
      <c r="B15" s="3210" t="s">
        <v>3251</v>
      </c>
      <c r="C15" s="3211">
        <v>0.3</v>
      </c>
      <c r="D15" s="540">
        <v>100</v>
      </c>
      <c r="E15" s="3213" t="s">
        <v>3252</v>
      </c>
      <c r="F15" s="255">
        <f>SUMIF(86:86,E15,87:87)-SUMIF(86:86,C15,87:87)+100</f>
        <v>110</v>
      </c>
      <c r="G15" s="3214" t="s">
        <v>3253</v>
      </c>
      <c r="H15" s="540">
        <f>SUMIF(86:86,G15,87:87)-SUMIF(86:86,C15,87:87)+100</f>
        <v>110</v>
      </c>
      <c r="I15" s="3214" t="s">
        <v>3253</v>
      </c>
      <c r="J15" s="540">
        <f>SUMIF(86:86,I15,87:87)-SUMIF(86:86,C15,87:87)+100</f>
        <v>110</v>
      </c>
      <c r="K15" s="531"/>
      <c r="L15" s="2142"/>
      <c r="M15" s="2132"/>
      <c r="N15" s="2132"/>
      <c r="O15" s="2141"/>
      <c r="P15" s="3396"/>
      <c r="Q15" s="1151" t="str">
        <f t="shared" si="6"/>
        <v>商住比</v>
      </c>
      <c r="R15" s="1568" t="s">
        <v>8</v>
      </c>
      <c r="S15" s="1569">
        <f t="shared" si="0"/>
        <v>110</v>
      </c>
      <c r="T15" s="1568" t="s">
        <v>8</v>
      </c>
      <c r="U15" s="1569">
        <f t="shared" si="1"/>
        <v>110</v>
      </c>
      <c r="V15" s="1568" t="s">
        <v>8</v>
      </c>
      <c r="W15" s="1569">
        <f t="shared" si="2"/>
        <v>110</v>
      </c>
      <c r="X15" s="1570"/>
      <c r="Y15" s="3353"/>
      <c r="Z15" s="1150" t="str">
        <f t="shared" si="7"/>
        <v>商住比</v>
      </c>
      <c r="AA15" s="1571">
        <f>D15/F15</f>
        <v>0.90909090909090906</v>
      </c>
      <c r="AB15" s="1571">
        <f>D15/H15</f>
        <v>0.90909090909090906</v>
      </c>
      <c r="AC15" s="1571">
        <f>D15/J15</f>
        <v>0.90909090909090906</v>
      </c>
    </row>
    <row r="16" spans="1:30" ht="21" thickBot="1">
      <c r="A16" s="2918"/>
      <c r="B16" s="2924"/>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6"/>
      <c r="Q16" s="1151">
        <f t="shared" si="6"/>
        <v>0</v>
      </c>
      <c r="R16" s="1568" t="s">
        <v>8</v>
      </c>
      <c r="S16" s="1569">
        <f t="shared" si="0"/>
        <v>100</v>
      </c>
      <c r="T16" s="1568" t="s">
        <v>8</v>
      </c>
      <c r="U16" s="1569">
        <f t="shared" si="1"/>
        <v>100</v>
      </c>
      <c r="V16" s="1568" t="s">
        <v>8</v>
      </c>
      <c r="W16" s="1569">
        <f t="shared" si="2"/>
        <v>100</v>
      </c>
      <c r="X16" s="1570"/>
      <c r="Y16" s="3353"/>
      <c r="Z16" s="1150">
        <f t="shared" si="7"/>
        <v>0</v>
      </c>
      <c r="AA16" s="1571">
        <f>D16/F16</f>
        <v>1</v>
      </c>
      <c r="AB16" s="1571">
        <f>D16/H16</f>
        <v>1</v>
      </c>
      <c r="AC16" s="1571">
        <f>D16/J16</f>
        <v>1</v>
      </c>
    </row>
    <row r="17" spans="1:29" ht="99.75">
      <c r="A17" s="2910"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2"/>
      <c r="M17" s="2132"/>
      <c r="N17" s="2132"/>
      <c r="O17" s="2141"/>
      <c r="P17" s="3398" t="s">
        <v>540</v>
      </c>
      <c r="Q17" s="1572" t="str">
        <f t="shared" si="6"/>
        <v>居住社区成熟度</v>
      </c>
      <c r="R17" s="1573" t="s">
        <v>8</v>
      </c>
      <c r="S17" s="1574">
        <f t="shared" si="0"/>
        <v>105</v>
      </c>
      <c r="T17" s="1573" t="s">
        <v>8</v>
      </c>
      <c r="U17" s="1574">
        <f t="shared" si="1"/>
        <v>105</v>
      </c>
      <c r="V17" s="1573" t="s">
        <v>8</v>
      </c>
      <c r="W17" s="1574">
        <f t="shared" si="2"/>
        <v>105</v>
      </c>
      <c r="X17" s="1567"/>
      <c r="Y17" s="3398" t="s">
        <v>540</v>
      </c>
      <c r="Z17" s="1575" t="str">
        <f t="shared" si="7"/>
        <v>居住社区成熟度</v>
      </c>
      <c r="AA17" s="1576">
        <f t="shared" si="3"/>
        <v>0.95238095238095233</v>
      </c>
      <c r="AB17" s="1576">
        <f t="shared" si="4"/>
        <v>0.95238095238095233</v>
      </c>
      <c r="AC17" s="1576">
        <f t="shared" si="5"/>
        <v>0.95238095238095233</v>
      </c>
    </row>
    <row r="18" spans="1:29" ht="20.25">
      <c r="A18" s="532"/>
      <c r="B18" s="553"/>
      <c r="C18" s="554" t="s">
        <v>3145</v>
      </c>
      <c r="D18" s="557"/>
      <c r="E18" s="558" t="s">
        <v>3144</v>
      </c>
      <c r="F18" s="555"/>
      <c r="G18" s="558" t="s">
        <v>3144</v>
      </c>
      <c r="H18" s="559"/>
      <c r="I18" s="558" t="s">
        <v>3144</v>
      </c>
      <c r="J18" s="555"/>
      <c r="K18" s="531"/>
      <c r="L18" s="2142"/>
      <c r="M18" s="2132"/>
      <c r="N18" s="2132"/>
      <c r="O18" s="2141"/>
      <c r="P18" s="3399"/>
      <c r="Q18" s="1572"/>
      <c r="R18" s="1573"/>
      <c r="S18" s="1574"/>
      <c r="T18" s="1573"/>
      <c r="U18" s="1574"/>
      <c r="V18" s="1573"/>
      <c r="W18" s="1574"/>
      <c r="X18" s="1567"/>
      <c r="Y18" s="3399"/>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c r="L19" s="2142"/>
      <c r="M19" s="2132"/>
      <c r="N19" s="2132"/>
      <c r="O19" s="2141"/>
      <c r="P19" s="3399"/>
      <c r="Q19" s="1572" t="str">
        <f>B19</f>
        <v>商业繁华度</v>
      </c>
      <c r="R19" s="1573" t="s">
        <v>8</v>
      </c>
      <c r="S19" s="1574">
        <f>F19</f>
        <v>100</v>
      </c>
      <c r="T19" s="1573" t="s">
        <v>8</v>
      </c>
      <c r="U19" s="1574">
        <f>H19</f>
        <v>100</v>
      </c>
      <c r="V19" s="1573" t="s">
        <v>8</v>
      </c>
      <c r="W19" s="1574">
        <f>J19</f>
        <v>100</v>
      </c>
      <c r="X19" s="1567"/>
      <c r="Y19" s="3399"/>
      <c r="Z19" s="1575" t="str">
        <f>Q19</f>
        <v>商业繁华度</v>
      </c>
      <c r="AA19" s="1576">
        <f t="shared" si="3"/>
        <v>1</v>
      </c>
      <c r="AB19" s="1576">
        <f t="shared" si="4"/>
        <v>1</v>
      </c>
      <c r="AC19" s="1576">
        <f t="shared" si="5"/>
        <v>1</v>
      </c>
    </row>
    <row r="20" spans="1:29" ht="20.25">
      <c r="A20" s="532"/>
      <c r="B20" s="566"/>
      <c r="C20" s="567" t="s">
        <v>3144</v>
      </c>
      <c r="D20" s="563"/>
      <c r="E20" s="569" t="s">
        <v>3144</v>
      </c>
      <c r="F20" s="559"/>
      <c r="G20" s="569" t="s">
        <v>3144</v>
      </c>
      <c r="H20" s="555"/>
      <c r="I20" s="569" t="s">
        <v>3144</v>
      </c>
      <c r="J20" s="555"/>
      <c r="K20" s="531"/>
      <c r="L20" s="2142"/>
      <c r="M20" s="2132"/>
      <c r="N20" s="2132"/>
      <c r="O20" s="2141"/>
      <c r="P20" s="3399"/>
      <c r="Q20" s="1572"/>
      <c r="R20" s="1573"/>
      <c r="S20" s="1574"/>
      <c r="T20" s="1573"/>
      <c r="U20" s="1574"/>
      <c r="V20" s="1573"/>
      <c r="W20" s="1574"/>
      <c r="X20" s="1567"/>
      <c r="Y20" s="3399"/>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2"/>
      <c r="M21" s="2132"/>
      <c r="N21" s="2132"/>
      <c r="O21" s="2141"/>
      <c r="P21" s="3399"/>
      <c r="Q21" s="1572" t="str">
        <f>B21</f>
        <v>办公集聚程度</v>
      </c>
      <c r="R21" s="1573" t="s">
        <v>8</v>
      </c>
      <c r="S21" s="1574">
        <f>F21</f>
        <v>100</v>
      </c>
      <c r="T21" s="1573" t="s">
        <v>8</v>
      </c>
      <c r="U21" s="1574">
        <f>H21</f>
        <v>100</v>
      </c>
      <c r="V21" s="1573" t="s">
        <v>8</v>
      </c>
      <c r="W21" s="1574">
        <f>J21</f>
        <v>100</v>
      </c>
      <c r="X21" s="1567"/>
      <c r="Y21" s="3399"/>
      <c r="Z21" s="1575" t="str">
        <f>Q21</f>
        <v>办公集聚程度</v>
      </c>
      <c r="AA21" s="1576">
        <f t="shared" si="3"/>
        <v>1</v>
      </c>
      <c r="AB21" s="1576">
        <f t="shared" si="4"/>
        <v>1</v>
      </c>
      <c r="AC21" s="1576">
        <f t="shared" si="5"/>
        <v>1</v>
      </c>
    </row>
    <row r="22" spans="1:29" ht="20.25">
      <c r="A22" s="532"/>
      <c r="B22" s="566"/>
      <c r="C22" s="554" t="s">
        <v>3145</v>
      </c>
      <c r="D22" s="557"/>
      <c r="E22" s="558" t="s">
        <v>3145</v>
      </c>
      <c r="F22" s="555"/>
      <c r="G22" s="558" t="s">
        <v>3145</v>
      </c>
      <c r="H22" s="555"/>
      <c r="I22" s="558" t="s">
        <v>3145</v>
      </c>
      <c r="J22" s="555"/>
      <c r="K22" s="531"/>
      <c r="L22" s="2142"/>
      <c r="M22" s="2132"/>
      <c r="N22" s="2132"/>
      <c r="O22" s="2141"/>
      <c r="P22" s="3399"/>
      <c r="Q22" s="1572"/>
      <c r="R22" s="1573"/>
      <c r="S22" s="1574"/>
      <c r="T22" s="1573"/>
      <c r="U22" s="1574"/>
      <c r="V22" s="1573"/>
      <c r="W22" s="1574"/>
      <c r="X22" s="1567"/>
      <c r="Y22" s="3399"/>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4"/>
      <c r="H23" s="559">
        <f>SUMIF(96:96,G24,97:97)-SUMIF(96:96,C24,97:97)+100</f>
        <v>102</v>
      </c>
      <c r="I23" s="564"/>
      <c r="J23" s="559">
        <f>SUMIF(96:96,I24,97:97)-SUMIF(96:96,C24,97:97)+100</f>
        <v>102</v>
      </c>
      <c r="K23" s="535">
        <v>2</v>
      </c>
      <c r="L23" s="2142"/>
      <c r="M23" s="2132"/>
      <c r="N23" s="2132"/>
      <c r="O23" s="2141"/>
      <c r="P23" s="3399"/>
      <c r="Q23" s="1572" t="str">
        <f>B23</f>
        <v>交通便捷度</v>
      </c>
      <c r="R23" s="1573" t="s">
        <v>8</v>
      </c>
      <c r="S23" s="1574">
        <f>F23</f>
        <v>102</v>
      </c>
      <c r="T23" s="1573" t="s">
        <v>8</v>
      </c>
      <c r="U23" s="1574">
        <f>H23</f>
        <v>102</v>
      </c>
      <c r="V23" s="1573" t="s">
        <v>8</v>
      </c>
      <c r="W23" s="1574">
        <f>J23</f>
        <v>102</v>
      </c>
      <c r="X23" s="1567"/>
      <c r="Y23" s="3399"/>
      <c r="Z23" s="1575" t="str">
        <f>Q23</f>
        <v>交通便捷度</v>
      </c>
      <c r="AA23" s="1576">
        <f t="shared" si="3"/>
        <v>0.98039215686274506</v>
      </c>
      <c r="AB23" s="1576">
        <f t="shared" si="4"/>
        <v>0.98039215686274506</v>
      </c>
      <c r="AC23" s="1576">
        <f t="shared" si="5"/>
        <v>0.98039215686274506</v>
      </c>
    </row>
    <row r="24" spans="1:29" ht="20.25">
      <c r="A24" s="532"/>
      <c r="B24" s="578"/>
      <c r="C24" s="554" t="s">
        <v>3145</v>
      </c>
      <c r="D24" s="557"/>
      <c r="E24" s="558" t="s">
        <v>3144</v>
      </c>
      <c r="F24" s="555"/>
      <c r="G24" s="558" t="s">
        <v>3144</v>
      </c>
      <c r="H24" s="555"/>
      <c r="I24" s="558" t="s">
        <v>3144</v>
      </c>
      <c r="J24" s="555"/>
      <c r="K24" s="531"/>
      <c r="L24" s="2142"/>
      <c r="M24" s="2132"/>
      <c r="N24" s="2132"/>
      <c r="O24" s="2141"/>
      <c r="P24" s="3399"/>
      <c r="Q24" s="1572"/>
      <c r="R24" s="1573"/>
      <c r="S24" s="1574"/>
      <c r="T24" s="1573"/>
      <c r="U24" s="1574"/>
      <c r="V24" s="1573"/>
      <c r="W24" s="1574"/>
      <c r="X24" s="1567"/>
      <c r="Y24" s="3399"/>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c r="L25" s="2142"/>
      <c r="M25" s="2132"/>
      <c r="N25" s="2132"/>
      <c r="O25" s="2141"/>
      <c r="P25" s="3399"/>
      <c r="Q25" s="1572" t="str">
        <f t="shared" ref="Q25:Q39" si="8">B25</f>
        <v>区域土地利用方向</v>
      </c>
      <c r="R25" s="1573" t="s">
        <v>8</v>
      </c>
      <c r="S25" s="1574">
        <f>F25</f>
        <v>100</v>
      </c>
      <c r="T25" s="1573" t="s">
        <v>8</v>
      </c>
      <c r="U25" s="1574">
        <f>H25</f>
        <v>100</v>
      </c>
      <c r="V25" s="1573" t="s">
        <v>8</v>
      </c>
      <c r="W25" s="1574">
        <f>J25</f>
        <v>100</v>
      </c>
      <c r="X25" s="1567"/>
      <c r="Y25" s="3399"/>
      <c r="Z25" s="1575" t="str">
        <f>Q25</f>
        <v>区域土地利用方向</v>
      </c>
      <c r="AA25" s="1576">
        <f t="shared" si="3"/>
        <v>1</v>
      </c>
      <c r="AB25" s="1576">
        <f t="shared" si="4"/>
        <v>1</v>
      </c>
      <c r="AC25" s="1576">
        <f t="shared" si="5"/>
        <v>1</v>
      </c>
    </row>
    <row r="26" spans="1:29" ht="20.25">
      <c r="A26" s="515"/>
      <c r="B26" s="1007"/>
      <c r="C26" s="554" t="s">
        <v>3129</v>
      </c>
      <c r="D26" s="557"/>
      <c r="E26" s="558" t="s">
        <v>3129</v>
      </c>
      <c r="F26" s="555"/>
      <c r="G26" s="558" t="s">
        <v>3129</v>
      </c>
      <c r="H26" s="555"/>
      <c r="I26" s="558" t="s">
        <v>3129</v>
      </c>
      <c r="J26" s="555"/>
      <c r="K26" s="531"/>
      <c r="L26" s="2142"/>
      <c r="M26" s="2132"/>
      <c r="N26" s="2132"/>
      <c r="O26" s="2141"/>
      <c r="P26" s="3399"/>
      <c r="Q26" s="1572"/>
      <c r="R26" s="1573"/>
      <c r="S26" s="1574"/>
      <c r="T26" s="1573"/>
      <c r="U26" s="1574"/>
      <c r="V26" s="1573"/>
      <c r="W26" s="1574"/>
      <c r="X26" s="1567"/>
      <c r="Y26" s="3399"/>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c r="L27" s="2142"/>
      <c r="M27" s="2132"/>
      <c r="N27" s="2132"/>
      <c r="O27" s="2141"/>
      <c r="P27" s="3399"/>
      <c r="Q27" s="1572" t="str">
        <f t="shared" si="8"/>
        <v>自然及人文环境状况</v>
      </c>
      <c r="R27" s="1573" t="s">
        <v>8</v>
      </c>
      <c r="S27" s="1574">
        <f>F27</f>
        <v>100</v>
      </c>
      <c r="T27" s="1573" t="s">
        <v>8</v>
      </c>
      <c r="U27" s="1574">
        <f>H27</f>
        <v>100</v>
      </c>
      <c r="V27" s="1573" t="s">
        <v>8</v>
      </c>
      <c r="W27" s="1574">
        <f>J27</f>
        <v>100</v>
      </c>
      <c r="X27" s="1567"/>
      <c r="Y27" s="3399"/>
      <c r="Z27" s="1575" t="str">
        <f>Q27</f>
        <v>自然及人文环境状况</v>
      </c>
      <c r="AA27" s="1576">
        <f t="shared" si="3"/>
        <v>1</v>
      </c>
      <c r="AB27" s="1576">
        <f t="shared" si="4"/>
        <v>1</v>
      </c>
      <c r="AC27" s="1576">
        <f t="shared" si="5"/>
        <v>1</v>
      </c>
    </row>
    <row r="28" spans="1:29" ht="20.25">
      <c r="A28" s="515"/>
      <c r="B28" s="566"/>
      <c r="C28" s="554" t="s">
        <v>3129</v>
      </c>
      <c r="D28" s="557"/>
      <c r="E28" s="576" t="s">
        <v>3129</v>
      </c>
      <c r="F28" s="555"/>
      <c r="G28" s="576" t="s">
        <v>3129</v>
      </c>
      <c r="H28" s="555"/>
      <c r="I28" s="576" t="s">
        <v>3129</v>
      </c>
      <c r="J28" s="555"/>
      <c r="K28" s="531"/>
      <c r="L28" s="2142"/>
      <c r="M28" s="2132"/>
      <c r="N28" s="2132"/>
      <c r="O28" s="2141"/>
      <c r="P28" s="3399"/>
      <c r="Q28" s="1572"/>
      <c r="R28" s="1573"/>
      <c r="S28" s="1574"/>
      <c r="T28" s="1573"/>
      <c r="U28" s="1574"/>
      <c r="V28" s="1573"/>
      <c r="W28" s="1574"/>
      <c r="X28" s="1567"/>
      <c r="Y28" s="3399"/>
      <c r="Z28" s="1575"/>
      <c r="AA28" s="1576">
        <v>1</v>
      </c>
      <c r="AB28" s="1576">
        <v>1</v>
      </c>
      <c r="AC28" s="1576">
        <v>1</v>
      </c>
    </row>
    <row r="29" spans="1:29" s="1220" customFormat="1" ht="42.75">
      <c r="A29" s="577"/>
      <c r="B29" s="2591" t="s">
        <v>2548</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c r="L29" s="2135"/>
      <c r="M29" s="2132"/>
      <c r="N29" s="2132"/>
      <c r="O29" s="2137"/>
      <c r="P29" s="3399"/>
      <c r="Q29" s="1151" t="str">
        <f t="shared" si="8"/>
        <v>公共配套设施</v>
      </c>
      <c r="R29" s="1568" t="s">
        <v>8</v>
      </c>
      <c r="S29" s="1569">
        <f>F29</f>
        <v>100</v>
      </c>
      <c r="T29" s="1568" t="s">
        <v>8</v>
      </c>
      <c r="U29" s="1569">
        <f>H29</f>
        <v>100</v>
      </c>
      <c r="V29" s="1568" t="s">
        <v>8</v>
      </c>
      <c r="W29" s="1569">
        <f>J29</f>
        <v>100</v>
      </c>
      <c r="X29" s="1570"/>
      <c r="Y29" s="3399"/>
      <c r="Z29" s="1150" t="str">
        <f>Q29</f>
        <v>公共配套设施</v>
      </c>
      <c r="AA29" s="1576">
        <f>D29/F29</f>
        <v>1</v>
      </c>
      <c r="AB29" s="1576">
        <f>D29/H29</f>
        <v>1</v>
      </c>
      <c r="AC29" s="1576">
        <f>D29/J29</f>
        <v>1</v>
      </c>
    </row>
    <row r="30" spans="1:29" s="1220" customFormat="1" ht="20.25">
      <c r="A30" s="577"/>
      <c r="B30" s="566"/>
      <c r="C30" s="579" t="s">
        <v>3144</v>
      </c>
      <c r="D30" s="557"/>
      <c r="E30" s="576" t="s">
        <v>3144</v>
      </c>
      <c r="F30" s="555"/>
      <c r="G30" s="576" t="s">
        <v>3144</v>
      </c>
      <c r="H30" s="555"/>
      <c r="I30" s="576" t="s">
        <v>3144</v>
      </c>
      <c r="J30" s="555"/>
      <c r="K30" s="531"/>
      <c r="L30" s="2135"/>
      <c r="M30" s="2132"/>
      <c r="N30" s="2132"/>
      <c r="O30" s="2137"/>
      <c r="P30" s="3399"/>
      <c r="Q30" s="1151"/>
      <c r="R30" s="1568"/>
      <c r="S30" s="1569"/>
      <c r="T30" s="1568"/>
      <c r="U30" s="1569"/>
      <c r="V30" s="1568"/>
      <c r="W30" s="1569"/>
      <c r="X30" s="1570"/>
      <c r="Y30" s="3399"/>
      <c r="Z30" s="1150"/>
      <c r="AA30" s="1576">
        <v>1</v>
      </c>
      <c r="AB30" s="1576">
        <v>1</v>
      </c>
      <c r="AC30" s="1576">
        <v>1</v>
      </c>
    </row>
    <row r="31" spans="1:29" s="1220" customFormat="1" ht="28.5">
      <c r="A31" s="577"/>
      <c r="B31" s="2591" t="s">
        <v>2549</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c r="L31" s="2135"/>
      <c r="M31" s="2132"/>
      <c r="N31" s="2132"/>
      <c r="O31" s="2137"/>
      <c r="P31" s="3399"/>
      <c r="Q31" s="2578" t="str">
        <f t="shared" ref="Q31" si="9">B31</f>
        <v>基础设施水平</v>
      </c>
      <c r="R31" s="1568" t="s">
        <v>8</v>
      </c>
      <c r="S31" s="1569">
        <f>F31</f>
        <v>100</v>
      </c>
      <c r="T31" s="1568" t="s">
        <v>8</v>
      </c>
      <c r="U31" s="1569">
        <f>H31</f>
        <v>100</v>
      </c>
      <c r="V31" s="1568" t="s">
        <v>8</v>
      </c>
      <c r="W31" s="1569">
        <f>J31</f>
        <v>100</v>
      </c>
      <c r="X31" s="1570"/>
      <c r="Y31" s="3399"/>
      <c r="Z31" s="2575" t="str">
        <f>Q31</f>
        <v>基础设施水平</v>
      </c>
      <c r="AA31" s="1576">
        <f>D31/F31</f>
        <v>1</v>
      </c>
      <c r="AB31" s="1576">
        <f>D31/H31</f>
        <v>1</v>
      </c>
      <c r="AC31" s="1576">
        <f>D31/J31</f>
        <v>1</v>
      </c>
    </row>
    <row r="32" spans="1:29" s="1220" customFormat="1" ht="20.25">
      <c r="A32" s="577"/>
      <c r="B32" s="566"/>
      <c r="C32" s="579" t="s">
        <v>3146</v>
      </c>
      <c r="D32" s="557"/>
      <c r="E32" s="2592" t="s">
        <v>3146</v>
      </c>
      <c r="F32" s="555"/>
      <c r="G32" s="2592" t="s">
        <v>3146</v>
      </c>
      <c r="H32" s="555"/>
      <c r="I32" s="2592" t="s">
        <v>3146</v>
      </c>
      <c r="J32" s="555"/>
      <c r="K32" s="531"/>
      <c r="L32" s="2135"/>
      <c r="M32" s="2132"/>
      <c r="N32" s="2132"/>
      <c r="O32" s="2137"/>
      <c r="P32" s="3399"/>
      <c r="Q32" s="2578"/>
      <c r="R32" s="1568"/>
      <c r="S32" s="1569"/>
      <c r="T32" s="1568"/>
      <c r="U32" s="1569"/>
      <c r="V32" s="1568"/>
      <c r="W32" s="1569"/>
      <c r="X32" s="1570"/>
      <c r="Y32" s="3399"/>
      <c r="Z32" s="2575"/>
      <c r="AA32" s="1576">
        <v>1</v>
      </c>
      <c r="AB32" s="1576">
        <v>1</v>
      </c>
      <c r="AC32" s="1576">
        <v>1</v>
      </c>
    </row>
    <row r="33" spans="1:29" ht="20.25" hidden="1">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42"/>
      <c r="M33" s="2132"/>
      <c r="N33" s="2132"/>
      <c r="O33" s="2141"/>
      <c r="P33" s="339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9"/>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c r="L34" s="2142"/>
      <c r="M34" s="2132"/>
      <c r="N34" s="2132"/>
      <c r="O34" s="2141"/>
      <c r="P34" s="3399"/>
      <c r="Q34" s="1572" t="str">
        <f t="shared" si="8"/>
        <v>毗邻道路的类型与等级</v>
      </c>
      <c r="R34" s="1573" t="s">
        <v>8</v>
      </c>
      <c r="S34" s="1574">
        <f t="shared" si="10"/>
        <v>100</v>
      </c>
      <c r="T34" s="1573" t="s">
        <v>8</v>
      </c>
      <c r="U34" s="1574">
        <f t="shared" si="11"/>
        <v>100</v>
      </c>
      <c r="V34" s="1573" t="s">
        <v>8</v>
      </c>
      <c r="W34" s="1574">
        <f t="shared" si="12"/>
        <v>100</v>
      </c>
      <c r="X34" s="1567"/>
      <c r="Y34" s="3399"/>
      <c r="Z34" s="1575" t="str">
        <f t="shared" si="13"/>
        <v>毗邻道路的类型与等级</v>
      </c>
      <c r="AA34" s="1576">
        <f t="shared" si="3"/>
        <v>1</v>
      </c>
      <c r="AB34" s="1576">
        <f t="shared" si="4"/>
        <v>1</v>
      </c>
      <c r="AC34" s="1576">
        <f t="shared" si="5"/>
        <v>1</v>
      </c>
    </row>
    <row r="35" spans="1:29" ht="21" thickBot="1">
      <c r="A35" s="532"/>
      <c r="B35" s="566"/>
      <c r="C35" s="554" t="s">
        <v>3147</v>
      </c>
      <c r="D35" s="557"/>
      <c r="E35" s="554" t="s">
        <v>3147</v>
      </c>
      <c r="F35" s="555"/>
      <c r="G35" s="554" t="s">
        <v>3147</v>
      </c>
      <c r="H35" s="555"/>
      <c r="I35" s="554" t="s">
        <v>3147</v>
      </c>
      <c r="J35" s="555"/>
      <c r="K35" s="581"/>
      <c r="L35" s="2142"/>
      <c r="M35" s="2132"/>
      <c r="N35" s="2132"/>
      <c r="O35" s="2141"/>
      <c r="P35" s="3399"/>
      <c r="Q35" s="1572"/>
      <c r="R35" s="1573"/>
      <c r="S35" s="1574"/>
      <c r="T35" s="1573"/>
      <c r="U35" s="1574"/>
      <c r="V35" s="1573"/>
      <c r="W35" s="1574"/>
      <c r="X35" s="1567"/>
      <c r="Y35" s="3399"/>
      <c r="Z35" s="1575"/>
      <c r="AA35" s="1576">
        <v>1</v>
      </c>
      <c r="AB35" s="1576">
        <v>1</v>
      </c>
      <c r="AC35" s="1576">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9"/>
      <c r="Q36" s="1572" t="str">
        <f t="shared" si="8"/>
        <v>土地级别</v>
      </c>
      <c r="R36" s="1573" t="s">
        <v>8</v>
      </c>
      <c r="S36" s="1574">
        <f t="shared" si="10"/>
        <v>100</v>
      </c>
      <c r="T36" s="1573" t="s">
        <v>8</v>
      </c>
      <c r="U36" s="1574">
        <f t="shared" si="11"/>
        <v>100</v>
      </c>
      <c r="V36" s="1573" t="s">
        <v>8</v>
      </c>
      <c r="W36" s="1574">
        <f t="shared" si="12"/>
        <v>100</v>
      </c>
      <c r="X36" s="1567"/>
      <c r="Y36" s="3399"/>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9"/>
      <c r="Q37" s="1572">
        <f t="shared" si="8"/>
        <v>0</v>
      </c>
      <c r="R37" s="1573" t="s">
        <v>8</v>
      </c>
      <c r="S37" s="1574">
        <f t="shared" si="10"/>
        <v>100</v>
      </c>
      <c r="T37" s="1573" t="s">
        <v>8</v>
      </c>
      <c r="U37" s="1574">
        <f t="shared" si="11"/>
        <v>100</v>
      </c>
      <c r="V37" s="1573" t="s">
        <v>8</v>
      </c>
      <c r="W37" s="1574">
        <f t="shared" si="12"/>
        <v>100</v>
      </c>
      <c r="X37" s="1567"/>
      <c r="Y37" s="3399"/>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0" t="s">
        <v>550</v>
      </c>
      <c r="Q38" s="1572">
        <f t="shared" si="8"/>
        <v>0</v>
      </c>
      <c r="R38" s="1573" t="s">
        <v>8</v>
      </c>
      <c r="S38" s="1574">
        <f t="shared" si="10"/>
        <v>100</v>
      </c>
      <c r="T38" s="1573" t="s">
        <v>8</v>
      </c>
      <c r="U38" s="1574">
        <f t="shared" si="11"/>
        <v>100</v>
      </c>
      <c r="V38" s="1573" t="s">
        <v>8</v>
      </c>
      <c r="W38" s="1574">
        <f t="shared" si="12"/>
        <v>100</v>
      </c>
      <c r="X38" s="1567"/>
      <c r="Y38" s="3401" t="s">
        <v>550</v>
      </c>
      <c r="Z38" s="1575">
        <f t="shared" si="13"/>
        <v>0</v>
      </c>
      <c r="AA38" s="1576">
        <f t="shared" si="3"/>
        <v>1</v>
      </c>
      <c r="AB38" s="1576">
        <f t="shared" si="4"/>
        <v>1</v>
      </c>
      <c r="AC38" s="1576">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1"/>
      <c r="Q39" s="1572">
        <f t="shared" si="8"/>
        <v>0</v>
      </c>
      <c r="R39" s="1577" t="s">
        <v>8</v>
      </c>
      <c r="S39" s="1578">
        <f t="shared" si="10"/>
        <v>100</v>
      </c>
      <c r="T39" s="1577" t="s">
        <v>8</v>
      </c>
      <c r="U39" s="1578">
        <f t="shared" si="11"/>
        <v>100</v>
      </c>
      <c r="V39" s="1577" t="s">
        <v>8</v>
      </c>
      <c r="W39" s="1578">
        <f t="shared" si="12"/>
        <v>100</v>
      </c>
      <c r="X39" s="1579"/>
      <c r="Y39" s="3401"/>
      <c r="Z39" s="1580">
        <f t="shared" si="13"/>
        <v>0</v>
      </c>
      <c r="AA39" s="1576">
        <f t="shared" si="3"/>
        <v>1</v>
      </c>
      <c r="AB39" s="1576">
        <f t="shared" si="4"/>
        <v>1</v>
      </c>
      <c r="AC39" s="1576">
        <f t="shared" si="5"/>
        <v>1</v>
      </c>
    </row>
    <row r="40" spans="1:29" ht="20.25">
      <c r="A40" s="2907" t="s">
        <v>2754</v>
      </c>
      <c r="B40" s="595" t="s">
        <v>552</v>
      </c>
      <c r="C40" s="596">
        <f>'数据-汇总表'!D3</f>
        <v>46580.7</v>
      </c>
      <c r="D40" s="597">
        <v>100</v>
      </c>
      <c r="E40" s="596">
        <f>Sheet2!I2</f>
        <v>64779</v>
      </c>
      <c r="F40" s="597">
        <f>LOOKUP(E40,119:119,120:120)-LOOKUP(C40,119:119,120:120)+100</f>
        <v>100</v>
      </c>
      <c r="G40" s="596">
        <f>Sheet2!I3</f>
        <v>36794</v>
      </c>
      <c r="H40" s="597">
        <f>LOOKUP(G40,119:119,120:120)-LOOKUP(C40,119:119,120:120)+100</f>
        <v>100</v>
      </c>
      <c r="I40" s="598">
        <f>Sheet2!I4</f>
        <v>43859</v>
      </c>
      <c r="J40" s="597">
        <f>LOOKUP(I40,119:119,120:120)-LOOKUP(C40,119:119,120:120)+100</f>
        <v>100</v>
      </c>
      <c r="K40" s="581"/>
      <c r="L40" s="2142"/>
      <c r="M40" s="2132"/>
      <c r="N40" s="2132"/>
      <c r="O40" s="2141"/>
      <c r="P40" s="3401"/>
      <c r="Q40" s="1572" t="str">
        <f>B40</f>
        <v>宗地面积</v>
      </c>
      <c r="R40" s="1573" t="s">
        <v>8</v>
      </c>
      <c r="S40" s="1574">
        <f t="shared" si="10"/>
        <v>100</v>
      </c>
      <c r="T40" s="1573" t="s">
        <v>8</v>
      </c>
      <c r="U40" s="1574">
        <f t="shared" si="11"/>
        <v>100</v>
      </c>
      <c r="V40" s="1573" t="s">
        <v>8</v>
      </c>
      <c r="W40" s="1574">
        <f t="shared" si="12"/>
        <v>100</v>
      </c>
      <c r="X40" s="1567"/>
      <c r="Y40" s="3401"/>
      <c r="Z40" s="1575" t="str">
        <f t="shared" si="13"/>
        <v>宗地面积</v>
      </c>
      <c r="AA40" s="1576">
        <f t="shared" si="3"/>
        <v>1</v>
      </c>
      <c r="AB40" s="1576">
        <f t="shared" si="4"/>
        <v>1</v>
      </c>
      <c r="AC40" s="1576">
        <f t="shared" si="5"/>
        <v>1</v>
      </c>
    </row>
    <row r="41" spans="1:29" ht="20.25">
      <c r="A41" s="594"/>
      <c r="B41" s="527" t="s">
        <v>553</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c r="L41" s="2142"/>
      <c r="M41" s="2132"/>
      <c r="N41" s="2132"/>
      <c r="O41" s="2141"/>
      <c r="P41" s="3401"/>
      <c r="Q41" s="1572" t="str">
        <f t="shared" ref="Q41:Q47" si="14">B41</f>
        <v>宗地形状</v>
      </c>
      <c r="R41" s="1573" t="s">
        <v>8</v>
      </c>
      <c r="S41" s="1574">
        <f t="shared" si="10"/>
        <v>100</v>
      </c>
      <c r="T41" s="1573" t="s">
        <v>8</v>
      </c>
      <c r="U41" s="1574">
        <f t="shared" si="11"/>
        <v>100</v>
      </c>
      <c r="V41" s="1573" t="s">
        <v>8</v>
      </c>
      <c r="W41" s="1574">
        <f t="shared" si="12"/>
        <v>100</v>
      </c>
      <c r="X41" s="1567"/>
      <c r="Y41" s="3401"/>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2"/>
      <c r="M42" s="2132"/>
      <c r="N42" s="2132"/>
      <c r="O42" s="2141"/>
      <c r="P42" s="3401"/>
      <c r="Q42" s="1572" t="str">
        <f t="shared" si="14"/>
        <v>临街宽度及深度</v>
      </c>
      <c r="R42" s="1573" t="s">
        <v>8</v>
      </c>
      <c r="S42" s="1574">
        <f t="shared" si="10"/>
        <v>100</v>
      </c>
      <c r="T42" s="1573" t="s">
        <v>8</v>
      </c>
      <c r="U42" s="1574">
        <f t="shared" si="11"/>
        <v>100</v>
      </c>
      <c r="V42" s="1573" t="s">
        <v>8</v>
      </c>
      <c r="W42" s="1574">
        <f t="shared" si="12"/>
        <v>100</v>
      </c>
      <c r="X42" s="1567"/>
      <c r="Y42" s="3401"/>
      <c r="Z42" s="1575" t="str">
        <f t="shared" si="13"/>
        <v>临街宽度及深度</v>
      </c>
      <c r="AA42" s="1576">
        <f t="shared" si="3"/>
        <v>1</v>
      </c>
      <c r="AB42" s="1576">
        <f t="shared" si="4"/>
        <v>1</v>
      </c>
      <c r="AC42" s="1576">
        <f t="shared" si="5"/>
        <v>1</v>
      </c>
    </row>
    <row r="43" spans="1:29" s="1220" customFormat="1" ht="20.25">
      <c r="A43" s="600"/>
      <c r="B43" s="1895" t="s">
        <v>2424</v>
      </c>
      <c r="C43" s="601" t="s">
        <v>3151</v>
      </c>
      <c r="D43" s="255">
        <v>100</v>
      </c>
      <c r="E43" s="601" t="s">
        <v>3151</v>
      </c>
      <c r="F43" s="540">
        <f>SUMIF(125:125,E43,126:126)-SUMIF(125:125,C43,126:126)+100</f>
        <v>100</v>
      </c>
      <c r="G43" s="601" t="s">
        <v>3151</v>
      </c>
      <c r="H43" s="540">
        <f>SUMIF(125:125,G43,126:126)-SUMIF(125:125,C43,126:126)+100</f>
        <v>100</v>
      </c>
      <c r="I43" s="601" t="s">
        <v>3151</v>
      </c>
      <c r="J43" s="540">
        <f>SUMIF(125:125,I43,126:126)-SUMIF(125:125,C43,126:126)+100</f>
        <v>100</v>
      </c>
      <c r="K43" s="584"/>
      <c r="L43" s="2135"/>
      <c r="M43" s="2132"/>
      <c r="N43" s="2132"/>
      <c r="O43" s="2137"/>
      <c r="P43" s="3401"/>
      <c r="Q43" s="1572" t="str">
        <f t="shared" si="14"/>
        <v>宗地开发程度</v>
      </c>
      <c r="R43" s="1568" t="s">
        <v>8</v>
      </c>
      <c r="S43" s="1569">
        <f t="shared" si="10"/>
        <v>100</v>
      </c>
      <c r="T43" s="1568" t="s">
        <v>8</v>
      </c>
      <c r="U43" s="1569">
        <f t="shared" si="11"/>
        <v>100</v>
      </c>
      <c r="V43" s="1568" t="s">
        <v>8</v>
      </c>
      <c r="W43" s="1569">
        <f t="shared" si="12"/>
        <v>100</v>
      </c>
      <c r="X43" s="1570"/>
      <c r="Y43" s="3401"/>
      <c r="Z43" s="1150" t="str">
        <f t="shared" si="13"/>
        <v>宗地开发程度</v>
      </c>
      <c r="AA43" s="1571">
        <f t="shared" si="3"/>
        <v>1</v>
      </c>
      <c r="AB43" s="1571">
        <f t="shared" si="4"/>
        <v>1</v>
      </c>
      <c r="AC43" s="1571">
        <f t="shared" si="5"/>
        <v>1</v>
      </c>
    </row>
    <row r="44" spans="1:29" ht="21" thickBot="1">
      <c r="A44" s="594"/>
      <c r="B44" s="527" t="s">
        <v>555</v>
      </c>
      <c r="C44" s="599" t="s">
        <v>3129</v>
      </c>
      <c r="D44" s="540">
        <v>100</v>
      </c>
      <c r="E44" s="599" t="s">
        <v>3129</v>
      </c>
      <c r="F44" s="540">
        <f>SUMIF(127:127,E44,128:128)-SUMIF(127:127,C44,128:128)+100</f>
        <v>100</v>
      </c>
      <c r="G44" s="599" t="s">
        <v>3129</v>
      </c>
      <c r="H44" s="540">
        <f>SUMIF(127:127,G44,128:128)-SUMIF(127:127,C44,128:128)+100</f>
        <v>100</v>
      </c>
      <c r="I44" s="599" t="s">
        <v>3129</v>
      </c>
      <c r="J44" s="540">
        <f>SUMIF(127:127,I44,128:128)-SUMIF(127:127,C44,128:128)+100</f>
        <v>100</v>
      </c>
      <c r="K44" s="584"/>
      <c r="L44" s="2142"/>
      <c r="M44" s="2132"/>
      <c r="N44" s="2132"/>
      <c r="O44" s="2141"/>
      <c r="P44" s="3401" t="s">
        <v>550</v>
      </c>
      <c r="Q44" s="1572" t="str">
        <f t="shared" si="14"/>
        <v>工程地质条件</v>
      </c>
      <c r="R44" s="1573" t="s">
        <v>8</v>
      </c>
      <c r="S44" s="1574">
        <f t="shared" si="10"/>
        <v>100</v>
      </c>
      <c r="T44" s="1573" t="s">
        <v>8</v>
      </c>
      <c r="U44" s="1574">
        <f t="shared" si="11"/>
        <v>100</v>
      </c>
      <c r="V44" s="1573" t="s">
        <v>8</v>
      </c>
      <c r="W44" s="1574">
        <f t="shared" si="12"/>
        <v>100</v>
      </c>
      <c r="X44" s="1567"/>
      <c r="Y44" s="3401"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1"/>
      <c r="Q45" s="1572">
        <f t="shared" si="14"/>
        <v>0</v>
      </c>
      <c r="R45" s="1573" t="s">
        <v>8</v>
      </c>
      <c r="S45" s="1574">
        <f t="shared" si="10"/>
        <v>100</v>
      </c>
      <c r="T45" s="1573" t="s">
        <v>8</v>
      </c>
      <c r="U45" s="1574">
        <f t="shared" si="11"/>
        <v>100</v>
      </c>
      <c r="V45" s="1573" t="s">
        <v>8</v>
      </c>
      <c r="W45" s="1574">
        <f t="shared" si="12"/>
        <v>100</v>
      </c>
      <c r="X45" s="1567"/>
      <c r="Y45" s="3401"/>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1"/>
      <c r="Q46" s="1572">
        <f t="shared" si="14"/>
        <v>0</v>
      </c>
      <c r="R46" s="1573" t="s">
        <v>8</v>
      </c>
      <c r="S46" s="1574">
        <f t="shared" si="10"/>
        <v>100</v>
      </c>
      <c r="T46" s="1573" t="s">
        <v>8</v>
      </c>
      <c r="U46" s="1574">
        <f t="shared" si="11"/>
        <v>100</v>
      </c>
      <c r="V46" s="1573" t="s">
        <v>8</v>
      </c>
      <c r="W46" s="1574">
        <f t="shared" si="12"/>
        <v>100</v>
      </c>
      <c r="X46" s="1567"/>
      <c r="Y46" s="3401"/>
      <c r="Z46" s="1575">
        <f t="shared" si="13"/>
        <v>0</v>
      </c>
      <c r="AA46" s="1576">
        <f t="shared" si="3"/>
        <v>1</v>
      </c>
      <c r="AB46" s="1576">
        <f t="shared" si="4"/>
        <v>1</v>
      </c>
      <c r="AC46" s="1576">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1"/>
      <c r="Q47" s="1572">
        <f t="shared" si="14"/>
        <v>0</v>
      </c>
      <c r="R47" s="1577" t="s">
        <v>8</v>
      </c>
      <c r="S47" s="1578">
        <f t="shared" si="10"/>
        <v>100</v>
      </c>
      <c r="T47" s="1577" t="s">
        <v>8</v>
      </c>
      <c r="U47" s="1578">
        <f t="shared" si="11"/>
        <v>100</v>
      </c>
      <c r="V47" s="1577" t="s">
        <v>8</v>
      </c>
      <c r="W47" s="1578">
        <f t="shared" si="12"/>
        <v>100</v>
      </c>
      <c r="X47" s="1579"/>
      <c r="Y47" s="3401"/>
      <c r="Z47" s="1580">
        <f t="shared" si="13"/>
        <v>0</v>
      </c>
      <c r="AA47" s="1576">
        <f t="shared" si="3"/>
        <v>1</v>
      </c>
      <c r="AB47" s="1576">
        <f t="shared" si="4"/>
        <v>1</v>
      </c>
      <c r="AC47" s="1576">
        <f t="shared" si="5"/>
        <v>1</v>
      </c>
    </row>
    <row r="48" spans="1:29" ht="20.25">
      <c r="A48" s="607" t="s">
        <v>556</v>
      </c>
      <c r="B48" s="608" t="s">
        <v>3125</v>
      </c>
      <c r="C48" s="609" t="s">
        <v>1</v>
      </c>
      <c r="D48" s="610"/>
      <c r="E48" s="611">
        <f>Sheet2!Q2</f>
        <v>1995.25</v>
      </c>
      <c r="F48" s="612"/>
      <c r="G48" s="613">
        <f>Sheet2!Q3</f>
        <v>1724.47</v>
      </c>
      <c r="H48" s="614"/>
      <c r="I48" s="611">
        <f>Sheet2!Q4</f>
        <v>1724.84</v>
      </c>
      <c r="J48" s="614"/>
      <c r="K48" s="1340"/>
      <c r="L48" s="2144"/>
      <c r="M48" s="2132"/>
      <c r="N48" s="2132"/>
      <c r="O48" s="2145"/>
      <c r="P48" s="3396" t="str">
        <f>A48</f>
        <v>成交单价</v>
      </c>
      <c r="Q48" s="3396"/>
      <c r="R48" s="3410">
        <f>E48</f>
        <v>1995.25</v>
      </c>
      <c r="S48" s="3410"/>
      <c r="T48" s="3410">
        <f>G48</f>
        <v>1724.47</v>
      </c>
      <c r="U48" s="3410"/>
      <c r="V48" s="3410">
        <f>I48</f>
        <v>1724.84</v>
      </c>
      <c r="W48" s="3410"/>
      <c r="X48" s="1559"/>
      <c r="Y48" s="1581"/>
      <c r="Z48" s="1559"/>
      <c r="AA48" s="1559"/>
      <c r="AB48" s="1559"/>
      <c r="AC48" s="1559"/>
    </row>
    <row r="49" spans="1:29" ht="21" thickBot="1">
      <c r="A49" s="615" t="s">
        <v>2692</v>
      </c>
      <c r="B49" s="616"/>
      <c r="C49" s="617">
        <f>R50</f>
        <v>1529</v>
      </c>
      <c r="D49" s="618"/>
      <c r="E49" s="617">
        <f>R49</f>
        <v>1678</v>
      </c>
      <c r="F49" s="619"/>
      <c r="G49" s="620">
        <f>T49</f>
        <v>1450</v>
      </c>
      <c r="H49" s="618"/>
      <c r="I49" s="617">
        <f>V49</f>
        <v>1458</v>
      </c>
      <c r="J49" s="618"/>
      <c r="K49" s="1341"/>
      <c r="L49" s="2144"/>
      <c r="M49" s="2132"/>
      <c r="N49" s="2132"/>
      <c r="O49" s="2145"/>
      <c r="P49" s="3396" t="str">
        <f>A49</f>
        <v>比较价格（元/平方米）</v>
      </c>
      <c r="Q49" s="3396"/>
      <c r="R49" s="3420">
        <f>ROUND(PRODUCT(R48,AA9:AA47),0)</f>
        <v>1678</v>
      </c>
      <c r="S49" s="3420"/>
      <c r="T49" s="3420">
        <f>ROUND(PRODUCT(T48,AB9:AB47),0)</f>
        <v>1450</v>
      </c>
      <c r="U49" s="3420"/>
      <c r="V49" s="3420">
        <f>ROUND(PRODUCT(V48,AC9:AC47),0)</f>
        <v>1458</v>
      </c>
      <c r="W49" s="3420"/>
      <c r="X49" s="1559"/>
      <c r="Y49" s="1559"/>
      <c r="Z49" s="1559"/>
      <c r="AA49" s="1559"/>
      <c r="AB49" s="1559"/>
      <c r="AC49" s="1559"/>
    </row>
    <row r="50" spans="1:29" ht="21" thickBot="1">
      <c r="A50" s="621" t="s">
        <v>2933</v>
      </c>
      <c r="B50" s="622"/>
      <c r="C50" s="623">
        <f>R50</f>
        <v>1529</v>
      </c>
      <c r="D50" s="623"/>
      <c r="E50" s="623"/>
      <c r="F50" s="623"/>
      <c r="G50" s="623"/>
      <c r="H50" s="623"/>
      <c r="I50" s="623"/>
      <c r="J50" s="623"/>
      <c r="K50" s="1342"/>
      <c r="L50" s="2144"/>
      <c r="M50" s="2132"/>
      <c r="N50" s="2132"/>
      <c r="O50" s="2145"/>
      <c r="P50" s="3417" t="str">
        <f>A50</f>
        <v>估价对象XX用房的比较价格（楼面单价，元/平方米）</v>
      </c>
      <c r="Q50" s="3418"/>
      <c r="R50" s="3419">
        <f>ROUND(AVERAGE(R49:V49),0)</f>
        <v>1529</v>
      </c>
      <c r="S50" s="3419"/>
      <c r="T50" s="3419"/>
      <c r="U50" s="3419"/>
      <c r="V50" s="3419"/>
      <c r="W50" s="3419"/>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0.18906436233611434</v>
      </c>
      <c r="F53" s="627" t="str">
        <f>IF(OR(E53&gt;=0.3,E53&lt;=-0.3),"超过30%","")</f>
        <v/>
      </c>
      <c r="G53" s="626">
        <f>IF(G48&lt;G49,G49/G48-1,G48/G49-1)</f>
        <v>0.18928965517241392</v>
      </c>
      <c r="H53" s="627" t="str">
        <f>IF(OR(G53&gt;=0.3,G53&lt;=-0.3),"超过30%","")</f>
        <v/>
      </c>
      <c r="I53" s="626">
        <f>IF(I48&lt;I49,I49/I48-1,I48/I49-1)</f>
        <v>0.1830178326474623</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0.15724137931034488</v>
      </c>
      <c r="F54" s="627" t="str">
        <f>IF(OR(E54&gt;=0.2,E54&lt;=-0.2),"超过20%","")</f>
        <v/>
      </c>
      <c r="G54" s="626">
        <f>IF(G49&lt;I49,I49/G49-1,G49/I49-1)</f>
        <v>5.5172413793103114E-3</v>
      </c>
      <c r="H54" s="627" t="str">
        <f>IF(OR(G54&gt;=0.2,G54&lt;=-0.2),"超过20%","")</f>
        <v/>
      </c>
      <c r="I54" s="626">
        <f>IF(I49&lt;E49,E49/I49-1,I49/E49-1)</f>
        <v>0.15089163237311376</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0.15702215753245929</v>
      </c>
      <c r="F55" s="627" t="str">
        <f>IF(OR(E55&gt;=0.3,E55&lt;=-0.3),"超过30%","")</f>
        <v/>
      </c>
      <c r="G55" s="626">
        <f>IF(G48&lt;I48,I48/G48-1,G48/I48-1)</f>
        <v>2.1455867599895484E-4</v>
      </c>
      <c r="H55" s="627" t="str">
        <f>IF(OR(G55&gt;=0.3,G55&lt;=-0.3),"超过30%","")</f>
        <v/>
      </c>
      <c r="I55" s="626">
        <f>IF(I48&lt;E48,E48/I48-1,I48/E48-1)</f>
        <v>0.1567739616428192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2295</v>
      </c>
      <c r="E57" s="631" t="s">
        <v>562</v>
      </c>
      <c r="F57" s="632" t="s">
        <v>563</v>
      </c>
      <c r="G57" s="3380" t="s">
        <v>2283</v>
      </c>
      <c r="H57" s="3381"/>
      <c r="I57" s="1555" t="s">
        <v>1723</v>
      </c>
      <c r="J57" s="1555" t="str">
        <f>项目基本情况!F41</f>
        <v>江苏省盐城市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1529</v>
      </c>
      <c r="C58" s="635">
        <v>1</v>
      </c>
      <c r="D58" s="2228">
        <v>1</v>
      </c>
      <c r="E58" s="635">
        <f>'数据-汇总表'!E8+'数据-汇总表'!E9</f>
        <v>116451.76</v>
      </c>
      <c r="F58" s="636">
        <f t="shared" ref="F58:F67" si="15">ROUND(B58*E58/10000,0)</f>
        <v>17805</v>
      </c>
      <c r="G58" s="3382"/>
      <c r="H58" s="3383"/>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84" t="s">
        <v>2284</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84"/>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84"/>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84"/>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2285</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2284</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2285</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116451.76</v>
      </c>
      <c r="F68" s="644">
        <f>IF(B48="楼面地价",SUM(F58:F67),ROUND(C50*E68/10000,0))</f>
        <v>17805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2019-5-1</v>
      </c>
      <c r="D70" s="2799">
        <f>EDATE(C70,-3)</f>
        <v>43497</v>
      </c>
      <c r="E70" s="2799">
        <f t="shared" ref="E70:N70" si="18">EDATE(D70,-3)</f>
        <v>43405</v>
      </c>
      <c r="F70" s="2799">
        <f t="shared" si="18"/>
        <v>43313</v>
      </c>
      <c r="G70" s="2799">
        <f t="shared" si="18"/>
        <v>43221</v>
      </c>
      <c r="H70" s="2799">
        <f t="shared" si="18"/>
        <v>43132</v>
      </c>
      <c r="I70" s="2799">
        <f t="shared" si="18"/>
        <v>43040</v>
      </c>
      <c r="J70" s="2799">
        <f t="shared" si="18"/>
        <v>42948</v>
      </c>
      <c r="K70" s="2799">
        <f t="shared" si="18"/>
        <v>42856</v>
      </c>
      <c r="L70" s="2799">
        <f t="shared" si="18"/>
        <v>42767</v>
      </c>
      <c r="M70" s="2799">
        <f t="shared" si="18"/>
        <v>42675</v>
      </c>
      <c r="N70" s="2799">
        <f t="shared" si="18"/>
        <v>42583</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2532</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2998</v>
      </c>
      <c r="B73" s="479" t="str">
        <f>"北京市平均增长率"&amp;TEXT(SUMIF(基准地价!N21:N25,A73,基准地价!P21:P25),"0.00%")</f>
        <v>北京市平均增长率0.00%</v>
      </c>
      <c r="C73" s="894">
        <v>100</v>
      </c>
      <c r="D73" s="3202">
        <f>C73-$C$74</f>
        <v>99.5</v>
      </c>
      <c r="E73" s="3202">
        <f t="shared" ref="E73:N73" si="20">D73-$C$74</f>
        <v>99</v>
      </c>
      <c r="F73" s="3202">
        <f t="shared" si="20"/>
        <v>98.5</v>
      </c>
      <c r="G73" s="3202">
        <f t="shared" si="20"/>
        <v>98</v>
      </c>
      <c r="H73" s="3202">
        <f t="shared" si="20"/>
        <v>97.5</v>
      </c>
      <c r="I73" s="3202">
        <f t="shared" si="20"/>
        <v>97</v>
      </c>
      <c r="J73" s="3202">
        <f t="shared" si="20"/>
        <v>96.5</v>
      </c>
      <c r="K73" s="3202">
        <f t="shared" si="20"/>
        <v>96</v>
      </c>
      <c r="L73" s="3202">
        <f t="shared" si="20"/>
        <v>95.5</v>
      </c>
      <c r="M73" s="3202">
        <f t="shared" si="20"/>
        <v>95</v>
      </c>
      <c r="N73" s="3202">
        <f t="shared" si="2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2646</v>
      </c>
      <c r="B74" s="2805"/>
      <c r="C74" s="3201">
        <v>0.5</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tr">
        <f>项目基本情况!B13</f>
        <v>其他商服用地</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2（含）-2.5</v>
      </c>
      <c r="D81" s="682" t="str">
        <f t="shared" ref="D81:L81" si="21">D82&amp;"（含）"&amp;"-"&amp;E82</f>
        <v>2.5（含）-3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2</v>
      </c>
      <c r="D82" s="541">
        <v>2.5</v>
      </c>
      <c r="E82" s="541">
        <v>3</v>
      </c>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t="str">
        <f>B15</f>
        <v>商住比</v>
      </c>
      <c r="C86" s="3212">
        <v>0.3</v>
      </c>
      <c r="D86" s="3184" t="s">
        <v>3252</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v>90</v>
      </c>
      <c r="D87" s="692">
        <v>100</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2548</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2550</v>
      </c>
      <c r="C104" s="2598" t="s">
        <v>2551</v>
      </c>
      <c r="D104" s="2598" t="s">
        <v>2552</v>
      </c>
      <c r="E104" s="2598" t="s">
        <v>2553</v>
      </c>
      <c r="F104" s="2598" t="s">
        <v>2554</v>
      </c>
      <c r="G104" s="2598" t="s">
        <v>2555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4" t="s">
        <v>3131</v>
      </c>
      <c r="D108" s="3184" t="s">
        <v>3132</v>
      </c>
      <c r="E108" s="3184" t="s">
        <v>3133</v>
      </c>
      <c r="F108" s="3184" t="s">
        <v>3134</v>
      </c>
      <c r="G108" s="3184" t="s">
        <v>3135</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93" t="str">
        <f t="shared" si="26"/>
        <v>(含)-</v>
      </c>
      <c r="K118" s="3093" t="str">
        <f t="shared" si="26"/>
        <v>(含)-</v>
      </c>
      <c r="L118" s="3094" t="str">
        <f t="shared" si="26"/>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c r="E119" s="730"/>
      <c r="F119" s="730"/>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3" t="s">
        <v>3127</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6" t="s">
        <v>3128</v>
      </c>
      <c r="D125" s="1376" t="s">
        <v>3152</v>
      </c>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4" t="s">
        <v>3130</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hidden="1"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hidden="1"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9" sqref="C9"/>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5" t="str">
        <f>项目基本情况!B1</f>
        <v>江苏省盐城市建湖县双湖路北、秀夫路两侧地块二320925100203GB00021W00000000号一宗其他商服用用地出让国有建设用地使用权抵押价格预评估</v>
      </c>
      <c r="C37" s="3215"/>
      <c r="D37" s="3215"/>
      <c r="E37" s="3215"/>
      <c r="F37" s="3215"/>
      <c r="G37" s="3215"/>
      <c r="H37" s="3215"/>
      <c r="I37" s="3215"/>
    </row>
    <row r="38" spans="1:9">
      <c r="A38" s="1656"/>
      <c r="B38" s="1656"/>
    </row>
    <row r="39" spans="1:9">
      <c r="A39" s="1654" t="s">
        <v>1902</v>
      </c>
      <c r="B39" s="1654" t="s">
        <v>2048</v>
      </c>
    </row>
    <row r="40" spans="1:9">
      <c r="A40" s="1654"/>
      <c r="B40" s="1654">
        <f>项目基本情况!B5</f>
        <v>0</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王鹏、郑燚</v>
      </c>
    </row>
    <row r="47" spans="1:9">
      <c r="A47" s="1654"/>
      <c r="B47" s="1654"/>
    </row>
    <row r="48" spans="1:9">
      <c r="A48" s="1654" t="s">
        <v>1902</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21"/>
  <sheetViews>
    <sheetView workbookViewId="0">
      <selection activeCell="G116" sqref="G116"/>
    </sheetView>
  </sheetViews>
  <sheetFormatPr defaultRowHeight="12.75"/>
  <cols>
    <col min="1" max="1" width="30.375" style="3180" customWidth="1"/>
    <col min="2" max="2" width="6.25" style="3180" hidden="1" customWidth="1"/>
    <col min="3" max="3" width="11.75" style="3180" hidden="1" customWidth="1"/>
    <col min="4" max="4" width="4.625" style="3180" hidden="1" customWidth="1"/>
    <col min="5" max="5" width="30.375" style="3180" hidden="1" customWidth="1"/>
    <col min="6" max="6" width="7.875" style="3180" customWidth="1"/>
    <col min="7" max="7" width="11.25" style="3180" customWidth="1"/>
    <col min="8" max="9" width="13.875" style="3180" customWidth="1"/>
    <col min="10" max="10" width="8.375" style="3180" customWidth="1"/>
    <col min="11" max="11" width="9" style="3180" customWidth="1"/>
    <col min="12" max="12" width="17.625" style="3180" customWidth="1"/>
    <col min="13" max="13" width="37" style="3180" customWidth="1"/>
    <col min="14" max="14" width="10.625" style="3180" customWidth="1"/>
    <col min="15" max="15" width="16" style="3180" customWidth="1"/>
    <col min="16" max="16" width="14.375" style="3180" customWidth="1"/>
    <col min="17" max="17" width="6.25" style="3180" customWidth="1"/>
    <col min="18" max="18" width="7.875" style="3180" customWidth="1"/>
    <col min="19" max="256" width="9" style="3180"/>
    <col min="257" max="257" width="30.375" style="3180" customWidth="1"/>
    <col min="258" max="258" width="6.25" style="3180" customWidth="1"/>
    <col min="259" max="259" width="11.75" style="3180" customWidth="1"/>
    <col min="260" max="260" width="4.625" style="3180" customWidth="1"/>
    <col min="261" max="261" width="30.375" style="3180" customWidth="1"/>
    <col min="262" max="262" width="7.875" style="3180" customWidth="1"/>
    <col min="263" max="263" width="11.25" style="3180" customWidth="1"/>
    <col min="264" max="265" width="13.875" style="3180" customWidth="1"/>
    <col min="266" max="266" width="8.375" style="3180" customWidth="1"/>
    <col min="267" max="267" width="9" style="3180" customWidth="1"/>
    <col min="268" max="268" width="17.625" style="3180" customWidth="1"/>
    <col min="269" max="269" width="37.625" style="3180" customWidth="1"/>
    <col min="270" max="270" width="10.625" style="3180" customWidth="1"/>
    <col min="271" max="271" width="16" style="3180" customWidth="1"/>
    <col min="272" max="272" width="14.375" style="3180" customWidth="1"/>
    <col min="273" max="273" width="6.25" style="3180" customWidth="1"/>
    <col min="274" max="274" width="7.875" style="3180" customWidth="1"/>
    <col min="275" max="512" width="9" style="3180"/>
    <col min="513" max="513" width="30.375" style="3180" customWidth="1"/>
    <col min="514" max="514" width="6.25" style="3180" customWidth="1"/>
    <col min="515" max="515" width="11.75" style="3180" customWidth="1"/>
    <col min="516" max="516" width="4.625" style="3180" customWidth="1"/>
    <col min="517" max="517" width="30.375" style="3180" customWidth="1"/>
    <col min="518" max="518" width="7.875" style="3180" customWidth="1"/>
    <col min="519" max="519" width="11.25" style="3180" customWidth="1"/>
    <col min="520" max="521" width="13.875" style="3180" customWidth="1"/>
    <col min="522" max="522" width="8.375" style="3180" customWidth="1"/>
    <col min="523" max="523" width="9" style="3180" customWidth="1"/>
    <col min="524" max="524" width="17.625" style="3180" customWidth="1"/>
    <col min="525" max="525" width="37.625" style="3180" customWidth="1"/>
    <col min="526" max="526" width="10.625" style="3180" customWidth="1"/>
    <col min="527" max="527" width="16" style="3180" customWidth="1"/>
    <col min="528" max="528" width="14.375" style="3180" customWidth="1"/>
    <col min="529" max="529" width="6.25" style="3180" customWidth="1"/>
    <col min="530" max="530" width="7.875" style="3180" customWidth="1"/>
    <col min="531" max="768" width="9" style="3180"/>
    <col min="769" max="769" width="30.375" style="3180" customWidth="1"/>
    <col min="770" max="770" width="6.25" style="3180" customWidth="1"/>
    <col min="771" max="771" width="11.75" style="3180" customWidth="1"/>
    <col min="772" max="772" width="4.625" style="3180" customWidth="1"/>
    <col min="773" max="773" width="30.375" style="3180" customWidth="1"/>
    <col min="774" max="774" width="7.875" style="3180" customWidth="1"/>
    <col min="775" max="775" width="11.25" style="3180" customWidth="1"/>
    <col min="776" max="777" width="13.875" style="3180" customWidth="1"/>
    <col min="778" max="778" width="8.375" style="3180" customWidth="1"/>
    <col min="779" max="779" width="9" style="3180" customWidth="1"/>
    <col min="780" max="780" width="17.625" style="3180" customWidth="1"/>
    <col min="781" max="781" width="37.625" style="3180" customWidth="1"/>
    <col min="782" max="782" width="10.625" style="3180" customWidth="1"/>
    <col min="783" max="783" width="16" style="3180" customWidth="1"/>
    <col min="784" max="784" width="14.375" style="3180" customWidth="1"/>
    <col min="785" max="785" width="6.25" style="3180" customWidth="1"/>
    <col min="786" max="786" width="7.875" style="3180" customWidth="1"/>
    <col min="787" max="1024" width="9" style="3180"/>
    <col min="1025" max="1025" width="30.375" style="3180" customWidth="1"/>
    <col min="1026" max="1026" width="6.25" style="3180" customWidth="1"/>
    <col min="1027" max="1027" width="11.75" style="3180" customWidth="1"/>
    <col min="1028" max="1028" width="4.625" style="3180" customWidth="1"/>
    <col min="1029" max="1029" width="30.375" style="3180" customWidth="1"/>
    <col min="1030" max="1030" width="7.875" style="3180" customWidth="1"/>
    <col min="1031" max="1031" width="11.25" style="3180" customWidth="1"/>
    <col min="1032" max="1033" width="13.875" style="3180" customWidth="1"/>
    <col min="1034" max="1034" width="8.375" style="3180" customWidth="1"/>
    <col min="1035" max="1035" width="9" style="3180" customWidth="1"/>
    <col min="1036" max="1036" width="17.625" style="3180" customWidth="1"/>
    <col min="1037" max="1037" width="37.625" style="3180" customWidth="1"/>
    <col min="1038" max="1038" width="10.625" style="3180" customWidth="1"/>
    <col min="1039" max="1039" width="16" style="3180" customWidth="1"/>
    <col min="1040" max="1040" width="14.375" style="3180" customWidth="1"/>
    <col min="1041" max="1041" width="6.25" style="3180" customWidth="1"/>
    <col min="1042" max="1042" width="7.875" style="3180" customWidth="1"/>
    <col min="1043" max="1280" width="9" style="3180"/>
    <col min="1281" max="1281" width="30.375" style="3180" customWidth="1"/>
    <col min="1282" max="1282" width="6.25" style="3180" customWidth="1"/>
    <col min="1283" max="1283" width="11.75" style="3180" customWidth="1"/>
    <col min="1284" max="1284" width="4.625" style="3180" customWidth="1"/>
    <col min="1285" max="1285" width="30.375" style="3180" customWidth="1"/>
    <col min="1286" max="1286" width="7.875" style="3180" customWidth="1"/>
    <col min="1287" max="1287" width="11.25" style="3180" customWidth="1"/>
    <col min="1288" max="1289" width="13.875" style="3180" customWidth="1"/>
    <col min="1290" max="1290" width="8.375" style="3180" customWidth="1"/>
    <col min="1291" max="1291" width="9" style="3180" customWidth="1"/>
    <col min="1292" max="1292" width="17.625" style="3180" customWidth="1"/>
    <col min="1293" max="1293" width="37.625" style="3180" customWidth="1"/>
    <col min="1294" max="1294" width="10.625" style="3180" customWidth="1"/>
    <col min="1295" max="1295" width="16" style="3180" customWidth="1"/>
    <col min="1296" max="1296" width="14.375" style="3180" customWidth="1"/>
    <col min="1297" max="1297" width="6.25" style="3180" customWidth="1"/>
    <col min="1298" max="1298" width="7.875" style="3180" customWidth="1"/>
    <col min="1299" max="1536" width="9" style="3180"/>
    <col min="1537" max="1537" width="30.375" style="3180" customWidth="1"/>
    <col min="1538" max="1538" width="6.25" style="3180" customWidth="1"/>
    <col min="1539" max="1539" width="11.75" style="3180" customWidth="1"/>
    <col min="1540" max="1540" width="4.625" style="3180" customWidth="1"/>
    <col min="1541" max="1541" width="30.375" style="3180" customWidth="1"/>
    <col min="1542" max="1542" width="7.875" style="3180" customWidth="1"/>
    <col min="1543" max="1543" width="11.25" style="3180" customWidth="1"/>
    <col min="1544" max="1545" width="13.875" style="3180" customWidth="1"/>
    <col min="1546" max="1546" width="8.375" style="3180" customWidth="1"/>
    <col min="1547" max="1547" width="9" style="3180" customWidth="1"/>
    <col min="1548" max="1548" width="17.625" style="3180" customWidth="1"/>
    <col min="1549" max="1549" width="37.625" style="3180" customWidth="1"/>
    <col min="1550" max="1550" width="10.625" style="3180" customWidth="1"/>
    <col min="1551" max="1551" width="16" style="3180" customWidth="1"/>
    <col min="1552" max="1552" width="14.375" style="3180" customWidth="1"/>
    <col min="1553" max="1553" width="6.25" style="3180" customWidth="1"/>
    <col min="1554" max="1554" width="7.875" style="3180" customWidth="1"/>
    <col min="1555" max="1792" width="9" style="3180"/>
    <col min="1793" max="1793" width="30.375" style="3180" customWidth="1"/>
    <col min="1794" max="1794" width="6.25" style="3180" customWidth="1"/>
    <col min="1795" max="1795" width="11.75" style="3180" customWidth="1"/>
    <col min="1796" max="1796" width="4.625" style="3180" customWidth="1"/>
    <col min="1797" max="1797" width="30.375" style="3180" customWidth="1"/>
    <col min="1798" max="1798" width="7.875" style="3180" customWidth="1"/>
    <col min="1799" max="1799" width="11.25" style="3180" customWidth="1"/>
    <col min="1800" max="1801" width="13.875" style="3180" customWidth="1"/>
    <col min="1802" max="1802" width="8.375" style="3180" customWidth="1"/>
    <col min="1803" max="1803" width="9" style="3180" customWidth="1"/>
    <col min="1804" max="1804" width="17.625" style="3180" customWidth="1"/>
    <col min="1805" max="1805" width="37.625" style="3180" customWidth="1"/>
    <col min="1806" max="1806" width="10.625" style="3180" customWidth="1"/>
    <col min="1807" max="1807" width="16" style="3180" customWidth="1"/>
    <col min="1808" max="1808" width="14.375" style="3180" customWidth="1"/>
    <col min="1809" max="1809" width="6.25" style="3180" customWidth="1"/>
    <col min="1810" max="1810" width="7.875" style="3180" customWidth="1"/>
    <col min="1811" max="2048" width="9" style="3180"/>
    <col min="2049" max="2049" width="30.375" style="3180" customWidth="1"/>
    <col min="2050" max="2050" width="6.25" style="3180" customWidth="1"/>
    <col min="2051" max="2051" width="11.75" style="3180" customWidth="1"/>
    <col min="2052" max="2052" width="4.625" style="3180" customWidth="1"/>
    <col min="2053" max="2053" width="30.375" style="3180" customWidth="1"/>
    <col min="2054" max="2054" width="7.875" style="3180" customWidth="1"/>
    <col min="2055" max="2055" width="11.25" style="3180" customWidth="1"/>
    <col min="2056" max="2057" width="13.875" style="3180" customWidth="1"/>
    <col min="2058" max="2058" width="8.375" style="3180" customWidth="1"/>
    <col min="2059" max="2059" width="9" style="3180" customWidth="1"/>
    <col min="2060" max="2060" width="17.625" style="3180" customWidth="1"/>
    <col min="2061" max="2061" width="37.625" style="3180" customWidth="1"/>
    <col min="2062" max="2062" width="10.625" style="3180" customWidth="1"/>
    <col min="2063" max="2063" width="16" style="3180" customWidth="1"/>
    <col min="2064" max="2064" width="14.375" style="3180" customWidth="1"/>
    <col min="2065" max="2065" width="6.25" style="3180" customWidth="1"/>
    <col min="2066" max="2066" width="7.875" style="3180" customWidth="1"/>
    <col min="2067" max="2304" width="9" style="3180"/>
    <col min="2305" max="2305" width="30.375" style="3180" customWidth="1"/>
    <col min="2306" max="2306" width="6.25" style="3180" customWidth="1"/>
    <col min="2307" max="2307" width="11.75" style="3180" customWidth="1"/>
    <col min="2308" max="2308" width="4.625" style="3180" customWidth="1"/>
    <col min="2309" max="2309" width="30.375" style="3180" customWidth="1"/>
    <col min="2310" max="2310" width="7.875" style="3180" customWidth="1"/>
    <col min="2311" max="2311" width="11.25" style="3180" customWidth="1"/>
    <col min="2312" max="2313" width="13.875" style="3180" customWidth="1"/>
    <col min="2314" max="2314" width="8.375" style="3180" customWidth="1"/>
    <col min="2315" max="2315" width="9" style="3180" customWidth="1"/>
    <col min="2316" max="2316" width="17.625" style="3180" customWidth="1"/>
    <col min="2317" max="2317" width="37.625" style="3180" customWidth="1"/>
    <col min="2318" max="2318" width="10.625" style="3180" customWidth="1"/>
    <col min="2319" max="2319" width="16" style="3180" customWidth="1"/>
    <col min="2320" max="2320" width="14.375" style="3180" customWidth="1"/>
    <col min="2321" max="2321" width="6.25" style="3180" customWidth="1"/>
    <col min="2322" max="2322" width="7.875" style="3180" customWidth="1"/>
    <col min="2323" max="2560" width="9" style="3180"/>
    <col min="2561" max="2561" width="30.375" style="3180" customWidth="1"/>
    <col min="2562" max="2562" width="6.25" style="3180" customWidth="1"/>
    <col min="2563" max="2563" width="11.75" style="3180" customWidth="1"/>
    <col min="2564" max="2564" width="4.625" style="3180" customWidth="1"/>
    <col min="2565" max="2565" width="30.375" style="3180" customWidth="1"/>
    <col min="2566" max="2566" width="7.875" style="3180" customWidth="1"/>
    <col min="2567" max="2567" width="11.25" style="3180" customWidth="1"/>
    <col min="2568" max="2569" width="13.875" style="3180" customWidth="1"/>
    <col min="2570" max="2570" width="8.375" style="3180" customWidth="1"/>
    <col min="2571" max="2571" width="9" style="3180" customWidth="1"/>
    <col min="2572" max="2572" width="17.625" style="3180" customWidth="1"/>
    <col min="2573" max="2573" width="37.625" style="3180" customWidth="1"/>
    <col min="2574" max="2574" width="10.625" style="3180" customWidth="1"/>
    <col min="2575" max="2575" width="16" style="3180" customWidth="1"/>
    <col min="2576" max="2576" width="14.375" style="3180" customWidth="1"/>
    <col min="2577" max="2577" width="6.25" style="3180" customWidth="1"/>
    <col min="2578" max="2578" width="7.875" style="3180" customWidth="1"/>
    <col min="2579" max="2816" width="9" style="3180"/>
    <col min="2817" max="2817" width="30.375" style="3180" customWidth="1"/>
    <col min="2818" max="2818" width="6.25" style="3180" customWidth="1"/>
    <col min="2819" max="2819" width="11.75" style="3180" customWidth="1"/>
    <col min="2820" max="2820" width="4.625" style="3180" customWidth="1"/>
    <col min="2821" max="2821" width="30.375" style="3180" customWidth="1"/>
    <col min="2822" max="2822" width="7.875" style="3180" customWidth="1"/>
    <col min="2823" max="2823" width="11.25" style="3180" customWidth="1"/>
    <col min="2824" max="2825" width="13.875" style="3180" customWidth="1"/>
    <col min="2826" max="2826" width="8.375" style="3180" customWidth="1"/>
    <col min="2827" max="2827" width="9" style="3180" customWidth="1"/>
    <col min="2828" max="2828" width="17.625" style="3180" customWidth="1"/>
    <col min="2829" max="2829" width="37.625" style="3180" customWidth="1"/>
    <col min="2830" max="2830" width="10.625" style="3180" customWidth="1"/>
    <col min="2831" max="2831" width="16" style="3180" customWidth="1"/>
    <col min="2832" max="2832" width="14.375" style="3180" customWidth="1"/>
    <col min="2833" max="2833" width="6.25" style="3180" customWidth="1"/>
    <col min="2834" max="2834" width="7.875" style="3180" customWidth="1"/>
    <col min="2835" max="3072" width="9" style="3180"/>
    <col min="3073" max="3073" width="30.375" style="3180" customWidth="1"/>
    <col min="3074" max="3074" width="6.25" style="3180" customWidth="1"/>
    <col min="3075" max="3075" width="11.75" style="3180" customWidth="1"/>
    <col min="3076" max="3076" width="4.625" style="3180" customWidth="1"/>
    <col min="3077" max="3077" width="30.375" style="3180" customWidth="1"/>
    <col min="3078" max="3078" width="7.875" style="3180" customWidth="1"/>
    <col min="3079" max="3079" width="11.25" style="3180" customWidth="1"/>
    <col min="3080" max="3081" width="13.875" style="3180" customWidth="1"/>
    <col min="3082" max="3082" width="8.375" style="3180" customWidth="1"/>
    <col min="3083" max="3083" width="9" style="3180" customWidth="1"/>
    <col min="3084" max="3084" width="17.625" style="3180" customWidth="1"/>
    <col min="3085" max="3085" width="37.625" style="3180" customWidth="1"/>
    <col min="3086" max="3086" width="10.625" style="3180" customWidth="1"/>
    <col min="3087" max="3087" width="16" style="3180" customWidth="1"/>
    <col min="3088" max="3088" width="14.375" style="3180" customWidth="1"/>
    <col min="3089" max="3089" width="6.25" style="3180" customWidth="1"/>
    <col min="3090" max="3090" width="7.875" style="3180" customWidth="1"/>
    <col min="3091" max="3328" width="9" style="3180"/>
    <col min="3329" max="3329" width="30.375" style="3180" customWidth="1"/>
    <col min="3330" max="3330" width="6.25" style="3180" customWidth="1"/>
    <col min="3331" max="3331" width="11.75" style="3180" customWidth="1"/>
    <col min="3332" max="3332" width="4.625" style="3180" customWidth="1"/>
    <col min="3333" max="3333" width="30.375" style="3180" customWidth="1"/>
    <col min="3334" max="3334" width="7.875" style="3180" customWidth="1"/>
    <col min="3335" max="3335" width="11.25" style="3180" customWidth="1"/>
    <col min="3336" max="3337" width="13.875" style="3180" customWidth="1"/>
    <col min="3338" max="3338" width="8.375" style="3180" customWidth="1"/>
    <col min="3339" max="3339" width="9" style="3180" customWidth="1"/>
    <col min="3340" max="3340" width="17.625" style="3180" customWidth="1"/>
    <col min="3341" max="3341" width="37.625" style="3180" customWidth="1"/>
    <col min="3342" max="3342" width="10.625" style="3180" customWidth="1"/>
    <col min="3343" max="3343" width="16" style="3180" customWidth="1"/>
    <col min="3344" max="3344" width="14.375" style="3180" customWidth="1"/>
    <col min="3345" max="3345" width="6.25" style="3180" customWidth="1"/>
    <col min="3346" max="3346" width="7.875" style="3180" customWidth="1"/>
    <col min="3347" max="3584" width="9" style="3180"/>
    <col min="3585" max="3585" width="30.375" style="3180" customWidth="1"/>
    <col min="3586" max="3586" width="6.25" style="3180" customWidth="1"/>
    <col min="3587" max="3587" width="11.75" style="3180" customWidth="1"/>
    <col min="3588" max="3588" width="4.625" style="3180" customWidth="1"/>
    <col min="3589" max="3589" width="30.375" style="3180" customWidth="1"/>
    <col min="3590" max="3590" width="7.875" style="3180" customWidth="1"/>
    <col min="3591" max="3591" width="11.25" style="3180" customWidth="1"/>
    <col min="3592" max="3593" width="13.875" style="3180" customWidth="1"/>
    <col min="3594" max="3594" width="8.375" style="3180" customWidth="1"/>
    <col min="3595" max="3595" width="9" style="3180" customWidth="1"/>
    <col min="3596" max="3596" width="17.625" style="3180" customWidth="1"/>
    <col min="3597" max="3597" width="37.625" style="3180" customWidth="1"/>
    <col min="3598" max="3598" width="10.625" style="3180" customWidth="1"/>
    <col min="3599" max="3599" width="16" style="3180" customWidth="1"/>
    <col min="3600" max="3600" width="14.375" style="3180" customWidth="1"/>
    <col min="3601" max="3601" width="6.25" style="3180" customWidth="1"/>
    <col min="3602" max="3602" width="7.875" style="3180" customWidth="1"/>
    <col min="3603" max="3840" width="9" style="3180"/>
    <col min="3841" max="3841" width="30.375" style="3180" customWidth="1"/>
    <col min="3842" max="3842" width="6.25" style="3180" customWidth="1"/>
    <col min="3843" max="3843" width="11.75" style="3180" customWidth="1"/>
    <col min="3844" max="3844" width="4.625" style="3180" customWidth="1"/>
    <col min="3845" max="3845" width="30.375" style="3180" customWidth="1"/>
    <col min="3846" max="3846" width="7.875" style="3180" customWidth="1"/>
    <col min="3847" max="3847" width="11.25" style="3180" customWidth="1"/>
    <col min="3848" max="3849" width="13.875" style="3180" customWidth="1"/>
    <col min="3850" max="3850" width="8.375" style="3180" customWidth="1"/>
    <col min="3851" max="3851" width="9" style="3180" customWidth="1"/>
    <col min="3852" max="3852" width="17.625" style="3180" customWidth="1"/>
    <col min="3853" max="3853" width="37.625" style="3180" customWidth="1"/>
    <col min="3854" max="3854" width="10.625" style="3180" customWidth="1"/>
    <col min="3855" max="3855" width="16" style="3180" customWidth="1"/>
    <col min="3856" max="3856" width="14.375" style="3180" customWidth="1"/>
    <col min="3857" max="3857" width="6.25" style="3180" customWidth="1"/>
    <col min="3858" max="3858" width="7.875" style="3180" customWidth="1"/>
    <col min="3859" max="4096" width="9" style="3180"/>
    <col min="4097" max="4097" width="30.375" style="3180" customWidth="1"/>
    <col min="4098" max="4098" width="6.25" style="3180" customWidth="1"/>
    <col min="4099" max="4099" width="11.75" style="3180" customWidth="1"/>
    <col min="4100" max="4100" width="4.625" style="3180" customWidth="1"/>
    <col min="4101" max="4101" width="30.375" style="3180" customWidth="1"/>
    <col min="4102" max="4102" width="7.875" style="3180" customWidth="1"/>
    <col min="4103" max="4103" width="11.25" style="3180" customWidth="1"/>
    <col min="4104" max="4105" width="13.875" style="3180" customWidth="1"/>
    <col min="4106" max="4106" width="8.375" style="3180" customWidth="1"/>
    <col min="4107" max="4107" width="9" style="3180" customWidth="1"/>
    <col min="4108" max="4108" width="17.625" style="3180" customWidth="1"/>
    <col min="4109" max="4109" width="37.625" style="3180" customWidth="1"/>
    <col min="4110" max="4110" width="10.625" style="3180" customWidth="1"/>
    <col min="4111" max="4111" width="16" style="3180" customWidth="1"/>
    <col min="4112" max="4112" width="14.375" style="3180" customWidth="1"/>
    <col min="4113" max="4113" width="6.25" style="3180" customWidth="1"/>
    <col min="4114" max="4114" width="7.875" style="3180" customWidth="1"/>
    <col min="4115" max="4352" width="9" style="3180"/>
    <col min="4353" max="4353" width="30.375" style="3180" customWidth="1"/>
    <col min="4354" max="4354" width="6.25" style="3180" customWidth="1"/>
    <col min="4355" max="4355" width="11.75" style="3180" customWidth="1"/>
    <col min="4356" max="4356" width="4.625" style="3180" customWidth="1"/>
    <col min="4357" max="4357" width="30.375" style="3180" customWidth="1"/>
    <col min="4358" max="4358" width="7.875" style="3180" customWidth="1"/>
    <col min="4359" max="4359" width="11.25" style="3180" customWidth="1"/>
    <col min="4360" max="4361" width="13.875" style="3180" customWidth="1"/>
    <col min="4362" max="4362" width="8.375" style="3180" customWidth="1"/>
    <col min="4363" max="4363" width="9" style="3180" customWidth="1"/>
    <col min="4364" max="4364" width="17.625" style="3180" customWidth="1"/>
    <col min="4365" max="4365" width="37.625" style="3180" customWidth="1"/>
    <col min="4366" max="4366" width="10.625" style="3180" customWidth="1"/>
    <col min="4367" max="4367" width="16" style="3180" customWidth="1"/>
    <col min="4368" max="4368" width="14.375" style="3180" customWidth="1"/>
    <col min="4369" max="4369" width="6.25" style="3180" customWidth="1"/>
    <col min="4370" max="4370" width="7.875" style="3180" customWidth="1"/>
    <col min="4371" max="4608" width="9" style="3180"/>
    <col min="4609" max="4609" width="30.375" style="3180" customWidth="1"/>
    <col min="4610" max="4610" width="6.25" style="3180" customWidth="1"/>
    <col min="4611" max="4611" width="11.75" style="3180" customWidth="1"/>
    <col min="4612" max="4612" width="4.625" style="3180" customWidth="1"/>
    <col min="4613" max="4613" width="30.375" style="3180" customWidth="1"/>
    <col min="4614" max="4614" width="7.875" style="3180" customWidth="1"/>
    <col min="4615" max="4615" width="11.25" style="3180" customWidth="1"/>
    <col min="4616" max="4617" width="13.875" style="3180" customWidth="1"/>
    <col min="4618" max="4618" width="8.375" style="3180" customWidth="1"/>
    <col min="4619" max="4619" width="9" style="3180" customWidth="1"/>
    <col min="4620" max="4620" width="17.625" style="3180" customWidth="1"/>
    <col min="4621" max="4621" width="37.625" style="3180" customWidth="1"/>
    <col min="4622" max="4622" width="10.625" style="3180" customWidth="1"/>
    <col min="4623" max="4623" width="16" style="3180" customWidth="1"/>
    <col min="4624" max="4624" width="14.375" style="3180" customWidth="1"/>
    <col min="4625" max="4625" width="6.25" style="3180" customWidth="1"/>
    <col min="4626" max="4626" width="7.875" style="3180" customWidth="1"/>
    <col min="4627" max="4864" width="9" style="3180"/>
    <col min="4865" max="4865" width="30.375" style="3180" customWidth="1"/>
    <col min="4866" max="4866" width="6.25" style="3180" customWidth="1"/>
    <col min="4867" max="4867" width="11.75" style="3180" customWidth="1"/>
    <col min="4868" max="4868" width="4.625" style="3180" customWidth="1"/>
    <col min="4869" max="4869" width="30.375" style="3180" customWidth="1"/>
    <col min="4870" max="4870" width="7.875" style="3180" customWidth="1"/>
    <col min="4871" max="4871" width="11.25" style="3180" customWidth="1"/>
    <col min="4872" max="4873" width="13.875" style="3180" customWidth="1"/>
    <col min="4874" max="4874" width="8.375" style="3180" customWidth="1"/>
    <col min="4875" max="4875" width="9" style="3180" customWidth="1"/>
    <col min="4876" max="4876" width="17.625" style="3180" customWidth="1"/>
    <col min="4877" max="4877" width="37.625" style="3180" customWidth="1"/>
    <col min="4878" max="4878" width="10.625" style="3180" customWidth="1"/>
    <col min="4879" max="4879" width="16" style="3180" customWidth="1"/>
    <col min="4880" max="4880" width="14.375" style="3180" customWidth="1"/>
    <col min="4881" max="4881" width="6.25" style="3180" customWidth="1"/>
    <col min="4882" max="4882" width="7.875" style="3180" customWidth="1"/>
    <col min="4883" max="5120" width="9" style="3180"/>
    <col min="5121" max="5121" width="30.375" style="3180" customWidth="1"/>
    <col min="5122" max="5122" width="6.25" style="3180" customWidth="1"/>
    <col min="5123" max="5123" width="11.75" style="3180" customWidth="1"/>
    <col min="5124" max="5124" width="4.625" style="3180" customWidth="1"/>
    <col min="5125" max="5125" width="30.375" style="3180" customWidth="1"/>
    <col min="5126" max="5126" width="7.875" style="3180" customWidth="1"/>
    <col min="5127" max="5127" width="11.25" style="3180" customWidth="1"/>
    <col min="5128" max="5129" width="13.875" style="3180" customWidth="1"/>
    <col min="5130" max="5130" width="8.375" style="3180" customWidth="1"/>
    <col min="5131" max="5131" width="9" style="3180" customWidth="1"/>
    <col min="5132" max="5132" width="17.625" style="3180" customWidth="1"/>
    <col min="5133" max="5133" width="37.625" style="3180" customWidth="1"/>
    <col min="5134" max="5134" width="10.625" style="3180" customWidth="1"/>
    <col min="5135" max="5135" width="16" style="3180" customWidth="1"/>
    <col min="5136" max="5136" width="14.375" style="3180" customWidth="1"/>
    <col min="5137" max="5137" width="6.25" style="3180" customWidth="1"/>
    <col min="5138" max="5138" width="7.875" style="3180" customWidth="1"/>
    <col min="5139" max="5376" width="9" style="3180"/>
    <col min="5377" max="5377" width="30.375" style="3180" customWidth="1"/>
    <col min="5378" max="5378" width="6.25" style="3180" customWidth="1"/>
    <col min="5379" max="5379" width="11.75" style="3180" customWidth="1"/>
    <col min="5380" max="5380" width="4.625" style="3180" customWidth="1"/>
    <col min="5381" max="5381" width="30.375" style="3180" customWidth="1"/>
    <col min="5382" max="5382" width="7.875" style="3180" customWidth="1"/>
    <col min="5383" max="5383" width="11.25" style="3180" customWidth="1"/>
    <col min="5384" max="5385" width="13.875" style="3180" customWidth="1"/>
    <col min="5386" max="5386" width="8.375" style="3180" customWidth="1"/>
    <col min="5387" max="5387" width="9" style="3180" customWidth="1"/>
    <col min="5388" max="5388" width="17.625" style="3180" customWidth="1"/>
    <col min="5389" max="5389" width="37.625" style="3180" customWidth="1"/>
    <col min="5390" max="5390" width="10.625" style="3180" customWidth="1"/>
    <col min="5391" max="5391" width="16" style="3180" customWidth="1"/>
    <col min="5392" max="5392" width="14.375" style="3180" customWidth="1"/>
    <col min="5393" max="5393" width="6.25" style="3180" customWidth="1"/>
    <col min="5394" max="5394" width="7.875" style="3180" customWidth="1"/>
    <col min="5395" max="5632" width="9" style="3180"/>
    <col min="5633" max="5633" width="30.375" style="3180" customWidth="1"/>
    <col min="5634" max="5634" width="6.25" style="3180" customWidth="1"/>
    <col min="5635" max="5635" width="11.75" style="3180" customWidth="1"/>
    <col min="5636" max="5636" width="4.625" style="3180" customWidth="1"/>
    <col min="5637" max="5637" width="30.375" style="3180" customWidth="1"/>
    <col min="5638" max="5638" width="7.875" style="3180" customWidth="1"/>
    <col min="5639" max="5639" width="11.25" style="3180" customWidth="1"/>
    <col min="5640" max="5641" width="13.875" style="3180" customWidth="1"/>
    <col min="5642" max="5642" width="8.375" style="3180" customWidth="1"/>
    <col min="5643" max="5643" width="9" style="3180" customWidth="1"/>
    <col min="5644" max="5644" width="17.625" style="3180" customWidth="1"/>
    <col min="5645" max="5645" width="37.625" style="3180" customWidth="1"/>
    <col min="5646" max="5646" width="10.625" style="3180" customWidth="1"/>
    <col min="5647" max="5647" width="16" style="3180" customWidth="1"/>
    <col min="5648" max="5648" width="14.375" style="3180" customWidth="1"/>
    <col min="5649" max="5649" width="6.25" style="3180" customWidth="1"/>
    <col min="5650" max="5650" width="7.875" style="3180" customWidth="1"/>
    <col min="5651" max="5888" width="9" style="3180"/>
    <col min="5889" max="5889" width="30.375" style="3180" customWidth="1"/>
    <col min="5890" max="5890" width="6.25" style="3180" customWidth="1"/>
    <col min="5891" max="5891" width="11.75" style="3180" customWidth="1"/>
    <col min="5892" max="5892" width="4.625" style="3180" customWidth="1"/>
    <col min="5893" max="5893" width="30.375" style="3180" customWidth="1"/>
    <col min="5894" max="5894" width="7.875" style="3180" customWidth="1"/>
    <col min="5895" max="5895" width="11.25" style="3180" customWidth="1"/>
    <col min="5896" max="5897" width="13.875" style="3180" customWidth="1"/>
    <col min="5898" max="5898" width="8.375" style="3180" customWidth="1"/>
    <col min="5899" max="5899" width="9" style="3180" customWidth="1"/>
    <col min="5900" max="5900" width="17.625" style="3180" customWidth="1"/>
    <col min="5901" max="5901" width="37.625" style="3180" customWidth="1"/>
    <col min="5902" max="5902" width="10.625" style="3180" customWidth="1"/>
    <col min="5903" max="5903" width="16" style="3180" customWidth="1"/>
    <col min="5904" max="5904" width="14.375" style="3180" customWidth="1"/>
    <col min="5905" max="5905" width="6.25" style="3180" customWidth="1"/>
    <col min="5906" max="5906" width="7.875" style="3180" customWidth="1"/>
    <col min="5907" max="6144" width="9" style="3180"/>
    <col min="6145" max="6145" width="30.375" style="3180" customWidth="1"/>
    <col min="6146" max="6146" width="6.25" style="3180" customWidth="1"/>
    <col min="6147" max="6147" width="11.75" style="3180" customWidth="1"/>
    <col min="6148" max="6148" width="4.625" style="3180" customWidth="1"/>
    <col min="6149" max="6149" width="30.375" style="3180" customWidth="1"/>
    <col min="6150" max="6150" width="7.875" style="3180" customWidth="1"/>
    <col min="6151" max="6151" width="11.25" style="3180" customWidth="1"/>
    <col min="6152" max="6153" width="13.875" style="3180" customWidth="1"/>
    <col min="6154" max="6154" width="8.375" style="3180" customWidth="1"/>
    <col min="6155" max="6155" width="9" style="3180" customWidth="1"/>
    <col min="6156" max="6156" width="17.625" style="3180" customWidth="1"/>
    <col min="6157" max="6157" width="37.625" style="3180" customWidth="1"/>
    <col min="6158" max="6158" width="10.625" style="3180" customWidth="1"/>
    <col min="6159" max="6159" width="16" style="3180" customWidth="1"/>
    <col min="6160" max="6160" width="14.375" style="3180" customWidth="1"/>
    <col min="6161" max="6161" width="6.25" style="3180" customWidth="1"/>
    <col min="6162" max="6162" width="7.875" style="3180" customWidth="1"/>
    <col min="6163" max="6400" width="9" style="3180"/>
    <col min="6401" max="6401" width="30.375" style="3180" customWidth="1"/>
    <col min="6402" max="6402" width="6.25" style="3180" customWidth="1"/>
    <col min="6403" max="6403" width="11.75" style="3180" customWidth="1"/>
    <col min="6404" max="6404" width="4.625" style="3180" customWidth="1"/>
    <col min="6405" max="6405" width="30.375" style="3180" customWidth="1"/>
    <col min="6406" max="6406" width="7.875" style="3180" customWidth="1"/>
    <col min="6407" max="6407" width="11.25" style="3180" customWidth="1"/>
    <col min="6408" max="6409" width="13.875" style="3180" customWidth="1"/>
    <col min="6410" max="6410" width="8.375" style="3180" customWidth="1"/>
    <col min="6411" max="6411" width="9" style="3180" customWidth="1"/>
    <col min="6412" max="6412" width="17.625" style="3180" customWidth="1"/>
    <col min="6413" max="6413" width="37.625" style="3180" customWidth="1"/>
    <col min="6414" max="6414" width="10.625" style="3180" customWidth="1"/>
    <col min="6415" max="6415" width="16" style="3180" customWidth="1"/>
    <col min="6416" max="6416" width="14.375" style="3180" customWidth="1"/>
    <col min="6417" max="6417" width="6.25" style="3180" customWidth="1"/>
    <col min="6418" max="6418" width="7.875" style="3180" customWidth="1"/>
    <col min="6419" max="6656" width="9" style="3180"/>
    <col min="6657" max="6657" width="30.375" style="3180" customWidth="1"/>
    <col min="6658" max="6658" width="6.25" style="3180" customWidth="1"/>
    <col min="6659" max="6659" width="11.75" style="3180" customWidth="1"/>
    <col min="6660" max="6660" width="4.625" style="3180" customWidth="1"/>
    <col min="6661" max="6661" width="30.375" style="3180" customWidth="1"/>
    <col min="6662" max="6662" width="7.875" style="3180" customWidth="1"/>
    <col min="6663" max="6663" width="11.25" style="3180" customWidth="1"/>
    <col min="6664" max="6665" width="13.875" style="3180" customWidth="1"/>
    <col min="6666" max="6666" width="8.375" style="3180" customWidth="1"/>
    <col min="6667" max="6667" width="9" style="3180" customWidth="1"/>
    <col min="6668" max="6668" width="17.625" style="3180" customWidth="1"/>
    <col min="6669" max="6669" width="37.625" style="3180" customWidth="1"/>
    <col min="6670" max="6670" width="10.625" style="3180" customWidth="1"/>
    <col min="6671" max="6671" width="16" style="3180" customWidth="1"/>
    <col min="6672" max="6672" width="14.375" style="3180" customWidth="1"/>
    <col min="6673" max="6673" width="6.25" style="3180" customWidth="1"/>
    <col min="6674" max="6674" width="7.875" style="3180" customWidth="1"/>
    <col min="6675" max="6912" width="9" style="3180"/>
    <col min="6913" max="6913" width="30.375" style="3180" customWidth="1"/>
    <col min="6914" max="6914" width="6.25" style="3180" customWidth="1"/>
    <col min="6915" max="6915" width="11.75" style="3180" customWidth="1"/>
    <col min="6916" max="6916" width="4.625" style="3180" customWidth="1"/>
    <col min="6917" max="6917" width="30.375" style="3180" customWidth="1"/>
    <col min="6918" max="6918" width="7.875" style="3180" customWidth="1"/>
    <col min="6919" max="6919" width="11.25" style="3180" customWidth="1"/>
    <col min="6920" max="6921" width="13.875" style="3180" customWidth="1"/>
    <col min="6922" max="6922" width="8.375" style="3180" customWidth="1"/>
    <col min="6923" max="6923" width="9" style="3180" customWidth="1"/>
    <col min="6924" max="6924" width="17.625" style="3180" customWidth="1"/>
    <col min="6925" max="6925" width="37.625" style="3180" customWidth="1"/>
    <col min="6926" max="6926" width="10.625" style="3180" customWidth="1"/>
    <col min="6927" max="6927" width="16" style="3180" customWidth="1"/>
    <col min="6928" max="6928" width="14.375" style="3180" customWidth="1"/>
    <col min="6929" max="6929" width="6.25" style="3180" customWidth="1"/>
    <col min="6930" max="6930" width="7.875" style="3180" customWidth="1"/>
    <col min="6931" max="7168" width="9" style="3180"/>
    <col min="7169" max="7169" width="30.375" style="3180" customWidth="1"/>
    <col min="7170" max="7170" width="6.25" style="3180" customWidth="1"/>
    <col min="7171" max="7171" width="11.75" style="3180" customWidth="1"/>
    <col min="7172" max="7172" width="4.625" style="3180" customWidth="1"/>
    <col min="7173" max="7173" width="30.375" style="3180" customWidth="1"/>
    <col min="7174" max="7174" width="7.875" style="3180" customWidth="1"/>
    <col min="7175" max="7175" width="11.25" style="3180" customWidth="1"/>
    <col min="7176" max="7177" width="13.875" style="3180" customWidth="1"/>
    <col min="7178" max="7178" width="8.375" style="3180" customWidth="1"/>
    <col min="7179" max="7179" width="9" style="3180" customWidth="1"/>
    <col min="7180" max="7180" width="17.625" style="3180" customWidth="1"/>
    <col min="7181" max="7181" width="37.625" style="3180" customWidth="1"/>
    <col min="7182" max="7182" width="10.625" style="3180" customWidth="1"/>
    <col min="7183" max="7183" width="16" style="3180" customWidth="1"/>
    <col min="7184" max="7184" width="14.375" style="3180" customWidth="1"/>
    <col min="7185" max="7185" width="6.25" style="3180" customWidth="1"/>
    <col min="7186" max="7186" width="7.875" style="3180" customWidth="1"/>
    <col min="7187" max="7424" width="9" style="3180"/>
    <col min="7425" max="7425" width="30.375" style="3180" customWidth="1"/>
    <col min="7426" max="7426" width="6.25" style="3180" customWidth="1"/>
    <col min="7427" max="7427" width="11.75" style="3180" customWidth="1"/>
    <col min="7428" max="7428" width="4.625" style="3180" customWidth="1"/>
    <col min="7429" max="7429" width="30.375" style="3180" customWidth="1"/>
    <col min="7430" max="7430" width="7.875" style="3180" customWidth="1"/>
    <col min="7431" max="7431" width="11.25" style="3180" customWidth="1"/>
    <col min="7432" max="7433" width="13.875" style="3180" customWidth="1"/>
    <col min="7434" max="7434" width="8.375" style="3180" customWidth="1"/>
    <col min="7435" max="7435" width="9" style="3180" customWidth="1"/>
    <col min="7436" max="7436" width="17.625" style="3180" customWidth="1"/>
    <col min="7437" max="7437" width="37.625" style="3180" customWidth="1"/>
    <col min="7438" max="7438" width="10.625" style="3180" customWidth="1"/>
    <col min="7439" max="7439" width="16" style="3180" customWidth="1"/>
    <col min="7440" max="7440" width="14.375" style="3180" customWidth="1"/>
    <col min="7441" max="7441" width="6.25" style="3180" customWidth="1"/>
    <col min="7442" max="7442" width="7.875" style="3180" customWidth="1"/>
    <col min="7443" max="7680" width="9" style="3180"/>
    <col min="7681" max="7681" width="30.375" style="3180" customWidth="1"/>
    <col min="7682" max="7682" width="6.25" style="3180" customWidth="1"/>
    <col min="7683" max="7683" width="11.75" style="3180" customWidth="1"/>
    <col min="7684" max="7684" width="4.625" style="3180" customWidth="1"/>
    <col min="7685" max="7685" width="30.375" style="3180" customWidth="1"/>
    <col min="7686" max="7686" width="7.875" style="3180" customWidth="1"/>
    <col min="7687" max="7687" width="11.25" style="3180" customWidth="1"/>
    <col min="7688" max="7689" width="13.875" style="3180" customWidth="1"/>
    <col min="7690" max="7690" width="8.375" style="3180" customWidth="1"/>
    <col min="7691" max="7691" width="9" style="3180" customWidth="1"/>
    <col min="7692" max="7692" width="17.625" style="3180" customWidth="1"/>
    <col min="7693" max="7693" width="37.625" style="3180" customWidth="1"/>
    <col min="7694" max="7694" width="10.625" style="3180" customWidth="1"/>
    <col min="7695" max="7695" width="16" style="3180" customWidth="1"/>
    <col min="7696" max="7696" width="14.375" style="3180" customWidth="1"/>
    <col min="7697" max="7697" width="6.25" style="3180" customWidth="1"/>
    <col min="7698" max="7698" width="7.875" style="3180" customWidth="1"/>
    <col min="7699" max="7936" width="9" style="3180"/>
    <col min="7937" max="7937" width="30.375" style="3180" customWidth="1"/>
    <col min="7938" max="7938" width="6.25" style="3180" customWidth="1"/>
    <col min="7939" max="7939" width="11.75" style="3180" customWidth="1"/>
    <col min="7940" max="7940" width="4.625" style="3180" customWidth="1"/>
    <col min="7941" max="7941" width="30.375" style="3180" customWidth="1"/>
    <col min="7942" max="7942" width="7.875" style="3180" customWidth="1"/>
    <col min="7943" max="7943" width="11.25" style="3180" customWidth="1"/>
    <col min="7944" max="7945" width="13.875" style="3180" customWidth="1"/>
    <col min="7946" max="7946" width="8.375" style="3180" customWidth="1"/>
    <col min="7947" max="7947" width="9" style="3180" customWidth="1"/>
    <col min="7948" max="7948" width="17.625" style="3180" customWidth="1"/>
    <col min="7949" max="7949" width="37.625" style="3180" customWidth="1"/>
    <col min="7950" max="7950" width="10.625" style="3180" customWidth="1"/>
    <col min="7951" max="7951" width="16" style="3180" customWidth="1"/>
    <col min="7952" max="7952" width="14.375" style="3180" customWidth="1"/>
    <col min="7953" max="7953" width="6.25" style="3180" customWidth="1"/>
    <col min="7954" max="7954" width="7.875" style="3180" customWidth="1"/>
    <col min="7955" max="8192" width="9" style="3180"/>
    <col min="8193" max="8193" width="30.375" style="3180" customWidth="1"/>
    <col min="8194" max="8194" width="6.25" style="3180" customWidth="1"/>
    <col min="8195" max="8195" width="11.75" style="3180" customWidth="1"/>
    <col min="8196" max="8196" width="4.625" style="3180" customWidth="1"/>
    <col min="8197" max="8197" width="30.375" style="3180" customWidth="1"/>
    <col min="8198" max="8198" width="7.875" style="3180" customWidth="1"/>
    <col min="8199" max="8199" width="11.25" style="3180" customWidth="1"/>
    <col min="8200" max="8201" width="13.875" style="3180" customWidth="1"/>
    <col min="8202" max="8202" width="8.375" style="3180" customWidth="1"/>
    <col min="8203" max="8203" width="9" style="3180" customWidth="1"/>
    <col min="8204" max="8204" width="17.625" style="3180" customWidth="1"/>
    <col min="8205" max="8205" width="37.625" style="3180" customWidth="1"/>
    <col min="8206" max="8206" width="10.625" style="3180" customWidth="1"/>
    <col min="8207" max="8207" width="16" style="3180" customWidth="1"/>
    <col min="8208" max="8208" width="14.375" style="3180" customWidth="1"/>
    <col min="8209" max="8209" width="6.25" style="3180" customWidth="1"/>
    <col min="8210" max="8210" width="7.875" style="3180" customWidth="1"/>
    <col min="8211" max="8448" width="9" style="3180"/>
    <col min="8449" max="8449" width="30.375" style="3180" customWidth="1"/>
    <col min="8450" max="8450" width="6.25" style="3180" customWidth="1"/>
    <col min="8451" max="8451" width="11.75" style="3180" customWidth="1"/>
    <col min="8452" max="8452" width="4.625" style="3180" customWidth="1"/>
    <col min="8453" max="8453" width="30.375" style="3180" customWidth="1"/>
    <col min="8454" max="8454" width="7.875" style="3180" customWidth="1"/>
    <col min="8455" max="8455" width="11.25" style="3180" customWidth="1"/>
    <col min="8456" max="8457" width="13.875" style="3180" customWidth="1"/>
    <col min="8458" max="8458" width="8.375" style="3180" customWidth="1"/>
    <col min="8459" max="8459" width="9" style="3180" customWidth="1"/>
    <col min="8460" max="8460" width="17.625" style="3180" customWidth="1"/>
    <col min="8461" max="8461" width="37.625" style="3180" customWidth="1"/>
    <col min="8462" max="8462" width="10.625" style="3180" customWidth="1"/>
    <col min="8463" max="8463" width="16" style="3180" customWidth="1"/>
    <col min="8464" max="8464" width="14.375" style="3180" customWidth="1"/>
    <col min="8465" max="8465" width="6.25" style="3180" customWidth="1"/>
    <col min="8466" max="8466" width="7.875" style="3180" customWidth="1"/>
    <col min="8467" max="8704" width="9" style="3180"/>
    <col min="8705" max="8705" width="30.375" style="3180" customWidth="1"/>
    <col min="8706" max="8706" width="6.25" style="3180" customWidth="1"/>
    <col min="8707" max="8707" width="11.75" style="3180" customWidth="1"/>
    <col min="8708" max="8708" width="4.625" style="3180" customWidth="1"/>
    <col min="8709" max="8709" width="30.375" style="3180" customWidth="1"/>
    <col min="8710" max="8710" width="7.875" style="3180" customWidth="1"/>
    <col min="8711" max="8711" width="11.25" style="3180" customWidth="1"/>
    <col min="8712" max="8713" width="13.875" style="3180" customWidth="1"/>
    <col min="8714" max="8714" width="8.375" style="3180" customWidth="1"/>
    <col min="8715" max="8715" width="9" style="3180" customWidth="1"/>
    <col min="8716" max="8716" width="17.625" style="3180" customWidth="1"/>
    <col min="8717" max="8717" width="37.625" style="3180" customWidth="1"/>
    <col min="8718" max="8718" width="10.625" style="3180" customWidth="1"/>
    <col min="8719" max="8719" width="16" style="3180" customWidth="1"/>
    <col min="8720" max="8720" width="14.375" style="3180" customWidth="1"/>
    <col min="8721" max="8721" width="6.25" style="3180" customWidth="1"/>
    <col min="8722" max="8722" width="7.875" style="3180" customWidth="1"/>
    <col min="8723" max="8960" width="9" style="3180"/>
    <col min="8961" max="8961" width="30.375" style="3180" customWidth="1"/>
    <col min="8962" max="8962" width="6.25" style="3180" customWidth="1"/>
    <col min="8963" max="8963" width="11.75" style="3180" customWidth="1"/>
    <col min="8964" max="8964" width="4.625" style="3180" customWidth="1"/>
    <col min="8965" max="8965" width="30.375" style="3180" customWidth="1"/>
    <col min="8966" max="8966" width="7.875" style="3180" customWidth="1"/>
    <col min="8967" max="8967" width="11.25" style="3180" customWidth="1"/>
    <col min="8968" max="8969" width="13.875" style="3180" customWidth="1"/>
    <col min="8970" max="8970" width="8.375" style="3180" customWidth="1"/>
    <col min="8971" max="8971" width="9" style="3180" customWidth="1"/>
    <col min="8972" max="8972" width="17.625" style="3180" customWidth="1"/>
    <col min="8973" max="8973" width="37.625" style="3180" customWidth="1"/>
    <col min="8974" max="8974" width="10.625" style="3180" customWidth="1"/>
    <col min="8975" max="8975" width="16" style="3180" customWidth="1"/>
    <col min="8976" max="8976" width="14.375" style="3180" customWidth="1"/>
    <col min="8977" max="8977" width="6.25" style="3180" customWidth="1"/>
    <col min="8978" max="8978" width="7.875" style="3180" customWidth="1"/>
    <col min="8979" max="9216" width="9" style="3180"/>
    <col min="9217" max="9217" width="30.375" style="3180" customWidth="1"/>
    <col min="9218" max="9218" width="6.25" style="3180" customWidth="1"/>
    <col min="9219" max="9219" width="11.75" style="3180" customWidth="1"/>
    <col min="9220" max="9220" width="4.625" style="3180" customWidth="1"/>
    <col min="9221" max="9221" width="30.375" style="3180" customWidth="1"/>
    <col min="9222" max="9222" width="7.875" style="3180" customWidth="1"/>
    <col min="9223" max="9223" width="11.25" style="3180" customWidth="1"/>
    <col min="9224" max="9225" width="13.875" style="3180" customWidth="1"/>
    <col min="9226" max="9226" width="8.375" style="3180" customWidth="1"/>
    <col min="9227" max="9227" width="9" style="3180" customWidth="1"/>
    <col min="9228" max="9228" width="17.625" style="3180" customWidth="1"/>
    <col min="9229" max="9229" width="37.625" style="3180" customWidth="1"/>
    <col min="9230" max="9230" width="10.625" style="3180" customWidth="1"/>
    <col min="9231" max="9231" width="16" style="3180" customWidth="1"/>
    <col min="9232" max="9232" width="14.375" style="3180" customWidth="1"/>
    <col min="9233" max="9233" width="6.25" style="3180" customWidth="1"/>
    <col min="9234" max="9234" width="7.875" style="3180" customWidth="1"/>
    <col min="9235" max="9472" width="9" style="3180"/>
    <col min="9473" max="9473" width="30.375" style="3180" customWidth="1"/>
    <col min="9474" max="9474" width="6.25" style="3180" customWidth="1"/>
    <col min="9475" max="9475" width="11.75" style="3180" customWidth="1"/>
    <col min="9476" max="9476" width="4.625" style="3180" customWidth="1"/>
    <col min="9477" max="9477" width="30.375" style="3180" customWidth="1"/>
    <col min="9478" max="9478" width="7.875" style="3180" customWidth="1"/>
    <col min="9479" max="9479" width="11.25" style="3180" customWidth="1"/>
    <col min="9480" max="9481" width="13.875" style="3180" customWidth="1"/>
    <col min="9482" max="9482" width="8.375" style="3180" customWidth="1"/>
    <col min="9483" max="9483" width="9" style="3180" customWidth="1"/>
    <col min="9484" max="9484" width="17.625" style="3180" customWidth="1"/>
    <col min="9485" max="9485" width="37.625" style="3180" customWidth="1"/>
    <col min="9486" max="9486" width="10.625" style="3180" customWidth="1"/>
    <col min="9487" max="9487" width="16" style="3180" customWidth="1"/>
    <col min="9488" max="9488" width="14.375" style="3180" customWidth="1"/>
    <col min="9489" max="9489" width="6.25" style="3180" customWidth="1"/>
    <col min="9490" max="9490" width="7.875" style="3180" customWidth="1"/>
    <col min="9491" max="9728" width="9" style="3180"/>
    <col min="9729" max="9729" width="30.375" style="3180" customWidth="1"/>
    <col min="9730" max="9730" width="6.25" style="3180" customWidth="1"/>
    <col min="9731" max="9731" width="11.75" style="3180" customWidth="1"/>
    <col min="9732" max="9732" width="4.625" style="3180" customWidth="1"/>
    <col min="9733" max="9733" width="30.375" style="3180" customWidth="1"/>
    <col min="9734" max="9734" width="7.875" style="3180" customWidth="1"/>
    <col min="9735" max="9735" width="11.25" style="3180" customWidth="1"/>
    <col min="9736" max="9737" width="13.875" style="3180" customWidth="1"/>
    <col min="9738" max="9738" width="8.375" style="3180" customWidth="1"/>
    <col min="9739" max="9739" width="9" style="3180" customWidth="1"/>
    <col min="9740" max="9740" width="17.625" style="3180" customWidth="1"/>
    <col min="9741" max="9741" width="37.625" style="3180" customWidth="1"/>
    <col min="9742" max="9742" width="10.625" style="3180" customWidth="1"/>
    <col min="9743" max="9743" width="16" style="3180" customWidth="1"/>
    <col min="9744" max="9744" width="14.375" style="3180" customWidth="1"/>
    <col min="9745" max="9745" width="6.25" style="3180" customWidth="1"/>
    <col min="9746" max="9746" width="7.875" style="3180" customWidth="1"/>
    <col min="9747" max="9984" width="9" style="3180"/>
    <col min="9985" max="9985" width="30.375" style="3180" customWidth="1"/>
    <col min="9986" max="9986" width="6.25" style="3180" customWidth="1"/>
    <col min="9987" max="9987" width="11.75" style="3180" customWidth="1"/>
    <col min="9988" max="9988" width="4.625" style="3180" customWidth="1"/>
    <col min="9989" max="9989" width="30.375" style="3180" customWidth="1"/>
    <col min="9990" max="9990" width="7.875" style="3180" customWidth="1"/>
    <col min="9991" max="9991" width="11.25" style="3180" customWidth="1"/>
    <col min="9992" max="9993" width="13.875" style="3180" customWidth="1"/>
    <col min="9994" max="9994" width="8.375" style="3180" customWidth="1"/>
    <col min="9995" max="9995" width="9" style="3180" customWidth="1"/>
    <col min="9996" max="9996" width="17.625" style="3180" customWidth="1"/>
    <col min="9997" max="9997" width="37.625" style="3180" customWidth="1"/>
    <col min="9998" max="9998" width="10.625" style="3180" customWidth="1"/>
    <col min="9999" max="9999" width="16" style="3180" customWidth="1"/>
    <col min="10000" max="10000" width="14.375" style="3180" customWidth="1"/>
    <col min="10001" max="10001" width="6.25" style="3180" customWidth="1"/>
    <col min="10002" max="10002" width="7.875" style="3180" customWidth="1"/>
    <col min="10003" max="10240" width="9" style="3180"/>
    <col min="10241" max="10241" width="30.375" style="3180" customWidth="1"/>
    <col min="10242" max="10242" width="6.25" style="3180" customWidth="1"/>
    <col min="10243" max="10243" width="11.75" style="3180" customWidth="1"/>
    <col min="10244" max="10244" width="4.625" style="3180" customWidth="1"/>
    <col min="10245" max="10245" width="30.375" style="3180" customWidth="1"/>
    <col min="10246" max="10246" width="7.875" style="3180" customWidth="1"/>
    <col min="10247" max="10247" width="11.25" style="3180" customWidth="1"/>
    <col min="10248" max="10249" width="13.875" style="3180" customWidth="1"/>
    <col min="10250" max="10250" width="8.375" style="3180" customWidth="1"/>
    <col min="10251" max="10251" width="9" style="3180" customWidth="1"/>
    <col min="10252" max="10252" width="17.625" style="3180" customWidth="1"/>
    <col min="10253" max="10253" width="37.625" style="3180" customWidth="1"/>
    <col min="10254" max="10254" width="10.625" style="3180" customWidth="1"/>
    <col min="10255" max="10255" width="16" style="3180" customWidth="1"/>
    <col min="10256" max="10256" width="14.375" style="3180" customWidth="1"/>
    <col min="10257" max="10257" width="6.25" style="3180" customWidth="1"/>
    <col min="10258" max="10258" width="7.875" style="3180" customWidth="1"/>
    <col min="10259" max="10496" width="9" style="3180"/>
    <col min="10497" max="10497" width="30.375" style="3180" customWidth="1"/>
    <col min="10498" max="10498" width="6.25" style="3180" customWidth="1"/>
    <col min="10499" max="10499" width="11.75" style="3180" customWidth="1"/>
    <col min="10500" max="10500" width="4.625" style="3180" customWidth="1"/>
    <col min="10501" max="10501" width="30.375" style="3180" customWidth="1"/>
    <col min="10502" max="10502" width="7.875" style="3180" customWidth="1"/>
    <col min="10503" max="10503" width="11.25" style="3180" customWidth="1"/>
    <col min="10504" max="10505" width="13.875" style="3180" customWidth="1"/>
    <col min="10506" max="10506" width="8.375" style="3180" customWidth="1"/>
    <col min="10507" max="10507" width="9" style="3180" customWidth="1"/>
    <col min="10508" max="10508" width="17.625" style="3180" customWidth="1"/>
    <col min="10509" max="10509" width="37.625" style="3180" customWidth="1"/>
    <col min="10510" max="10510" width="10.625" style="3180" customWidth="1"/>
    <col min="10511" max="10511" width="16" style="3180" customWidth="1"/>
    <col min="10512" max="10512" width="14.375" style="3180" customWidth="1"/>
    <col min="10513" max="10513" width="6.25" style="3180" customWidth="1"/>
    <col min="10514" max="10514" width="7.875" style="3180" customWidth="1"/>
    <col min="10515" max="10752" width="9" style="3180"/>
    <col min="10753" max="10753" width="30.375" style="3180" customWidth="1"/>
    <col min="10754" max="10754" width="6.25" style="3180" customWidth="1"/>
    <col min="10755" max="10755" width="11.75" style="3180" customWidth="1"/>
    <col min="10756" max="10756" width="4.625" style="3180" customWidth="1"/>
    <col min="10757" max="10757" width="30.375" style="3180" customWidth="1"/>
    <col min="10758" max="10758" width="7.875" style="3180" customWidth="1"/>
    <col min="10759" max="10759" width="11.25" style="3180" customWidth="1"/>
    <col min="10760" max="10761" width="13.875" style="3180" customWidth="1"/>
    <col min="10762" max="10762" width="8.375" style="3180" customWidth="1"/>
    <col min="10763" max="10763" width="9" style="3180" customWidth="1"/>
    <col min="10764" max="10764" width="17.625" style="3180" customWidth="1"/>
    <col min="10765" max="10765" width="37.625" style="3180" customWidth="1"/>
    <col min="10766" max="10766" width="10.625" style="3180" customWidth="1"/>
    <col min="10767" max="10767" width="16" style="3180" customWidth="1"/>
    <col min="10768" max="10768" width="14.375" style="3180" customWidth="1"/>
    <col min="10769" max="10769" width="6.25" style="3180" customWidth="1"/>
    <col min="10770" max="10770" width="7.875" style="3180" customWidth="1"/>
    <col min="10771" max="11008" width="9" style="3180"/>
    <col min="11009" max="11009" width="30.375" style="3180" customWidth="1"/>
    <col min="11010" max="11010" width="6.25" style="3180" customWidth="1"/>
    <col min="11011" max="11011" width="11.75" style="3180" customWidth="1"/>
    <col min="11012" max="11012" width="4.625" style="3180" customWidth="1"/>
    <col min="11013" max="11013" width="30.375" style="3180" customWidth="1"/>
    <col min="11014" max="11014" width="7.875" style="3180" customWidth="1"/>
    <col min="11015" max="11015" width="11.25" style="3180" customWidth="1"/>
    <col min="11016" max="11017" width="13.875" style="3180" customWidth="1"/>
    <col min="11018" max="11018" width="8.375" style="3180" customWidth="1"/>
    <col min="11019" max="11019" width="9" style="3180" customWidth="1"/>
    <col min="11020" max="11020" width="17.625" style="3180" customWidth="1"/>
    <col min="11021" max="11021" width="37.625" style="3180" customWidth="1"/>
    <col min="11022" max="11022" width="10.625" style="3180" customWidth="1"/>
    <col min="11023" max="11023" width="16" style="3180" customWidth="1"/>
    <col min="11024" max="11024" width="14.375" style="3180" customWidth="1"/>
    <col min="11025" max="11025" width="6.25" style="3180" customWidth="1"/>
    <col min="11026" max="11026" width="7.875" style="3180" customWidth="1"/>
    <col min="11027" max="11264" width="9" style="3180"/>
    <col min="11265" max="11265" width="30.375" style="3180" customWidth="1"/>
    <col min="11266" max="11266" width="6.25" style="3180" customWidth="1"/>
    <col min="11267" max="11267" width="11.75" style="3180" customWidth="1"/>
    <col min="11268" max="11268" width="4.625" style="3180" customWidth="1"/>
    <col min="11269" max="11269" width="30.375" style="3180" customWidth="1"/>
    <col min="11270" max="11270" width="7.875" style="3180" customWidth="1"/>
    <col min="11271" max="11271" width="11.25" style="3180" customWidth="1"/>
    <col min="11272" max="11273" width="13.875" style="3180" customWidth="1"/>
    <col min="11274" max="11274" width="8.375" style="3180" customWidth="1"/>
    <col min="11275" max="11275" width="9" style="3180" customWidth="1"/>
    <col min="11276" max="11276" width="17.625" style="3180" customWidth="1"/>
    <col min="11277" max="11277" width="37.625" style="3180" customWidth="1"/>
    <col min="11278" max="11278" width="10.625" style="3180" customWidth="1"/>
    <col min="11279" max="11279" width="16" style="3180" customWidth="1"/>
    <col min="11280" max="11280" width="14.375" style="3180" customWidth="1"/>
    <col min="11281" max="11281" width="6.25" style="3180" customWidth="1"/>
    <col min="11282" max="11282" width="7.875" style="3180" customWidth="1"/>
    <col min="11283" max="11520" width="9" style="3180"/>
    <col min="11521" max="11521" width="30.375" style="3180" customWidth="1"/>
    <col min="11522" max="11522" width="6.25" style="3180" customWidth="1"/>
    <col min="11523" max="11523" width="11.75" style="3180" customWidth="1"/>
    <col min="11524" max="11524" width="4.625" style="3180" customWidth="1"/>
    <col min="11525" max="11525" width="30.375" style="3180" customWidth="1"/>
    <col min="11526" max="11526" width="7.875" style="3180" customWidth="1"/>
    <col min="11527" max="11527" width="11.25" style="3180" customWidth="1"/>
    <col min="11528" max="11529" width="13.875" style="3180" customWidth="1"/>
    <col min="11530" max="11530" width="8.375" style="3180" customWidth="1"/>
    <col min="11531" max="11531" width="9" style="3180" customWidth="1"/>
    <col min="11532" max="11532" width="17.625" style="3180" customWidth="1"/>
    <col min="11533" max="11533" width="37.625" style="3180" customWidth="1"/>
    <col min="11534" max="11534" width="10.625" style="3180" customWidth="1"/>
    <col min="11535" max="11535" width="16" style="3180" customWidth="1"/>
    <col min="11536" max="11536" width="14.375" style="3180" customWidth="1"/>
    <col min="11537" max="11537" width="6.25" style="3180" customWidth="1"/>
    <col min="11538" max="11538" width="7.875" style="3180" customWidth="1"/>
    <col min="11539" max="11776" width="9" style="3180"/>
    <col min="11777" max="11777" width="30.375" style="3180" customWidth="1"/>
    <col min="11778" max="11778" width="6.25" style="3180" customWidth="1"/>
    <col min="11779" max="11779" width="11.75" style="3180" customWidth="1"/>
    <col min="11780" max="11780" width="4.625" style="3180" customWidth="1"/>
    <col min="11781" max="11781" width="30.375" style="3180" customWidth="1"/>
    <col min="11782" max="11782" width="7.875" style="3180" customWidth="1"/>
    <col min="11783" max="11783" width="11.25" style="3180" customWidth="1"/>
    <col min="11784" max="11785" width="13.875" style="3180" customWidth="1"/>
    <col min="11786" max="11786" width="8.375" style="3180" customWidth="1"/>
    <col min="11787" max="11787" width="9" style="3180" customWidth="1"/>
    <col min="11788" max="11788" width="17.625" style="3180" customWidth="1"/>
    <col min="11789" max="11789" width="37.625" style="3180" customWidth="1"/>
    <col min="11790" max="11790" width="10.625" style="3180" customWidth="1"/>
    <col min="11791" max="11791" width="16" style="3180" customWidth="1"/>
    <col min="11792" max="11792" width="14.375" style="3180" customWidth="1"/>
    <col min="11793" max="11793" width="6.25" style="3180" customWidth="1"/>
    <col min="11794" max="11794" width="7.875" style="3180" customWidth="1"/>
    <col min="11795" max="12032" width="9" style="3180"/>
    <col min="12033" max="12033" width="30.375" style="3180" customWidth="1"/>
    <col min="12034" max="12034" width="6.25" style="3180" customWidth="1"/>
    <col min="12035" max="12035" width="11.75" style="3180" customWidth="1"/>
    <col min="12036" max="12036" width="4.625" style="3180" customWidth="1"/>
    <col min="12037" max="12037" width="30.375" style="3180" customWidth="1"/>
    <col min="12038" max="12038" width="7.875" style="3180" customWidth="1"/>
    <col min="12039" max="12039" width="11.25" style="3180" customWidth="1"/>
    <col min="12040" max="12041" width="13.875" style="3180" customWidth="1"/>
    <col min="12042" max="12042" width="8.375" style="3180" customWidth="1"/>
    <col min="12043" max="12043" width="9" style="3180" customWidth="1"/>
    <col min="12044" max="12044" width="17.625" style="3180" customWidth="1"/>
    <col min="12045" max="12045" width="37.625" style="3180" customWidth="1"/>
    <col min="12046" max="12046" width="10.625" style="3180" customWidth="1"/>
    <col min="12047" max="12047" width="16" style="3180" customWidth="1"/>
    <col min="12048" max="12048" width="14.375" style="3180" customWidth="1"/>
    <col min="12049" max="12049" width="6.25" style="3180" customWidth="1"/>
    <col min="12050" max="12050" width="7.875" style="3180" customWidth="1"/>
    <col min="12051" max="12288" width="9" style="3180"/>
    <col min="12289" max="12289" width="30.375" style="3180" customWidth="1"/>
    <col min="12290" max="12290" width="6.25" style="3180" customWidth="1"/>
    <col min="12291" max="12291" width="11.75" style="3180" customWidth="1"/>
    <col min="12292" max="12292" width="4.625" style="3180" customWidth="1"/>
    <col min="12293" max="12293" width="30.375" style="3180" customWidth="1"/>
    <col min="12294" max="12294" width="7.875" style="3180" customWidth="1"/>
    <col min="12295" max="12295" width="11.25" style="3180" customWidth="1"/>
    <col min="12296" max="12297" width="13.875" style="3180" customWidth="1"/>
    <col min="12298" max="12298" width="8.375" style="3180" customWidth="1"/>
    <col min="12299" max="12299" width="9" style="3180" customWidth="1"/>
    <col min="12300" max="12300" width="17.625" style="3180" customWidth="1"/>
    <col min="12301" max="12301" width="37.625" style="3180" customWidth="1"/>
    <col min="12302" max="12302" width="10.625" style="3180" customWidth="1"/>
    <col min="12303" max="12303" width="16" style="3180" customWidth="1"/>
    <col min="12304" max="12304" width="14.375" style="3180" customWidth="1"/>
    <col min="12305" max="12305" width="6.25" style="3180" customWidth="1"/>
    <col min="12306" max="12306" width="7.875" style="3180" customWidth="1"/>
    <col min="12307" max="12544" width="9" style="3180"/>
    <col min="12545" max="12545" width="30.375" style="3180" customWidth="1"/>
    <col min="12546" max="12546" width="6.25" style="3180" customWidth="1"/>
    <col min="12547" max="12547" width="11.75" style="3180" customWidth="1"/>
    <col min="12548" max="12548" width="4.625" style="3180" customWidth="1"/>
    <col min="12549" max="12549" width="30.375" style="3180" customWidth="1"/>
    <col min="12550" max="12550" width="7.875" style="3180" customWidth="1"/>
    <col min="12551" max="12551" width="11.25" style="3180" customWidth="1"/>
    <col min="12552" max="12553" width="13.875" style="3180" customWidth="1"/>
    <col min="12554" max="12554" width="8.375" style="3180" customWidth="1"/>
    <col min="12555" max="12555" width="9" style="3180" customWidth="1"/>
    <col min="12556" max="12556" width="17.625" style="3180" customWidth="1"/>
    <col min="12557" max="12557" width="37.625" style="3180" customWidth="1"/>
    <col min="12558" max="12558" width="10.625" style="3180" customWidth="1"/>
    <col min="12559" max="12559" width="16" style="3180" customWidth="1"/>
    <col min="12560" max="12560" width="14.375" style="3180" customWidth="1"/>
    <col min="12561" max="12561" width="6.25" style="3180" customWidth="1"/>
    <col min="12562" max="12562" width="7.875" style="3180" customWidth="1"/>
    <col min="12563" max="12800" width="9" style="3180"/>
    <col min="12801" max="12801" width="30.375" style="3180" customWidth="1"/>
    <col min="12802" max="12802" width="6.25" style="3180" customWidth="1"/>
    <col min="12803" max="12803" width="11.75" style="3180" customWidth="1"/>
    <col min="12804" max="12804" width="4.625" style="3180" customWidth="1"/>
    <col min="12805" max="12805" width="30.375" style="3180" customWidth="1"/>
    <col min="12806" max="12806" width="7.875" style="3180" customWidth="1"/>
    <col min="12807" max="12807" width="11.25" style="3180" customWidth="1"/>
    <col min="12808" max="12809" width="13.875" style="3180" customWidth="1"/>
    <col min="12810" max="12810" width="8.375" style="3180" customWidth="1"/>
    <col min="12811" max="12811" width="9" style="3180" customWidth="1"/>
    <col min="12812" max="12812" width="17.625" style="3180" customWidth="1"/>
    <col min="12813" max="12813" width="37.625" style="3180" customWidth="1"/>
    <col min="12814" max="12814" width="10.625" style="3180" customWidth="1"/>
    <col min="12815" max="12815" width="16" style="3180" customWidth="1"/>
    <col min="12816" max="12816" width="14.375" style="3180" customWidth="1"/>
    <col min="12817" max="12817" width="6.25" style="3180" customWidth="1"/>
    <col min="12818" max="12818" width="7.875" style="3180" customWidth="1"/>
    <col min="12819" max="13056" width="9" style="3180"/>
    <col min="13057" max="13057" width="30.375" style="3180" customWidth="1"/>
    <col min="13058" max="13058" width="6.25" style="3180" customWidth="1"/>
    <col min="13059" max="13059" width="11.75" style="3180" customWidth="1"/>
    <col min="13060" max="13060" width="4.625" style="3180" customWidth="1"/>
    <col min="13061" max="13061" width="30.375" style="3180" customWidth="1"/>
    <col min="13062" max="13062" width="7.875" style="3180" customWidth="1"/>
    <col min="13063" max="13063" width="11.25" style="3180" customWidth="1"/>
    <col min="13064" max="13065" width="13.875" style="3180" customWidth="1"/>
    <col min="13066" max="13066" width="8.375" style="3180" customWidth="1"/>
    <col min="13067" max="13067" width="9" style="3180" customWidth="1"/>
    <col min="13068" max="13068" width="17.625" style="3180" customWidth="1"/>
    <col min="13069" max="13069" width="37.625" style="3180" customWidth="1"/>
    <col min="13070" max="13070" width="10.625" style="3180" customWidth="1"/>
    <col min="13071" max="13071" width="16" style="3180" customWidth="1"/>
    <col min="13072" max="13072" width="14.375" style="3180" customWidth="1"/>
    <col min="13073" max="13073" width="6.25" style="3180" customWidth="1"/>
    <col min="13074" max="13074" width="7.875" style="3180" customWidth="1"/>
    <col min="13075" max="13312" width="9" style="3180"/>
    <col min="13313" max="13313" width="30.375" style="3180" customWidth="1"/>
    <col min="13314" max="13314" width="6.25" style="3180" customWidth="1"/>
    <col min="13315" max="13315" width="11.75" style="3180" customWidth="1"/>
    <col min="13316" max="13316" width="4.625" style="3180" customWidth="1"/>
    <col min="13317" max="13317" width="30.375" style="3180" customWidth="1"/>
    <col min="13318" max="13318" width="7.875" style="3180" customWidth="1"/>
    <col min="13319" max="13319" width="11.25" style="3180" customWidth="1"/>
    <col min="13320" max="13321" width="13.875" style="3180" customWidth="1"/>
    <col min="13322" max="13322" width="8.375" style="3180" customWidth="1"/>
    <col min="13323" max="13323" width="9" style="3180" customWidth="1"/>
    <col min="13324" max="13324" width="17.625" style="3180" customWidth="1"/>
    <col min="13325" max="13325" width="37.625" style="3180" customWidth="1"/>
    <col min="13326" max="13326" width="10.625" style="3180" customWidth="1"/>
    <col min="13327" max="13327" width="16" style="3180" customWidth="1"/>
    <col min="13328" max="13328" width="14.375" style="3180" customWidth="1"/>
    <col min="13329" max="13329" width="6.25" style="3180" customWidth="1"/>
    <col min="13330" max="13330" width="7.875" style="3180" customWidth="1"/>
    <col min="13331" max="13568" width="9" style="3180"/>
    <col min="13569" max="13569" width="30.375" style="3180" customWidth="1"/>
    <col min="13570" max="13570" width="6.25" style="3180" customWidth="1"/>
    <col min="13571" max="13571" width="11.75" style="3180" customWidth="1"/>
    <col min="13572" max="13572" width="4.625" style="3180" customWidth="1"/>
    <col min="13573" max="13573" width="30.375" style="3180" customWidth="1"/>
    <col min="13574" max="13574" width="7.875" style="3180" customWidth="1"/>
    <col min="13575" max="13575" width="11.25" style="3180" customWidth="1"/>
    <col min="13576" max="13577" width="13.875" style="3180" customWidth="1"/>
    <col min="13578" max="13578" width="8.375" style="3180" customWidth="1"/>
    <col min="13579" max="13579" width="9" style="3180" customWidth="1"/>
    <col min="13580" max="13580" width="17.625" style="3180" customWidth="1"/>
    <col min="13581" max="13581" width="37.625" style="3180" customWidth="1"/>
    <col min="13582" max="13582" width="10.625" style="3180" customWidth="1"/>
    <col min="13583" max="13583" width="16" style="3180" customWidth="1"/>
    <col min="13584" max="13584" width="14.375" style="3180" customWidth="1"/>
    <col min="13585" max="13585" width="6.25" style="3180" customWidth="1"/>
    <col min="13586" max="13586" width="7.875" style="3180" customWidth="1"/>
    <col min="13587" max="13824" width="9" style="3180"/>
    <col min="13825" max="13825" width="30.375" style="3180" customWidth="1"/>
    <col min="13826" max="13826" width="6.25" style="3180" customWidth="1"/>
    <col min="13827" max="13827" width="11.75" style="3180" customWidth="1"/>
    <col min="13828" max="13828" width="4.625" style="3180" customWidth="1"/>
    <col min="13829" max="13829" width="30.375" style="3180" customWidth="1"/>
    <col min="13830" max="13830" width="7.875" style="3180" customWidth="1"/>
    <col min="13831" max="13831" width="11.25" style="3180" customWidth="1"/>
    <col min="13832" max="13833" width="13.875" style="3180" customWidth="1"/>
    <col min="13834" max="13834" width="8.375" style="3180" customWidth="1"/>
    <col min="13835" max="13835" width="9" style="3180" customWidth="1"/>
    <col min="13836" max="13836" width="17.625" style="3180" customWidth="1"/>
    <col min="13837" max="13837" width="37.625" style="3180" customWidth="1"/>
    <col min="13838" max="13838" width="10.625" style="3180" customWidth="1"/>
    <col min="13839" max="13839" width="16" style="3180" customWidth="1"/>
    <col min="13840" max="13840" width="14.375" style="3180" customWidth="1"/>
    <col min="13841" max="13841" width="6.25" style="3180" customWidth="1"/>
    <col min="13842" max="13842" width="7.875" style="3180" customWidth="1"/>
    <col min="13843" max="14080" width="9" style="3180"/>
    <col min="14081" max="14081" width="30.375" style="3180" customWidth="1"/>
    <col min="14082" max="14082" width="6.25" style="3180" customWidth="1"/>
    <col min="14083" max="14083" width="11.75" style="3180" customWidth="1"/>
    <col min="14084" max="14084" width="4.625" style="3180" customWidth="1"/>
    <col min="14085" max="14085" width="30.375" style="3180" customWidth="1"/>
    <col min="14086" max="14086" width="7.875" style="3180" customWidth="1"/>
    <col min="14087" max="14087" width="11.25" style="3180" customWidth="1"/>
    <col min="14088" max="14089" width="13.875" style="3180" customWidth="1"/>
    <col min="14090" max="14090" width="8.375" style="3180" customWidth="1"/>
    <col min="14091" max="14091" width="9" style="3180" customWidth="1"/>
    <col min="14092" max="14092" width="17.625" style="3180" customWidth="1"/>
    <col min="14093" max="14093" width="37.625" style="3180" customWidth="1"/>
    <col min="14094" max="14094" width="10.625" style="3180" customWidth="1"/>
    <col min="14095" max="14095" width="16" style="3180" customWidth="1"/>
    <col min="14096" max="14096" width="14.375" style="3180" customWidth="1"/>
    <col min="14097" max="14097" width="6.25" style="3180" customWidth="1"/>
    <col min="14098" max="14098" width="7.875" style="3180" customWidth="1"/>
    <col min="14099" max="14336" width="9" style="3180"/>
    <col min="14337" max="14337" width="30.375" style="3180" customWidth="1"/>
    <col min="14338" max="14338" width="6.25" style="3180" customWidth="1"/>
    <col min="14339" max="14339" width="11.75" style="3180" customWidth="1"/>
    <col min="14340" max="14340" width="4.625" style="3180" customWidth="1"/>
    <col min="14341" max="14341" width="30.375" style="3180" customWidth="1"/>
    <col min="14342" max="14342" width="7.875" style="3180" customWidth="1"/>
    <col min="14343" max="14343" width="11.25" style="3180" customWidth="1"/>
    <col min="14344" max="14345" width="13.875" style="3180" customWidth="1"/>
    <col min="14346" max="14346" width="8.375" style="3180" customWidth="1"/>
    <col min="14347" max="14347" width="9" style="3180" customWidth="1"/>
    <col min="14348" max="14348" width="17.625" style="3180" customWidth="1"/>
    <col min="14349" max="14349" width="37.625" style="3180" customWidth="1"/>
    <col min="14350" max="14350" width="10.625" style="3180" customWidth="1"/>
    <col min="14351" max="14351" width="16" style="3180" customWidth="1"/>
    <col min="14352" max="14352" width="14.375" style="3180" customWidth="1"/>
    <col min="14353" max="14353" width="6.25" style="3180" customWidth="1"/>
    <col min="14354" max="14354" width="7.875" style="3180" customWidth="1"/>
    <col min="14355" max="14592" width="9" style="3180"/>
    <col min="14593" max="14593" width="30.375" style="3180" customWidth="1"/>
    <col min="14594" max="14594" width="6.25" style="3180" customWidth="1"/>
    <col min="14595" max="14595" width="11.75" style="3180" customWidth="1"/>
    <col min="14596" max="14596" width="4.625" style="3180" customWidth="1"/>
    <col min="14597" max="14597" width="30.375" style="3180" customWidth="1"/>
    <col min="14598" max="14598" width="7.875" style="3180" customWidth="1"/>
    <col min="14599" max="14599" width="11.25" style="3180" customWidth="1"/>
    <col min="14600" max="14601" width="13.875" style="3180" customWidth="1"/>
    <col min="14602" max="14602" width="8.375" style="3180" customWidth="1"/>
    <col min="14603" max="14603" width="9" style="3180" customWidth="1"/>
    <col min="14604" max="14604" width="17.625" style="3180" customWidth="1"/>
    <col min="14605" max="14605" width="37.625" style="3180" customWidth="1"/>
    <col min="14606" max="14606" width="10.625" style="3180" customWidth="1"/>
    <col min="14607" max="14607" width="16" style="3180" customWidth="1"/>
    <col min="14608" max="14608" width="14.375" style="3180" customWidth="1"/>
    <col min="14609" max="14609" width="6.25" style="3180" customWidth="1"/>
    <col min="14610" max="14610" width="7.875" style="3180" customWidth="1"/>
    <col min="14611" max="14848" width="9" style="3180"/>
    <col min="14849" max="14849" width="30.375" style="3180" customWidth="1"/>
    <col min="14850" max="14850" width="6.25" style="3180" customWidth="1"/>
    <col min="14851" max="14851" width="11.75" style="3180" customWidth="1"/>
    <col min="14852" max="14852" width="4.625" style="3180" customWidth="1"/>
    <col min="14853" max="14853" width="30.375" style="3180" customWidth="1"/>
    <col min="14854" max="14854" width="7.875" style="3180" customWidth="1"/>
    <col min="14855" max="14855" width="11.25" style="3180" customWidth="1"/>
    <col min="14856" max="14857" width="13.875" style="3180" customWidth="1"/>
    <col min="14858" max="14858" width="8.375" style="3180" customWidth="1"/>
    <col min="14859" max="14859" width="9" style="3180" customWidth="1"/>
    <col min="14860" max="14860" width="17.625" style="3180" customWidth="1"/>
    <col min="14861" max="14861" width="37.625" style="3180" customWidth="1"/>
    <col min="14862" max="14862" width="10.625" style="3180" customWidth="1"/>
    <col min="14863" max="14863" width="16" style="3180" customWidth="1"/>
    <col min="14864" max="14864" width="14.375" style="3180" customWidth="1"/>
    <col min="14865" max="14865" width="6.25" style="3180" customWidth="1"/>
    <col min="14866" max="14866" width="7.875" style="3180" customWidth="1"/>
    <col min="14867" max="15104" width="9" style="3180"/>
    <col min="15105" max="15105" width="30.375" style="3180" customWidth="1"/>
    <col min="15106" max="15106" width="6.25" style="3180" customWidth="1"/>
    <col min="15107" max="15107" width="11.75" style="3180" customWidth="1"/>
    <col min="15108" max="15108" width="4.625" style="3180" customWidth="1"/>
    <col min="15109" max="15109" width="30.375" style="3180" customWidth="1"/>
    <col min="15110" max="15110" width="7.875" style="3180" customWidth="1"/>
    <col min="15111" max="15111" width="11.25" style="3180" customWidth="1"/>
    <col min="15112" max="15113" width="13.875" style="3180" customWidth="1"/>
    <col min="15114" max="15114" width="8.375" style="3180" customWidth="1"/>
    <col min="15115" max="15115" width="9" style="3180" customWidth="1"/>
    <col min="15116" max="15116" width="17.625" style="3180" customWidth="1"/>
    <col min="15117" max="15117" width="37.625" style="3180" customWidth="1"/>
    <col min="15118" max="15118" width="10.625" style="3180" customWidth="1"/>
    <col min="15119" max="15119" width="16" style="3180" customWidth="1"/>
    <col min="15120" max="15120" width="14.375" style="3180" customWidth="1"/>
    <col min="15121" max="15121" width="6.25" style="3180" customWidth="1"/>
    <col min="15122" max="15122" width="7.875" style="3180" customWidth="1"/>
    <col min="15123" max="15360" width="9" style="3180"/>
    <col min="15361" max="15361" width="30.375" style="3180" customWidth="1"/>
    <col min="15362" max="15362" width="6.25" style="3180" customWidth="1"/>
    <col min="15363" max="15363" width="11.75" style="3180" customWidth="1"/>
    <col min="15364" max="15364" width="4.625" style="3180" customWidth="1"/>
    <col min="15365" max="15365" width="30.375" style="3180" customWidth="1"/>
    <col min="15366" max="15366" width="7.875" style="3180" customWidth="1"/>
    <col min="15367" max="15367" width="11.25" style="3180" customWidth="1"/>
    <col min="15368" max="15369" width="13.875" style="3180" customWidth="1"/>
    <col min="15370" max="15370" width="8.375" style="3180" customWidth="1"/>
    <col min="15371" max="15371" width="9" style="3180" customWidth="1"/>
    <col min="15372" max="15372" width="17.625" style="3180" customWidth="1"/>
    <col min="15373" max="15373" width="37.625" style="3180" customWidth="1"/>
    <col min="15374" max="15374" width="10.625" style="3180" customWidth="1"/>
    <col min="15375" max="15375" width="16" style="3180" customWidth="1"/>
    <col min="15376" max="15376" width="14.375" style="3180" customWidth="1"/>
    <col min="15377" max="15377" width="6.25" style="3180" customWidth="1"/>
    <col min="15378" max="15378" width="7.875" style="3180" customWidth="1"/>
    <col min="15379" max="15616" width="9" style="3180"/>
    <col min="15617" max="15617" width="30.375" style="3180" customWidth="1"/>
    <col min="15618" max="15618" width="6.25" style="3180" customWidth="1"/>
    <col min="15619" max="15619" width="11.75" style="3180" customWidth="1"/>
    <col min="15620" max="15620" width="4.625" style="3180" customWidth="1"/>
    <col min="15621" max="15621" width="30.375" style="3180" customWidth="1"/>
    <col min="15622" max="15622" width="7.875" style="3180" customWidth="1"/>
    <col min="15623" max="15623" width="11.25" style="3180" customWidth="1"/>
    <col min="15624" max="15625" width="13.875" style="3180" customWidth="1"/>
    <col min="15626" max="15626" width="8.375" style="3180" customWidth="1"/>
    <col min="15627" max="15627" width="9" style="3180" customWidth="1"/>
    <col min="15628" max="15628" width="17.625" style="3180" customWidth="1"/>
    <col min="15629" max="15629" width="37.625" style="3180" customWidth="1"/>
    <col min="15630" max="15630" width="10.625" style="3180" customWidth="1"/>
    <col min="15631" max="15631" width="16" style="3180" customWidth="1"/>
    <col min="15632" max="15632" width="14.375" style="3180" customWidth="1"/>
    <col min="15633" max="15633" width="6.25" style="3180" customWidth="1"/>
    <col min="15634" max="15634" width="7.875" style="3180" customWidth="1"/>
    <col min="15635" max="15872" width="9" style="3180"/>
    <col min="15873" max="15873" width="30.375" style="3180" customWidth="1"/>
    <col min="15874" max="15874" width="6.25" style="3180" customWidth="1"/>
    <col min="15875" max="15875" width="11.75" style="3180" customWidth="1"/>
    <col min="15876" max="15876" width="4.625" style="3180" customWidth="1"/>
    <col min="15877" max="15877" width="30.375" style="3180" customWidth="1"/>
    <col min="15878" max="15878" width="7.875" style="3180" customWidth="1"/>
    <col min="15879" max="15879" width="11.25" style="3180" customWidth="1"/>
    <col min="15880" max="15881" width="13.875" style="3180" customWidth="1"/>
    <col min="15882" max="15882" width="8.375" style="3180" customWidth="1"/>
    <col min="15883" max="15883" width="9" style="3180" customWidth="1"/>
    <col min="15884" max="15884" width="17.625" style="3180" customWidth="1"/>
    <col min="15885" max="15885" width="37.625" style="3180" customWidth="1"/>
    <col min="15886" max="15886" width="10.625" style="3180" customWidth="1"/>
    <col min="15887" max="15887" width="16" style="3180" customWidth="1"/>
    <col min="15888" max="15888" width="14.375" style="3180" customWidth="1"/>
    <col min="15889" max="15889" width="6.25" style="3180" customWidth="1"/>
    <col min="15890" max="15890" width="7.875" style="3180" customWidth="1"/>
    <col min="15891" max="16128" width="9" style="3180"/>
    <col min="16129" max="16129" width="30.375" style="3180" customWidth="1"/>
    <col min="16130" max="16130" width="6.25" style="3180" customWidth="1"/>
    <col min="16131" max="16131" width="11.75" style="3180" customWidth="1"/>
    <col min="16132" max="16132" width="4.625" style="3180" customWidth="1"/>
    <col min="16133" max="16133" width="30.375" style="3180" customWidth="1"/>
    <col min="16134" max="16134" width="7.875" style="3180" customWidth="1"/>
    <col min="16135" max="16135" width="11.25" style="3180" customWidth="1"/>
    <col min="16136" max="16137" width="13.875" style="3180" customWidth="1"/>
    <col min="16138" max="16138" width="8.375" style="3180" customWidth="1"/>
    <col min="16139" max="16139" width="9" style="3180" customWidth="1"/>
    <col min="16140" max="16140" width="17.625" style="3180" customWidth="1"/>
    <col min="16141" max="16141" width="37.625" style="3180" customWidth="1"/>
    <col min="16142" max="16142" width="10.625" style="3180" customWidth="1"/>
    <col min="16143" max="16143" width="16" style="3180" customWidth="1"/>
    <col min="16144" max="16144" width="14.375" style="3180" customWidth="1"/>
    <col min="16145" max="16145" width="6.25" style="3180" customWidth="1"/>
    <col min="16146" max="16146" width="7.875" style="3180" customWidth="1"/>
    <col min="16147" max="16384" width="9" style="3180"/>
  </cols>
  <sheetData>
    <row r="1" spans="1:18">
      <c r="A1" s="3180" t="s">
        <v>3018</v>
      </c>
      <c r="B1" s="3180" t="s">
        <v>3019</v>
      </c>
      <c r="C1" s="3180" t="s">
        <v>3020</v>
      </c>
      <c r="D1" s="3180" t="s">
        <v>3021</v>
      </c>
      <c r="E1" s="3180" t="s">
        <v>3022</v>
      </c>
      <c r="F1" s="3180" t="s">
        <v>3023</v>
      </c>
      <c r="G1" s="3180" t="s">
        <v>3024</v>
      </c>
      <c r="H1" s="3180" t="s">
        <v>3025</v>
      </c>
      <c r="I1" s="3180" t="s">
        <v>3026</v>
      </c>
      <c r="J1" s="3180" t="s">
        <v>2034</v>
      </c>
      <c r="K1" s="3180" t="s">
        <v>3027</v>
      </c>
      <c r="L1" s="3180" t="s">
        <v>3028</v>
      </c>
      <c r="M1" s="3180" t="s">
        <v>3029</v>
      </c>
      <c r="N1" s="3180" t="s">
        <v>3030</v>
      </c>
      <c r="O1" s="3180" t="s">
        <v>3031</v>
      </c>
      <c r="P1" s="3180" t="s">
        <v>3032</v>
      </c>
      <c r="Q1" s="3180" t="s">
        <v>3033</v>
      </c>
      <c r="R1" s="3180" t="s">
        <v>3034</v>
      </c>
    </row>
    <row r="2" spans="1:18">
      <c r="A2" s="3180" t="s">
        <v>3035</v>
      </c>
      <c r="B2" s="3180" t="s">
        <v>3036</v>
      </c>
      <c r="C2" s="3180" t="s">
        <v>3037</v>
      </c>
      <c r="D2" s="3180" t="s">
        <v>2817</v>
      </c>
      <c r="E2" s="3180" t="s">
        <v>3035</v>
      </c>
      <c r="F2" s="3180" t="s">
        <v>3038</v>
      </c>
      <c r="G2" s="3180" t="s">
        <v>3039</v>
      </c>
      <c r="H2" s="3180">
        <v>6236</v>
      </c>
      <c r="I2" s="3180">
        <v>4988.8</v>
      </c>
      <c r="J2" s="3180" t="s">
        <v>3040</v>
      </c>
      <c r="K2" s="3180" t="s">
        <v>3041</v>
      </c>
      <c r="L2" s="3180" t="s">
        <v>3042</v>
      </c>
      <c r="M2" s="3180" t="s">
        <v>3043</v>
      </c>
      <c r="N2" s="3180">
        <v>1360</v>
      </c>
      <c r="O2" s="3180">
        <v>145.38999999999999</v>
      </c>
      <c r="P2" s="3180">
        <v>2726.11</v>
      </c>
      <c r="Q2" s="3180">
        <v>0</v>
      </c>
      <c r="R2" s="3180" t="s">
        <v>3044</v>
      </c>
    </row>
    <row r="3" spans="1:18" s="3182" customFormat="1">
      <c r="A3" s="3182" t="s">
        <v>3045</v>
      </c>
      <c r="B3" s="3182" t="s">
        <v>3036</v>
      </c>
      <c r="C3" s="3182" t="s">
        <v>3037</v>
      </c>
      <c r="D3" s="3182" t="s">
        <v>2817</v>
      </c>
      <c r="E3" s="3182" t="s">
        <v>3045</v>
      </c>
      <c r="F3" s="3182" t="s">
        <v>3046</v>
      </c>
      <c r="G3" s="3182" t="s">
        <v>3039</v>
      </c>
      <c r="H3" s="3182">
        <v>7072</v>
      </c>
      <c r="I3" s="3182">
        <v>2121.6</v>
      </c>
      <c r="J3" s="3182" t="s">
        <v>3047</v>
      </c>
      <c r="K3" s="3182" t="s">
        <v>3041</v>
      </c>
      <c r="L3" s="3182" t="s">
        <v>3048</v>
      </c>
      <c r="M3" s="3182" t="s">
        <v>3049</v>
      </c>
      <c r="N3" s="3182">
        <v>5320</v>
      </c>
      <c r="O3" s="3182">
        <v>501.51</v>
      </c>
      <c r="P3" s="3182">
        <v>25075.4</v>
      </c>
      <c r="Q3" s="3182">
        <v>184.49</v>
      </c>
      <c r="R3" s="3182" t="s">
        <v>3044</v>
      </c>
    </row>
    <row r="4" spans="1:18" s="3181" customFormat="1">
      <c r="A4" s="3181" t="s">
        <v>3050</v>
      </c>
      <c r="B4" s="3181" t="s">
        <v>3036</v>
      </c>
      <c r="C4" s="3181" t="s">
        <v>3037</v>
      </c>
      <c r="D4" s="3181" t="s">
        <v>2817</v>
      </c>
      <c r="E4" s="3181" t="s">
        <v>3050</v>
      </c>
      <c r="F4" s="3181" t="s">
        <v>3051</v>
      </c>
      <c r="G4" s="3181" t="s">
        <v>2993</v>
      </c>
      <c r="H4" s="3181">
        <v>86430</v>
      </c>
      <c r="I4" s="3181">
        <v>172860</v>
      </c>
      <c r="J4" s="3181" t="s">
        <v>3052</v>
      </c>
      <c r="K4" s="3181" t="s">
        <v>3041</v>
      </c>
      <c r="L4" s="3181" t="s">
        <v>3053</v>
      </c>
      <c r="M4" s="3181" t="s">
        <v>3054</v>
      </c>
      <c r="N4" s="3181">
        <v>33800</v>
      </c>
      <c r="O4" s="3181">
        <v>260.70999999999998</v>
      </c>
      <c r="P4" s="3181">
        <v>1955.33</v>
      </c>
      <c r="Q4" s="3181">
        <v>0</v>
      </c>
      <c r="R4" s="3181" t="s">
        <v>3044</v>
      </c>
    </row>
    <row r="5" spans="1:18">
      <c r="A5" s="3180" t="s">
        <v>3055</v>
      </c>
      <c r="B5" s="3180" t="s">
        <v>3036</v>
      </c>
      <c r="C5" s="3180" t="s">
        <v>3037</v>
      </c>
      <c r="D5" s="3180" t="s">
        <v>2817</v>
      </c>
      <c r="E5" s="3180" t="s">
        <v>3055</v>
      </c>
      <c r="F5" s="3180" t="s">
        <v>3056</v>
      </c>
      <c r="G5" s="3180" t="s">
        <v>2993</v>
      </c>
      <c r="H5" s="3180">
        <v>19668</v>
      </c>
      <c r="I5" s="3180">
        <v>19668</v>
      </c>
      <c r="J5" s="3180" t="s">
        <v>3057</v>
      </c>
      <c r="K5" s="3180" t="s">
        <v>3058</v>
      </c>
      <c r="L5" s="3180" t="s">
        <v>3059</v>
      </c>
      <c r="M5" s="3180" t="s">
        <v>2988</v>
      </c>
      <c r="N5" s="3180">
        <v>2010</v>
      </c>
      <c r="O5" s="3180">
        <v>68.13</v>
      </c>
      <c r="P5" s="3180">
        <v>1021.96</v>
      </c>
      <c r="Q5" s="3180">
        <v>0</v>
      </c>
      <c r="R5" s="3180" t="s">
        <v>3044</v>
      </c>
    </row>
    <row r="6" spans="1:18" s="3181" customFormat="1">
      <c r="A6" s="3181" t="s">
        <v>3060</v>
      </c>
      <c r="B6" s="3181" t="s">
        <v>3036</v>
      </c>
      <c r="C6" s="3181" t="s">
        <v>3037</v>
      </c>
      <c r="D6" s="3181" t="s">
        <v>2817</v>
      </c>
      <c r="E6" s="3181" t="s">
        <v>3060</v>
      </c>
      <c r="F6" s="3181" t="s">
        <v>3061</v>
      </c>
      <c r="G6" s="3181" t="s">
        <v>2993</v>
      </c>
      <c r="H6" s="3181">
        <v>75950</v>
      </c>
      <c r="I6" s="3181">
        <v>151900</v>
      </c>
      <c r="J6" s="3181" t="s">
        <v>3052</v>
      </c>
      <c r="K6" s="3181" t="s">
        <v>3062</v>
      </c>
      <c r="L6" s="3181" t="s">
        <v>3063</v>
      </c>
      <c r="M6" s="3181" t="s">
        <v>3064</v>
      </c>
      <c r="N6" s="3181">
        <v>38830</v>
      </c>
      <c r="O6" s="3181">
        <v>340.84</v>
      </c>
      <c r="P6" s="3181">
        <v>2556.2800000000002</v>
      </c>
      <c r="Q6" s="3181">
        <v>70.31</v>
      </c>
      <c r="R6" s="3181" t="s">
        <v>3044</v>
      </c>
    </row>
    <row r="7" spans="1:18">
      <c r="A7" s="3180" t="s">
        <v>3065</v>
      </c>
      <c r="B7" s="3180" t="s">
        <v>3036</v>
      </c>
      <c r="C7" s="3180" t="s">
        <v>3037</v>
      </c>
      <c r="D7" s="3180" t="s">
        <v>2817</v>
      </c>
      <c r="E7" s="3180" t="s">
        <v>3065</v>
      </c>
      <c r="F7" s="3180">
        <v>1</v>
      </c>
      <c r="G7" s="3180" t="s">
        <v>3039</v>
      </c>
      <c r="H7" s="3180">
        <v>4670</v>
      </c>
      <c r="I7" s="3180">
        <v>3736</v>
      </c>
      <c r="J7" s="3180" t="s">
        <v>3040</v>
      </c>
      <c r="K7" s="3180" t="s">
        <v>3066</v>
      </c>
      <c r="L7" s="3180" t="s">
        <v>3067</v>
      </c>
      <c r="M7" s="3180" t="s">
        <v>3068</v>
      </c>
      <c r="N7" s="3180">
        <v>1020</v>
      </c>
      <c r="O7" s="3180">
        <v>145.61000000000001</v>
      </c>
      <c r="P7" s="3180">
        <v>2730.19</v>
      </c>
      <c r="Q7" s="3180">
        <v>2</v>
      </c>
      <c r="R7" s="3180" t="s">
        <v>3044</v>
      </c>
    </row>
    <row r="8" spans="1:18" s="3181" customFormat="1">
      <c r="A8" s="3181" t="s">
        <v>3069</v>
      </c>
      <c r="B8" s="3181" t="s">
        <v>3036</v>
      </c>
      <c r="C8" s="3181" t="s">
        <v>3037</v>
      </c>
      <c r="D8" s="3181" t="s">
        <v>2817</v>
      </c>
      <c r="E8" s="3181" t="s">
        <v>3069</v>
      </c>
      <c r="F8" s="3181">
        <v>1</v>
      </c>
      <c r="G8" s="3181" t="s">
        <v>2993</v>
      </c>
      <c r="H8" s="3181">
        <v>34314</v>
      </c>
      <c r="I8" s="3181">
        <v>68628</v>
      </c>
      <c r="J8" s="3181" t="s">
        <v>3070</v>
      </c>
      <c r="K8" s="3181" t="s">
        <v>3071</v>
      </c>
      <c r="L8" s="3181" t="s">
        <v>3072</v>
      </c>
      <c r="M8" s="3181" t="s">
        <v>3073</v>
      </c>
      <c r="N8" s="3181">
        <v>5400</v>
      </c>
      <c r="O8" s="3181">
        <v>104.91</v>
      </c>
      <c r="P8" s="3181">
        <v>786.85</v>
      </c>
      <c r="Q8" s="3181">
        <v>39.9</v>
      </c>
      <c r="R8" s="3181" t="s">
        <v>3044</v>
      </c>
    </row>
    <row r="9" spans="1:18" s="3181" customFormat="1">
      <c r="A9" s="3181" t="s">
        <v>3074</v>
      </c>
      <c r="B9" s="3181" t="s">
        <v>3036</v>
      </c>
      <c r="C9" s="3181" t="s">
        <v>3037</v>
      </c>
      <c r="D9" s="3181" t="s">
        <v>2817</v>
      </c>
      <c r="E9" s="3181" t="s">
        <v>3074</v>
      </c>
      <c r="F9" s="3181">
        <v>3</v>
      </c>
      <c r="G9" s="3181" t="s">
        <v>2993</v>
      </c>
      <c r="H9" s="3181">
        <v>259760</v>
      </c>
      <c r="I9" s="3181">
        <v>519520</v>
      </c>
      <c r="J9" s="3181" t="s">
        <v>3070</v>
      </c>
      <c r="K9" s="3181" t="s">
        <v>3071</v>
      </c>
      <c r="L9" s="3181" t="s">
        <v>3075</v>
      </c>
      <c r="M9" s="3181" t="s">
        <v>3073</v>
      </c>
      <c r="N9" s="3181">
        <v>35470</v>
      </c>
      <c r="O9" s="3181">
        <v>91.03</v>
      </c>
      <c r="P9" s="3181">
        <v>682.75</v>
      </c>
      <c r="Q9" s="3181">
        <v>40.03</v>
      </c>
      <c r="R9" s="3181" t="s">
        <v>3044</v>
      </c>
    </row>
    <row r="10" spans="1:18" s="3181" customFormat="1">
      <c r="A10" s="3181" t="s">
        <v>3076</v>
      </c>
      <c r="B10" s="3181" t="s">
        <v>3036</v>
      </c>
      <c r="C10" s="3181" t="s">
        <v>3037</v>
      </c>
      <c r="D10" s="3181" t="s">
        <v>2817</v>
      </c>
      <c r="E10" s="3181" t="s">
        <v>3076</v>
      </c>
      <c r="F10" s="3181">
        <v>2</v>
      </c>
      <c r="G10" s="3181" t="s">
        <v>2993</v>
      </c>
      <c r="H10" s="3181">
        <v>44954</v>
      </c>
      <c r="I10" s="3181">
        <v>89908</v>
      </c>
      <c r="J10" s="3181" t="s">
        <v>3070</v>
      </c>
      <c r="K10" s="3181" t="s">
        <v>3071</v>
      </c>
      <c r="L10" s="3181" t="s">
        <v>3077</v>
      </c>
      <c r="M10" s="3181" t="s">
        <v>3073</v>
      </c>
      <c r="N10" s="3181">
        <v>6790</v>
      </c>
      <c r="O10" s="3181">
        <v>100.7</v>
      </c>
      <c r="P10" s="3181">
        <v>755.22</v>
      </c>
      <c r="Q10" s="3181">
        <v>40</v>
      </c>
      <c r="R10" s="3181" t="s">
        <v>3044</v>
      </c>
    </row>
    <row r="11" spans="1:18" s="3182" customFormat="1">
      <c r="A11" s="3182" t="s">
        <v>3078</v>
      </c>
      <c r="B11" s="3182" t="s">
        <v>3036</v>
      </c>
      <c r="C11" s="3182" t="s">
        <v>3037</v>
      </c>
      <c r="D11" s="3182" t="s">
        <v>2817</v>
      </c>
      <c r="E11" s="3182" t="s">
        <v>3078</v>
      </c>
      <c r="F11" s="3182" t="s">
        <v>3079</v>
      </c>
      <c r="G11" s="3182" t="s">
        <v>2993</v>
      </c>
      <c r="H11" s="3182">
        <v>3092</v>
      </c>
      <c r="I11" s="3182">
        <v>3092</v>
      </c>
      <c r="J11" s="3182" t="s">
        <v>3057</v>
      </c>
      <c r="K11" s="3182" t="s">
        <v>3080</v>
      </c>
      <c r="L11" s="3182" t="s">
        <v>3081</v>
      </c>
      <c r="M11" s="3182" t="s">
        <v>3082</v>
      </c>
      <c r="N11" s="3182">
        <v>500</v>
      </c>
      <c r="O11" s="3182">
        <v>107.81</v>
      </c>
      <c r="P11" s="3182">
        <v>1617.07</v>
      </c>
      <c r="Q11" s="3182">
        <v>0</v>
      </c>
      <c r="R11" s="3182" t="s">
        <v>3044</v>
      </c>
    </row>
    <row r="12" spans="1:18" s="3185" customFormat="1">
      <c r="A12" s="3185" t="s">
        <v>3083</v>
      </c>
      <c r="B12" s="3185" t="s">
        <v>3036</v>
      </c>
      <c r="C12" s="3185" t="s">
        <v>3037</v>
      </c>
      <c r="D12" s="3185" t="s">
        <v>2817</v>
      </c>
      <c r="E12" s="3185" t="s">
        <v>3083</v>
      </c>
      <c r="F12" s="3185" t="s">
        <v>3084</v>
      </c>
      <c r="G12" s="3185" t="s">
        <v>2993</v>
      </c>
      <c r="H12" s="3185">
        <v>78367</v>
      </c>
      <c r="I12" s="3185">
        <v>156734</v>
      </c>
      <c r="J12" s="3185" t="s">
        <v>3085</v>
      </c>
      <c r="K12" s="3185" t="s">
        <v>3086</v>
      </c>
      <c r="L12" s="3185" t="s">
        <v>3087</v>
      </c>
      <c r="M12" s="3185" t="s">
        <v>3088</v>
      </c>
      <c r="N12" s="3185">
        <v>22900</v>
      </c>
      <c r="O12" s="3185">
        <v>194.81</v>
      </c>
      <c r="P12" s="3185">
        <v>1461.06</v>
      </c>
      <c r="Q12" s="3185">
        <v>39.979999999999997</v>
      </c>
      <c r="R12" s="3185" t="s">
        <v>3044</v>
      </c>
    </row>
    <row r="13" spans="1:18" s="3185" customFormat="1">
      <c r="A13" s="3185" t="s">
        <v>3089</v>
      </c>
      <c r="B13" s="3185" t="s">
        <v>3036</v>
      </c>
      <c r="C13" s="3185" t="s">
        <v>3037</v>
      </c>
      <c r="D13" s="3185" t="s">
        <v>2817</v>
      </c>
      <c r="E13" s="3185" t="s">
        <v>3089</v>
      </c>
      <c r="F13" s="3185" t="s">
        <v>3090</v>
      </c>
      <c r="G13" s="3185" t="s">
        <v>2993</v>
      </c>
      <c r="H13" s="3185">
        <v>96158</v>
      </c>
      <c r="I13" s="3185">
        <v>192316</v>
      </c>
      <c r="J13" s="3185" t="s">
        <v>3085</v>
      </c>
      <c r="K13" s="3185" t="s">
        <v>3086</v>
      </c>
      <c r="L13" s="3185" t="s">
        <v>3091</v>
      </c>
      <c r="M13" s="3185" t="s">
        <v>3088</v>
      </c>
      <c r="N13" s="3185">
        <v>27960</v>
      </c>
      <c r="O13" s="3185">
        <v>193.85</v>
      </c>
      <c r="P13" s="3185">
        <v>1453.85</v>
      </c>
      <c r="Q13" s="3185">
        <v>40.08</v>
      </c>
      <c r="R13" s="3185" t="s">
        <v>3044</v>
      </c>
    </row>
    <row r="14" spans="1:18">
      <c r="A14" s="3180" t="s">
        <v>3092</v>
      </c>
      <c r="B14" s="3180" t="s">
        <v>3036</v>
      </c>
      <c r="C14" s="3180" t="s">
        <v>3037</v>
      </c>
      <c r="D14" s="3180" t="s">
        <v>2817</v>
      </c>
      <c r="E14" s="3180" t="s">
        <v>3092</v>
      </c>
      <c r="F14" s="3180" t="s">
        <v>3093</v>
      </c>
      <c r="G14" s="3180" t="s">
        <v>2993</v>
      </c>
      <c r="H14" s="3180">
        <v>3948</v>
      </c>
      <c r="I14" s="3180">
        <v>3948</v>
      </c>
      <c r="J14" s="3180" t="s">
        <v>3094</v>
      </c>
      <c r="K14" s="3180" t="s">
        <v>3086</v>
      </c>
      <c r="L14" s="3180" t="s">
        <v>3095</v>
      </c>
      <c r="M14" s="3180" t="s">
        <v>3096</v>
      </c>
      <c r="N14" s="3180">
        <v>210</v>
      </c>
      <c r="O14" s="3180">
        <v>35.46</v>
      </c>
      <c r="P14" s="3180">
        <v>531.9</v>
      </c>
      <c r="Q14" s="3180">
        <v>0</v>
      </c>
      <c r="R14" s="3180" t="s">
        <v>3044</v>
      </c>
    </row>
    <row r="15" spans="1:18" s="3185" customFormat="1">
      <c r="A15" s="3185" t="s">
        <v>3097</v>
      </c>
      <c r="B15" s="3185" t="s">
        <v>3036</v>
      </c>
      <c r="C15" s="3185" t="s">
        <v>3037</v>
      </c>
      <c r="D15" s="3185" t="s">
        <v>2817</v>
      </c>
      <c r="E15" s="3185" t="s">
        <v>3097</v>
      </c>
      <c r="F15" s="3185" t="s">
        <v>3098</v>
      </c>
      <c r="G15" s="3185" t="s">
        <v>2993</v>
      </c>
      <c r="H15" s="3185">
        <v>71490</v>
      </c>
      <c r="I15" s="3185">
        <v>142980</v>
      </c>
      <c r="J15" s="3185" t="s">
        <v>3052</v>
      </c>
      <c r="K15" s="3185" t="s">
        <v>3099</v>
      </c>
      <c r="L15" s="3185" t="s">
        <v>3100</v>
      </c>
      <c r="M15" s="3185" t="s">
        <v>3101</v>
      </c>
      <c r="N15" s="3185">
        <v>19300</v>
      </c>
      <c r="O15" s="3185">
        <v>179.98</v>
      </c>
      <c r="P15" s="3185">
        <v>1349.83</v>
      </c>
      <c r="Q15" s="3185">
        <v>0</v>
      </c>
      <c r="R15" s="3185" t="s">
        <v>3044</v>
      </c>
    </row>
    <row r="16" spans="1:18">
      <c r="A16" s="3180" t="s">
        <v>3102</v>
      </c>
      <c r="B16" s="3180" t="s">
        <v>3036</v>
      </c>
      <c r="C16" s="3180" t="s">
        <v>3037</v>
      </c>
      <c r="D16" s="3180" t="s">
        <v>2817</v>
      </c>
      <c r="E16" s="3180" t="s">
        <v>3102</v>
      </c>
      <c r="F16" s="3180">
        <v>3</v>
      </c>
      <c r="G16" s="3180" t="s">
        <v>2993</v>
      </c>
      <c r="H16" s="3180">
        <v>6450</v>
      </c>
      <c r="I16" s="3180">
        <v>7740</v>
      </c>
      <c r="J16" s="3180" t="s">
        <v>3103</v>
      </c>
      <c r="K16" s="3180" t="s">
        <v>3104</v>
      </c>
      <c r="L16" s="3180" t="s">
        <v>3105</v>
      </c>
      <c r="M16" s="3180" t="s">
        <v>3106</v>
      </c>
      <c r="N16" s="3180">
        <v>420</v>
      </c>
      <c r="O16" s="3180">
        <v>43.41</v>
      </c>
      <c r="P16" s="3180">
        <v>542.63</v>
      </c>
      <c r="Q16" s="3180">
        <v>0</v>
      </c>
      <c r="R16" s="3180" t="s">
        <v>3044</v>
      </c>
    </row>
    <row r="17" spans="1:18" s="3181" customFormat="1">
      <c r="A17" s="3181" t="s">
        <v>3107</v>
      </c>
      <c r="B17" s="3181" t="s">
        <v>3036</v>
      </c>
      <c r="C17" s="3181" t="s">
        <v>3037</v>
      </c>
      <c r="D17" s="3181" t="s">
        <v>2817</v>
      </c>
      <c r="E17" s="3181" t="s">
        <v>3107</v>
      </c>
      <c r="F17" s="3181" t="s">
        <v>3108</v>
      </c>
      <c r="G17" s="3181" t="s">
        <v>2993</v>
      </c>
      <c r="H17" s="3181">
        <v>15766</v>
      </c>
      <c r="I17" s="3181">
        <v>44144.800000000003</v>
      </c>
      <c r="J17" s="3181" t="s">
        <v>3109</v>
      </c>
      <c r="K17" s="3181" t="s">
        <v>3110</v>
      </c>
      <c r="L17" s="3181" t="s">
        <v>3111</v>
      </c>
      <c r="M17" s="3181" t="s">
        <v>2988</v>
      </c>
      <c r="N17" s="3181">
        <v>1950</v>
      </c>
      <c r="O17" s="3181">
        <v>82.46</v>
      </c>
      <c r="P17" s="3181">
        <v>441.73</v>
      </c>
      <c r="Q17" s="3181">
        <v>0</v>
      </c>
      <c r="R17" s="3181" t="s">
        <v>3044</v>
      </c>
    </row>
    <row r="18" spans="1:18">
      <c r="A18" s="3180" t="s">
        <v>3112</v>
      </c>
      <c r="B18" s="3180" t="s">
        <v>3036</v>
      </c>
      <c r="C18" s="3180" t="s">
        <v>3037</v>
      </c>
      <c r="D18" s="3180" t="s">
        <v>2817</v>
      </c>
      <c r="E18" s="3180" t="s">
        <v>3112</v>
      </c>
      <c r="F18" s="3180">
        <v>5</v>
      </c>
      <c r="G18" s="3180" t="s">
        <v>2993</v>
      </c>
      <c r="H18" s="3180">
        <v>5838</v>
      </c>
      <c r="I18" s="3180">
        <v>1751.4</v>
      </c>
      <c r="J18" s="3180" t="s">
        <v>3113</v>
      </c>
      <c r="K18" s="3180" t="s">
        <v>3114</v>
      </c>
      <c r="L18" s="3180" t="s">
        <v>3115</v>
      </c>
      <c r="M18" s="3180" t="s">
        <v>3068</v>
      </c>
      <c r="N18" s="3180">
        <v>2850</v>
      </c>
      <c r="O18" s="3180">
        <v>325.45</v>
      </c>
      <c r="P18" s="3180">
        <v>16272.7</v>
      </c>
      <c r="Q18" s="3180">
        <v>196.88</v>
      </c>
      <c r="R18" s="3180" t="s">
        <v>3044</v>
      </c>
    </row>
    <row r="19" spans="1:18" s="3182" customFormat="1">
      <c r="A19" s="3182" t="s">
        <v>3116</v>
      </c>
      <c r="B19" s="3182" t="s">
        <v>3036</v>
      </c>
      <c r="C19" s="3182" t="s">
        <v>3037</v>
      </c>
      <c r="D19" s="3182" t="s">
        <v>2817</v>
      </c>
      <c r="E19" s="3182" t="s">
        <v>3116</v>
      </c>
      <c r="F19" s="3182">
        <v>4</v>
      </c>
      <c r="G19" s="3182" t="s">
        <v>2993</v>
      </c>
      <c r="H19" s="3182">
        <v>6025</v>
      </c>
      <c r="I19" s="3182">
        <v>1807.5</v>
      </c>
      <c r="J19" s="3182" t="s">
        <v>3113</v>
      </c>
      <c r="K19" s="3182" t="s">
        <v>3114</v>
      </c>
      <c r="L19" s="3182" t="s">
        <v>3117</v>
      </c>
      <c r="M19" s="3182" t="s">
        <v>3118</v>
      </c>
      <c r="N19" s="3182">
        <v>980</v>
      </c>
      <c r="O19" s="3182">
        <v>108.44</v>
      </c>
      <c r="P19" s="3182">
        <v>5421.85</v>
      </c>
      <c r="Q19" s="3182">
        <v>2.08</v>
      </c>
      <c r="R19" s="3182" t="s">
        <v>3044</v>
      </c>
    </row>
    <row r="20" spans="1:18" s="3182" customFormat="1">
      <c r="A20" s="3182" t="s">
        <v>3119</v>
      </c>
      <c r="B20" s="3182" t="s">
        <v>3036</v>
      </c>
      <c r="C20" s="3182" t="s">
        <v>3037</v>
      </c>
      <c r="D20" s="3182" t="s">
        <v>2817</v>
      </c>
      <c r="E20" s="3182" t="s">
        <v>3119</v>
      </c>
      <c r="F20" s="3182">
        <v>3</v>
      </c>
      <c r="G20" s="3182" t="s">
        <v>2993</v>
      </c>
      <c r="H20" s="3182">
        <v>4210</v>
      </c>
      <c r="I20" s="3182">
        <v>1263</v>
      </c>
      <c r="J20" s="3182" t="s">
        <v>3113</v>
      </c>
      <c r="K20" s="3182" t="s">
        <v>3114</v>
      </c>
      <c r="L20" s="3182" t="s">
        <v>3120</v>
      </c>
      <c r="M20" s="3182" t="s">
        <v>3049</v>
      </c>
      <c r="N20" s="3182">
        <v>640</v>
      </c>
      <c r="O20" s="3182">
        <v>101.35</v>
      </c>
      <c r="P20" s="3182">
        <v>5067.3</v>
      </c>
      <c r="Q20" s="3182">
        <v>0</v>
      </c>
      <c r="R20" s="3182" t="s">
        <v>3044</v>
      </c>
    </row>
    <row r="21" spans="1:18">
      <c r="A21" s="3180" t="s">
        <v>3121</v>
      </c>
      <c r="B21" s="3180" t="s">
        <v>3036</v>
      </c>
      <c r="C21" s="3180" t="s">
        <v>3037</v>
      </c>
      <c r="D21" s="3180" t="s">
        <v>2817</v>
      </c>
      <c r="E21" s="3180" t="s">
        <v>3121</v>
      </c>
      <c r="F21" s="3180">
        <v>2</v>
      </c>
      <c r="G21" s="3180" t="s">
        <v>2993</v>
      </c>
      <c r="H21" s="3180">
        <v>10007</v>
      </c>
      <c r="I21" s="3180">
        <v>14009.8</v>
      </c>
      <c r="J21" s="3180" t="s">
        <v>3122</v>
      </c>
      <c r="K21" s="3180" t="s">
        <v>3114</v>
      </c>
      <c r="L21" s="3180" t="s">
        <v>3123</v>
      </c>
      <c r="M21" s="3180" t="s">
        <v>3124</v>
      </c>
      <c r="N21" s="3180">
        <v>650</v>
      </c>
      <c r="O21" s="3180">
        <v>43.3</v>
      </c>
      <c r="P21" s="3180">
        <v>463.95</v>
      </c>
      <c r="Q21" s="3180">
        <v>0</v>
      </c>
      <c r="R21" s="3180" t="s">
        <v>3044</v>
      </c>
    </row>
  </sheetData>
  <phoneticPr fontId="233"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G116" sqref="G116"/>
    </sheetView>
  </sheetViews>
  <sheetFormatPr defaultRowHeight="13.5"/>
  <sheetData/>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17" sqref="H17"/>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18335</v>
      </c>
      <c r="C2" s="2104"/>
      <c r="D2" s="2104"/>
      <c r="E2" s="2104"/>
      <c r="F2" s="2104"/>
      <c r="G2" s="2104"/>
      <c r="H2" s="2104"/>
      <c r="I2" s="2104"/>
      <c r="J2" s="2104"/>
      <c r="K2" s="2104"/>
    </row>
    <row r="3" spans="1:31" s="2041" customFormat="1" ht="18" customHeight="1">
      <c r="A3" s="2106" t="s">
        <v>1685</v>
      </c>
      <c r="B3" s="2107">
        <f ca="1">ROUND(B2*10000/IF(B1="",'数据-汇总表'!E3,INDIRECT("'数据-取费表'!K"&amp;$K$1)),0)</f>
        <v>1574</v>
      </c>
      <c r="C3" s="2104"/>
      <c r="D3" s="2104"/>
      <c r="E3" s="2104"/>
      <c r="F3" s="2104"/>
      <c r="G3" s="2104"/>
      <c r="H3" s="2104"/>
      <c r="I3" s="2104"/>
      <c r="J3" s="2104"/>
      <c r="K3" s="2104"/>
    </row>
    <row r="4" spans="1:31" s="2041" customFormat="1" ht="18" customHeight="1">
      <c r="A4" s="426" t="s">
        <v>468</v>
      </c>
      <c r="B4" s="427">
        <f ca="1">ROUND(B2*10000/IF(B1="",'数据-汇总表'!D3,INDIRECT("'数据-取费表'!R"&amp;$K$1)),0)</f>
        <v>3936</v>
      </c>
      <c r="C4" s="428"/>
      <c r="D4" s="422"/>
      <c r="E4" s="422"/>
      <c r="F4" s="422"/>
      <c r="G4" s="422"/>
      <c r="H4" s="422"/>
      <c r="I4" s="422"/>
      <c r="J4" s="422"/>
      <c r="K4" s="422"/>
    </row>
    <row r="5" spans="1:31" s="2041" customFormat="1" ht="18" customHeight="1" thickBot="1">
      <c r="A5" s="429"/>
      <c r="B5" s="430">
        <f ca="1">ROUND(B2/(IF(B1="",'数据-汇总表'!D3,INDIRECT("'数据-取费表'!R"&amp;$K$1))/666.67),0)</f>
        <v>262</v>
      </c>
      <c r="C5" s="431" t="s">
        <v>469</v>
      </c>
      <c r="D5" s="422"/>
      <c r="E5" s="422"/>
      <c r="F5" s="422"/>
      <c r="G5" s="422"/>
      <c r="H5" s="422"/>
      <c r="I5" s="422"/>
      <c r="J5" s="422"/>
      <c r="K5" s="422"/>
    </row>
    <row r="6" spans="1:31" s="2111" customFormat="1" ht="16.5" customHeight="1">
      <c r="A6" s="2828" t="s">
        <v>1843</v>
      </c>
      <c r="B6" s="2829"/>
      <c r="C6" s="2830">
        <f ca="1">SUM(C10:K10)</f>
        <v>67067.41339999999</v>
      </c>
      <c r="D6" s="2829"/>
      <c r="E6" s="2829"/>
      <c r="F6" s="2829"/>
      <c r="G6" s="2829"/>
      <c r="H6" s="2829"/>
      <c r="I6" s="2829"/>
      <c r="J6" s="2829"/>
      <c r="K6" s="2831"/>
    </row>
    <row r="7" spans="1:31" s="2113" customFormat="1" ht="15">
      <c r="A7" s="2832" t="s">
        <v>470</v>
      </c>
      <c r="B7" s="2833" t="s">
        <v>471</v>
      </c>
      <c r="C7" s="436" t="s">
        <v>923</v>
      </c>
      <c r="D7" s="436" t="s">
        <v>2998</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34">
        <v>5800</v>
      </c>
      <c r="D8" s="2834">
        <f ca="1">不动产收益法!B3</f>
        <v>5664</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81516.23</v>
      </c>
      <c r="D9" s="441">
        <f>SUMIF('数据-汇总表'!$C19:$C33,'剩余法-待开发'!D7,'数据-汇总表'!$E19:$E33)</f>
        <v>34935.53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9">
        <f>C8*C9/10000</f>
        <v>47279.413399999998</v>
      </c>
      <c r="D10" s="3029">
        <f ca="1">不动产收益法!B2</f>
        <v>19788</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50">
        <f ca="1">IF(B1="",'数据-取费表'!P16,INDIRECT("'数据-取费表'!p"&amp;$K$1)+INDIRECT("'数据-取费表'!t"&amp;$K$1))</f>
        <v>26085</v>
      </c>
      <c r="D13" s="2844"/>
      <c r="E13" s="2845"/>
      <c r="F13" s="2846"/>
      <c r="G13" s="2812"/>
      <c r="H13" s="2813"/>
      <c r="I13" s="2813"/>
      <c r="J13" s="2813"/>
      <c r="K13" s="2814"/>
    </row>
    <row r="14" spans="1:31" s="2116" customFormat="1" ht="13.5" customHeight="1">
      <c r="A14" s="2842" t="s">
        <v>1850</v>
      </c>
      <c r="B14" s="2843" t="s">
        <v>480</v>
      </c>
      <c r="C14" s="53">
        <f ca="1">ROUND(C13*F14,0)</f>
        <v>783</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815</v>
      </c>
      <c r="D15" s="2844"/>
      <c r="E15" s="2845"/>
      <c r="F15" s="2847">
        <f>'数据-取费表'!B34</f>
        <v>0.05</v>
      </c>
      <c r="G15" s="2812" t="s">
        <v>483</v>
      </c>
      <c r="H15" s="2813"/>
      <c r="I15" s="2813"/>
      <c r="J15" s="2813"/>
      <c r="K15" s="2814"/>
    </row>
    <row r="16" spans="1:31" s="2117" customFormat="1" ht="13.5" customHeight="1">
      <c r="A16" s="2842" t="s">
        <v>1852</v>
      </c>
      <c r="B16" s="2843" t="s">
        <v>484</v>
      </c>
      <c r="C16" s="53">
        <f ca="1">ROUND(D16*E16/10000,0)</f>
        <v>2329</v>
      </c>
      <c r="D16" s="2844">
        <f ca="1">IF(B1="",'数据-汇总表'!E3,INDIRECT("'数据-取费表'!K"&amp;$K$1)+INDIRECT("'数据-取费表'!S"&amp;$K$1))</f>
        <v>116451.76</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391</v>
      </c>
      <c r="D17" s="475"/>
      <c r="E17" s="2848"/>
      <c r="F17" s="2849">
        <f>'数据-取费表'!B36</f>
        <v>1.4999999999999999E-2</v>
      </c>
      <c r="G17" s="261" t="s">
        <v>486</v>
      </c>
      <c r="H17" s="2815"/>
      <c r="I17" s="2815"/>
      <c r="J17" s="2815"/>
      <c r="K17" s="279"/>
    </row>
    <row r="18" spans="1:14" s="2116" customFormat="1" ht="13.5" customHeight="1">
      <c r="A18" s="2850" t="s">
        <v>1854</v>
      </c>
      <c r="B18" s="2851" t="s">
        <v>487</v>
      </c>
      <c r="C18" s="2852">
        <f ca="1">SUM(C13:C17)</f>
        <v>30403</v>
      </c>
      <c r="D18" s="2853"/>
      <c r="E18" s="468"/>
      <c r="F18" s="468"/>
      <c r="G18" s="2816" t="s">
        <v>2430</v>
      </c>
      <c r="H18" s="2817"/>
      <c r="I18" s="2817"/>
      <c r="J18" s="2817"/>
      <c r="K18" s="2818"/>
    </row>
    <row r="19" spans="1:14" s="2116" customFormat="1" ht="13.5" customHeight="1">
      <c r="A19" s="2850" t="s">
        <v>1855</v>
      </c>
      <c r="B19" s="2851" t="s">
        <v>488</v>
      </c>
      <c r="C19" s="2808">
        <f ca="1">ROUND(D19*E19/10000,0)</f>
        <v>0</v>
      </c>
      <c r="D19" s="2854">
        <f ca="1">D16</f>
        <v>116451.76</v>
      </c>
      <c r="E19" s="2808">
        <f>'数据-取费表'!B32</f>
        <v>0</v>
      </c>
      <c r="F19" s="468"/>
      <c r="G19" s="2812" t="s">
        <v>489</v>
      </c>
      <c r="H19" s="2813"/>
      <c r="I19" s="2817"/>
      <c r="J19" s="2817"/>
      <c r="K19" s="2818"/>
    </row>
    <row r="20" spans="1:14" s="2116" customFormat="1" ht="13.5" customHeight="1">
      <c r="A20" s="2850" t="s">
        <v>1856</v>
      </c>
      <c r="B20" s="2851" t="s">
        <v>490</v>
      </c>
      <c r="C20" s="2808">
        <f ca="1">C21+C22-IF(B1="",'数据-取费表'!B29,IF(G20="已全部缴纳",C21+C22,H20))</f>
        <v>1048</v>
      </c>
      <c r="D20" s="2854"/>
      <c r="E20" s="2808"/>
      <c r="F20" s="2855"/>
      <c r="G20" s="3089"/>
      <c r="H20" s="2810"/>
      <c r="I20" s="2811" t="s">
        <v>2650</v>
      </c>
      <c r="J20" s="2817"/>
      <c r="K20" s="2818"/>
    </row>
    <row r="21" spans="1:14" s="2116" customFormat="1" ht="13.5" customHeight="1">
      <c r="A21" s="2842" t="s">
        <v>1857</v>
      </c>
      <c r="B21" s="2843" t="s">
        <v>491</v>
      </c>
      <c r="C21" s="53">
        <f ca="1">ROUND(D21*E21/10000,0)</f>
        <v>734</v>
      </c>
      <c r="D21" s="2844">
        <f ca="1">IF(B1="",'数据-汇总表'!E5,IF(INDIRECT("'数据-取费表'!c"&amp;$K$1)="住宅",INDIRECT("'数据-取费表'!k"&amp;$K$1),0))</f>
        <v>81516.23</v>
      </c>
      <c r="E21" s="53">
        <f>'数据-取费表'!B27</f>
        <v>90</v>
      </c>
      <c r="F21" s="2847"/>
      <c r="G21" s="26"/>
      <c r="H21" s="51"/>
      <c r="I21" s="51"/>
      <c r="J21" s="51"/>
      <c r="K21" s="2819"/>
    </row>
    <row r="22" spans="1:14" s="2116" customFormat="1" ht="13.5" customHeight="1">
      <c r="A22" s="2842" t="s">
        <v>1858</v>
      </c>
      <c r="B22" s="2843" t="s">
        <v>492</v>
      </c>
      <c r="C22" s="53">
        <f ca="1">ROUND(D22*E22/10000,0)</f>
        <v>314</v>
      </c>
      <c r="D22" s="2844">
        <f ca="1">IF(B1="",'数据-汇总表'!E6,IF(INDIRECT("'数据-取费表'!c"&amp;$K$1)="住宅",INDIRECT("'数据-取费表'!s"&amp;$K$1),INDIRECT("'数据-取费表'!k"&amp;$K$1)+INDIRECT("'数据-取费表'!s"&amp;$K$1)))</f>
        <v>34935.53</v>
      </c>
      <c r="E22" s="53">
        <f>'数据-取费表'!B28</f>
        <v>90</v>
      </c>
      <c r="F22" s="2847"/>
      <c r="G22" s="26"/>
      <c r="H22" s="51"/>
      <c r="I22" s="51"/>
      <c r="J22" s="51"/>
      <c r="K22" s="2819"/>
    </row>
    <row r="23" spans="1:14" s="2116" customFormat="1" ht="13.5" customHeight="1">
      <c r="A23" s="2850" t="s">
        <v>1859</v>
      </c>
      <c r="B23" s="3035" t="s">
        <v>2833</v>
      </c>
      <c r="C23" s="2852">
        <f ca="1">ROUND((C18+C19+C20)*F23,0)</f>
        <v>629</v>
      </c>
      <c r="D23" s="468"/>
      <c r="E23" s="468"/>
      <c r="F23" s="2856">
        <f>'数据-取费表'!B37</f>
        <v>0.02</v>
      </c>
      <c r="G23" s="2812" t="s">
        <v>2431</v>
      </c>
      <c r="H23" s="2813"/>
      <c r="I23" s="2813"/>
      <c r="J23" s="2813"/>
      <c r="K23" s="2814"/>
      <c r="L23" s="2118"/>
      <c r="M23" s="2118"/>
      <c r="N23" s="2118"/>
    </row>
    <row r="24" spans="1:14" s="2116" customFormat="1" ht="13.5" customHeight="1">
      <c r="A24" s="2850" t="s">
        <v>1860</v>
      </c>
      <c r="B24" s="3035" t="s">
        <v>2836</v>
      </c>
      <c r="C24" s="2852">
        <f ca="1">ROUND(C6*F24,0)</f>
        <v>1341</v>
      </c>
      <c r="D24" s="475"/>
      <c r="E24" s="473"/>
      <c r="F24" s="2856">
        <f>'数据-取费表'!B38</f>
        <v>0.02</v>
      </c>
      <c r="G24" s="2821" t="s">
        <v>499</v>
      </c>
      <c r="H24" s="2815"/>
      <c r="I24" s="2815"/>
      <c r="J24" s="2815"/>
      <c r="K24" s="279"/>
      <c r="L24" s="2118"/>
      <c r="M24" s="2118"/>
      <c r="N24" s="2118"/>
    </row>
    <row r="25" spans="1:14" s="2119" customFormat="1" ht="13.5" customHeight="1">
      <c r="A25" s="2850" t="s">
        <v>1861</v>
      </c>
      <c r="B25" s="3035" t="s">
        <v>2834</v>
      </c>
      <c r="C25" s="467">
        <f>ROUND(F25/(1+'数据-取费表'!C42),4)</f>
        <v>2.9000000000000001E-2</v>
      </c>
      <c r="D25" s="462" t="s">
        <v>2828</v>
      </c>
      <c r="E25" s="469"/>
      <c r="F25" s="2856">
        <f>'数据-取费表'!B48+'数据-取费表'!B49</f>
        <v>3.0499999999999999E-2</v>
      </c>
      <c r="G25" s="2820" t="s">
        <v>2291</v>
      </c>
      <c r="H25" s="2813"/>
      <c r="I25" s="2813"/>
      <c r="J25" s="2813"/>
      <c r="K25" s="2814"/>
    </row>
    <row r="26" spans="1:14" s="2118" customFormat="1" ht="13.5" customHeight="1">
      <c r="A26" s="2850" t="s">
        <v>1862</v>
      </c>
      <c r="B26" s="3036" t="s">
        <v>2835</v>
      </c>
      <c r="C26" s="2857">
        <f ca="1">C28</f>
        <v>1587</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1857</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1858</v>
      </c>
      <c r="B28" s="2858" t="s">
        <v>2837</v>
      </c>
      <c r="C28" s="2860">
        <f ca="1">ROUND(IF('数据-取费表'!B22&lt;=1,(C18+C19+C20+C23+C24)*F26*'数据-取费表'!B24/2,(C18+C19+C20+C23+C24)*(POWER((1+F26),'数据-取费表'!B24/2)-1)),0)</f>
        <v>1587</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1863</v>
      </c>
      <c r="B29" s="2851" t="s">
        <v>497</v>
      </c>
      <c r="C29" s="2852">
        <f ca="1">ROUND(C6*F29/(1+'数据-取费表'!C42),0)</f>
        <v>3513</v>
      </c>
      <c r="D29" s="468"/>
      <c r="E29" s="468"/>
      <c r="F29" s="3037">
        <f>'数据-取费表'!B41</f>
        <v>5.5000000000000007E-2</v>
      </c>
      <c r="G29" s="2821" t="s">
        <v>498</v>
      </c>
      <c r="H29" s="2813"/>
      <c r="I29" s="2813"/>
      <c r="J29" s="2813"/>
      <c r="K29" s="2814"/>
    </row>
    <row r="30" spans="1:14" s="2121" customFormat="1" ht="13.5" customHeight="1">
      <c r="A30" s="1635" t="s">
        <v>1864</v>
      </c>
      <c r="B30" s="2862" t="s">
        <v>500</v>
      </c>
      <c r="C30" s="2857">
        <f ca="1">C31</f>
        <v>38521</v>
      </c>
      <c r="D30" s="477">
        <f ca="1">C32</f>
        <v>0.12909999999999999</v>
      </c>
      <c r="E30" s="469" t="s">
        <v>495</v>
      </c>
      <c r="F30" s="471"/>
      <c r="G30" s="2820" t="s">
        <v>2972</v>
      </c>
      <c r="H30" s="2813"/>
      <c r="I30" s="2813"/>
      <c r="J30" s="2813"/>
      <c r="K30" s="2814"/>
    </row>
    <row r="31" spans="1:14" s="2120" customFormat="1" ht="13.5" customHeight="1">
      <c r="A31" s="803" t="s">
        <v>1857</v>
      </c>
      <c r="B31" s="2858"/>
      <c r="C31" s="450">
        <f ca="1">C18+C19+C20+C23+C24+C26+C29</f>
        <v>38521</v>
      </c>
      <c r="D31" s="472"/>
      <c r="E31" s="473"/>
      <c r="F31" s="474"/>
      <c r="G31" s="261"/>
      <c r="H31" s="2815"/>
      <c r="I31" s="2815"/>
      <c r="J31" s="2815"/>
      <c r="K31" s="279"/>
    </row>
    <row r="32" spans="1:14" s="2120" customFormat="1" ht="13.5" customHeight="1">
      <c r="A32" s="803" t="s">
        <v>1858</v>
      </c>
      <c r="B32" s="2858"/>
      <c r="C32" s="53">
        <f ca="1">ROUND(C25+D26,4)</f>
        <v>0.12909999999999999</v>
      </c>
      <c r="D32" s="472"/>
      <c r="E32" s="473"/>
      <c r="F32" s="474"/>
      <c r="G32" s="261"/>
      <c r="H32" s="2815"/>
      <c r="I32" s="2815"/>
      <c r="J32" s="2815"/>
      <c r="K32" s="279"/>
    </row>
    <row r="33" spans="1:11" s="2122" customFormat="1" ht="13.5" customHeight="1">
      <c r="A33" s="3034" t="s">
        <v>2832</v>
      </c>
      <c r="B33" s="3032" t="s">
        <v>2830</v>
      </c>
      <c r="C33" s="478">
        <f ca="1">C35</f>
        <v>5013</v>
      </c>
      <c r="D33" s="467">
        <f ca="1">C34</f>
        <v>0.15440000000000001</v>
      </c>
      <c r="E33" s="469" t="s">
        <v>495</v>
      </c>
      <c r="F33" s="479">
        <f ca="1">IF(B1="",'数据-取费表'!Q16,INDIRECT("'数据-取费表'!q"&amp;$K$1))</f>
        <v>0.15</v>
      </c>
      <c r="G33" s="2816"/>
      <c r="H33" s="2817"/>
      <c r="I33" s="2817"/>
      <c r="J33" s="2817"/>
      <c r="K33" s="2818"/>
    </row>
    <row r="34" spans="1:11" s="2123" customFormat="1" ht="13.5" customHeight="1">
      <c r="A34" s="375" t="s">
        <v>1857</v>
      </c>
      <c r="B34" s="2863" t="s">
        <v>501</v>
      </c>
      <c r="C34" s="472">
        <f ca="1">ROUND((1+C25)*F33,4)</f>
        <v>0.15440000000000001</v>
      </c>
      <c r="D34" s="472"/>
      <c r="E34" s="473"/>
      <c r="F34" s="480"/>
      <c r="G34" s="261" t="s">
        <v>2292</v>
      </c>
      <c r="H34" s="2815"/>
      <c r="I34" s="2815"/>
      <c r="J34" s="2815"/>
      <c r="K34" s="279"/>
    </row>
    <row r="35" spans="1:11" s="2123" customFormat="1" ht="13.5" customHeight="1" thickBot="1">
      <c r="A35" s="1636" t="s">
        <v>1858</v>
      </c>
      <c r="B35" s="3033" t="s">
        <v>2838</v>
      </c>
      <c r="C35" s="1628">
        <f ca="1">ROUND((C18+C19+C20+C23+C24)*F33,0)</f>
        <v>5013</v>
      </c>
      <c r="D35" s="1629"/>
      <c r="E35" s="2864"/>
      <c r="F35" s="1630"/>
      <c r="G35" s="2822"/>
      <c r="H35" s="2823"/>
      <c r="I35" s="2823"/>
      <c r="J35" s="2823"/>
      <c r="K35" s="2824"/>
    </row>
    <row r="36" spans="1:11" s="2085" customFormat="1" ht="13.5" customHeight="1" thickBot="1">
      <c r="A36" s="284" t="s">
        <v>1845</v>
      </c>
      <c r="B36" s="2826"/>
      <c r="C36" s="2865">
        <f ca="1">ROUND((C6-C30-C33)/(1+D30+D33),0)</f>
        <v>18335</v>
      </c>
      <c r="D36" s="2826"/>
      <c r="E36" s="2826"/>
      <c r="F36" s="2826"/>
      <c r="G36" s="2825" t="s">
        <v>2839</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3" sqref="A43:XFD4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402" t="s">
        <v>522</v>
      </c>
      <c r="D6" s="3403"/>
      <c r="E6" s="3426" t="s">
        <v>523</v>
      </c>
      <c r="F6" s="3427"/>
      <c r="G6" s="3402" t="s">
        <v>524</v>
      </c>
      <c r="H6" s="3403"/>
      <c r="I6" s="3402" t="s">
        <v>525</v>
      </c>
      <c r="J6" s="3403"/>
      <c r="K6" s="514" t="s">
        <v>526</v>
      </c>
      <c r="L6" s="2133"/>
      <c r="M6" s="2134"/>
      <c r="N6" s="2134"/>
      <c r="O6" s="2134"/>
      <c r="P6" s="3404" t="s">
        <v>527</v>
      </c>
      <c r="Q6" s="3405"/>
      <c r="R6" s="3390" t="s">
        <v>523</v>
      </c>
      <c r="S6" s="3391"/>
      <c r="T6" s="3390" t="s">
        <v>524</v>
      </c>
      <c r="U6" s="3391"/>
      <c r="V6" s="3410" t="s">
        <v>525</v>
      </c>
      <c r="W6" s="3410"/>
      <c r="X6" s="1567"/>
      <c r="Y6" s="3390" t="s">
        <v>527</v>
      </c>
      <c r="Z6" s="3391"/>
      <c r="AA6" s="3385" t="s">
        <v>523</v>
      </c>
      <c r="AB6" s="3386" t="s">
        <v>524</v>
      </c>
      <c r="AC6" s="3385" t="s">
        <v>525</v>
      </c>
    </row>
    <row r="7" spans="1:29" ht="15">
      <c r="A7" s="515"/>
      <c r="B7" s="516"/>
      <c r="C7" s="3413" t="s">
        <v>2927</v>
      </c>
      <c r="D7" s="3414"/>
      <c r="E7" s="3428" t="s">
        <v>2928</v>
      </c>
      <c r="F7" s="3429"/>
      <c r="G7" s="3413" t="s">
        <v>2929</v>
      </c>
      <c r="H7" s="3414"/>
      <c r="I7" s="3413" t="s">
        <v>2930</v>
      </c>
      <c r="J7" s="3414"/>
      <c r="K7" s="514"/>
      <c r="L7" s="2133"/>
      <c r="M7" s="2134"/>
      <c r="N7" s="2134"/>
      <c r="O7" s="2134"/>
      <c r="P7" s="3406"/>
      <c r="Q7" s="3407"/>
      <c r="R7" s="3392"/>
      <c r="S7" s="3393"/>
      <c r="T7" s="3392"/>
      <c r="U7" s="3393"/>
      <c r="V7" s="3410"/>
      <c r="W7" s="3410"/>
      <c r="X7" s="1567"/>
      <c r="Y7" s="3392"/>
      <c r="Z7" s="3393"/>
      <c r="AA7" s="3386"/>
      <c r="AB7" s="3386"/>
      <c r="AC7" s="3386"/>
    </row>
    <row r="8" spans="1:29" ht="15.75" thickBot="1">
      <c r="A8" s="517"/>
      <c r="B8" s="518"/>
      <c r="C8" s="3411" t="s">
        <v>2931</v>
      </c>
      <c r="D8" s="3412"/>
      <c r="E8" s="3430" t="s">
        <v>2931</v>
      </c>
      <c r="F8" s="3431"/>
      <c r="G8" s="3411" t="s">
        <v>2931</v>
      </c>
      <c r="H8" s="3412"/>
      <c r="I8" s="3411" t="s">
        <v>2931</v>
      </c>
      <c r="J8" s="3412"/>
      <c r="K8" s="514" t="s">
        <v>528</v>
      </c>
      <c r="L8" s="2133"/>
      <c r="M8" s="2134"/>
      <c r="N8" s="2134"/>
      <c r="O8" s="2134"/>
      <c r="P8" s="3408"/>
      <c r="Q8" s="3409"/>
      <c r="R8" s="3392"/>
      <c r="S8" s="3393"/>
      <c r="T8" s="3394"/>
      <c r="U8" s="3395"/>
      <c r="V8" s="3410"/>
      <c r="W8" s="3410"/>
      <c r="X8" s="1567"/>
      <c r="Y8" s="3394"/>
      <c r="Z8" s="3395"/>
      <c r="AA8" s="3387"/>
      <c r="AB8" s="3387"/>
      <c r="AC8" s="3387"/>
    </row>
    <row r="9" spans="1:29" s="1220" customFormat="1" ht="15.75" thickBot="1">
      <c r="A9" s="2912"/>
      <c r="B9" s="2919" t="s">
        <v>529</v>
      </c>
      <c r="C9" s="519">
        <f>'数据-取费表'!B2</f>
        <v>43606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8" t="s">
        <v>530</v>
      </c>
      <c r="Q9" s="3397"/>
      <c r="R9" s="1568" t="s">
        <v>8</v>
      </c>
      <c r="S9" s="1569">
        <f t="shared" ref="S9:S17" si="0">F9</f>
        <v>0</v>
      </c>
      <c r="T9" s="1568" t="s">
        <v>8</v>
      </c>
      <c r="U9" s="1569">
        <f t="shared" ref="U9:U17" si="1">H9</f>
        <v>0</v>
      </c>
      <c r="V9" s="1568" t="s">
        <v>8</v>
      </c>
      <c r="W9" s="1569">
        <f t="shared" ref="W9:W17" si="2">J9</f>
        <v>0</v>
      </c>
      <c r="X9" s="1570"/>
      <c r="Y9" s="3388" t="s">
        <v>530</v>
      </c>
      <c r="Z9" s="3389"/>
      <c r="AA9" s="1571" t="e">
        <f>D9/F9</f>
        <v>#DIV/0!</v>
      </c>
      <c r="AB9" s="1571" t="e">
        <f>D9/H9</f>
        <v>#DIV/0!</v>
      </c>
      <c r="AC9" s="1571"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8" t="s">
        <v>533</v>
      </c>
      <c r="Q10" s="3389"/>
      <c r="R10" s="1568" t="s">
        <v>8</v>
      </c>
      <c r="S10" s="1569">
        <f t="shared" si="0"/>
        <v>0</v>
      </c>
      <c r="T10" s="1568" t="s">
        <v>8</v>
      </c>
      <c r="U10" s="1569">
        <f t="shared" si="1"/>
        <v>0</v>
      </c>
      <c r="V10" s="1568" t="s">
        <v>8</v>
      </c>
      <c r="W10" s="1569">
        <f t="shared" si="2"/>
        <v>0</v>
      </c>
      <c r="X10" s="1570"/>
      <c r="Y10" s="3388" t="s">
        <v>533</v>
      </c>
      <c r="Z10" s="3389"/>
      <c r="AA10" s="1571" t="e">
        <f t="shared" ref="AA10:AA42" si="3">D10/F10</f>
        <v>#DIV/0!</v>
      </c>
      <c r="AB10" s="1571" t="e">
        <f t="shared" ref="AB10:AB42" si="4">D10/H10</f>
        <v>#DIV/0!</v>
      </c>
      <c r="AC10" s="1571" t="e">
        <f t="shared" ref="AC10:AC42" si="5">D10/J10</f>
        <v>#DIV/0!</v>
      </c>
    </row>
    <row r="11" spans="1:29" s="1220" customFormat="1" ht="15">
      <c r="A11" s="2914"/>
      <c r="B11" s="2921"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96" t="s">
        <v>535</v>
      </c>
      <c r="Q11" s="1151" t="str">
        <f t="shared" ref="Q11:Q17" si="6">B11</f>
        <v>用途</v>
      </c>
      <c r="R11" s="1568" t="s">
        <v>8</v>
      </c>
      <c r="S11" s="1569">
        <f t="shared" si="0"/>
        <v>100</v>
      </c>
      <c r="T11" s="1568" t="s">
        <v>8</v>
      </c>
      <c r="U11" s="1569">
        <f t="shared" si="1"/>
        <v>100</v>
      </c>
      <c r="V11" s="1568" t="s">
        <v>8</v>
      </c>
      <c r="W11" s="1569">
        <f t="shared" si="2"/>
        <v>100</v>
      </c>
      <c r="X11" s="1570"/>
      <c r="Y11" s="3353" t="s">
        <v>536</v>
      </c>
      <c r="Z11" s="1150" t="str">
        <f t="shared" ref="Z11:Z17" si="7">Q11</f>
        <v>用途</v>
      </c>
      <c r="AA11" s="1571">
        <f t="shared" si="3"/>
        <v>1</v>
      </c>
      <c r="AB11" s="1571">
        <f t="shared" si="4"/>
        <v>1</v>
      </c>
      <c r="AC11" s="1571">
        <f t="shared" si="5"/>
        <v>1</v>
      </c>
    </row>
    <row r="12" spans="1:29" s="1338" customFormat="1" ht="27">
      <c r="A12" s="2915"/>
      <c r="B12" s="2920" t="s">
        <v>2756</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96"/>
      <c r="Q12" s="1151" t="str">
        <f t="shared" si="6"/>
        <v>土地使用年限（年）</v>
      </c>
      <c r="R12" s="1568" t="s">
        <v>8</v>
      </c>
      <c r="S12" s="1569">
        <f t="shared" si="0"/>
        <v>102</v>
      </c>
      <c r="T12" s="1568" t="s">
        <v>8</v>
      </c>
      <c r="U12" s="1569">
        <f t="shared" si="1"/>
        <v>102</v>
      </c>
      <c r="V12" s="1568" t="s">
        <v>8</v>
      </c>
      <c r="W12" s="1569">
        <f t="shared" si="2"/>
        <v>102</v>
      </c>
      <c r="X12" s="1570"/>
      <c r="Y12" s="3353"/>
      <c r="Z12" s="1150" t="str">
        <f t="shared" si="7"/>
        <v>土地使用年限（年）</v>
      </c>
      <c r="AA12" s="1571">
        <f t="shared" si="3"/>
        <v>0.98039215686274506</v>
      </c>
      <c r="AB12" s="1571">
        <f t="shared" si="4"/>
        <v>0.98039215686274506</v>
      </c>
      <c r="AC12" s="1571">
        <f t="shared" si="5"/>
        <v>0.98039215686274506</v>
      </c>
    </row>
    <row r="13" spans="1:29" ht="15">
      <c r="A13" s="2916"/>
      <c r="B13" s="2920"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96"/>
      <c r="Q13" s="1151" t="str">
        <f t="shared" si="6"/>
        <v>容积率</v>
      </c>
      <c r="R13" s="1568" t="s">
        <v>8</v>
      </c>
      <c r="S13" s="1569" t="e">
        <f t="shared" si="0"/>
        <v>#N/A</v>
      </c>
      <c r="T13" s="1568" t="s">
        <v>8</v>
      </c>
      <c r="U13" s="1569" t="e">
        <f t="shared" si="1"/>
        <v>#N/A</v>
      </c>
      <c r="V13" s="1568" t="s">
        <v>8</v>
      </c>
      <c r="W13" s="1569" t="e">
        <f t="shared" si="2"/>
        <v>#N/A</v>
      </c>
      <c r="X13" s="1570"/>
      <c r="Y13" s="3353"/>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6"/>
      <c r="Q14" s="1151">
        <f t="shared" si="6"/>
        <v>111</v>
      </c>
      <c r="R14" s="1568" t="s">
        <v>8</v>
      </c>
      <c r="S14" s="1569">
        <f t="shared" si="0"/>
        <v>100</v>
      </c>
      <c r="T14" s="1568" t="s">
        <v>8</v>
      </c>
      <c r="U14" s="1569">
        <f t="shared" si="1"/>
        <v>100</v>
      </c>
      <c r="V14" s="1568" t="s">
        <v>8</v>
      </c>
      <c r="W14" s="1569">
        <f t="shared" si="2"/>
        <v>100</v>
      </c>
      <c r="X14" s="1570"/>
      <c r="Y14" s="3353"/>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6"/>
      <c r="Q15" s="1151">
        <f t="shared" si="6"/>
        <v>111</v>
      </c>
      <c r="R15" s="1568" t="s">
        <v>8</v>
      </c>
      <c r="S15" s="1569">
        <f t="shared" si="0"/>
        <v>100</v>
      </c>
      <c r="T15" s="1568" t="s">
        <v>8</v>
      </c>
      <c r="U15" s="1569">
        <f t="shared" si="1"/>
        <v>100</v>
      </c>
      <c r="V15" s="1568" t="s">
        <v>8</v>
      </c>
      <c r="W15" s="1569">
        <f t="shared" si="2"/>
        <v>100</v>
      </c>
      <c r="X15" s="1570"/>
      <c r="Y15" s="3353"/>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6"/>
      <c r="Q16" s="1151">
        <f t="shared" si="6"/>
        <v>111</v>
      </c>
      <c r="R16" s="1568" t="s">
        <v>8</v>
      </c>
      <c r="S16" s="1569">
        <f t="shared" si="0"/>
        <v>100</v>
      </c>
      <c r="T16" s="1568" t="s">
        <v>8</v>
      </c>
      <c r="U16" s="1569">
        <f t="shared" si="1"/>
        <v>100</v>
      </c>
      <c r="V16" s="1568" t="s">
        <v>8</v>
      </c>
      <c r="W16" s="1569">
        <f t="shared" si="2"/>
        <v>100</v>
      </c>
      <c r="X16" s="1570"/>
      <c r="Y16" s="3353"/>
      <c r="Z16" s="1150">
        <f t="shared" si="7"/>
        <v>111</v>
      </c>
      <c r="AA16" s="1571">
        <f t="shared" si="3"/>
        <v>1</v>
      </c>
      <c r="AB16" s="1571">
        <f t="shared" si="4"/>
        <v>1</v>
      </c>
      <c r="AC16" s="1571">
        <f t="shared" si="5"/>
        <v>1</v>
      </c>
    </row>
    <row r="17" spans="1:29" ht="57">
      <c r="A17" s="2910"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8" t="s">
        <v>540</v>
      </c>
      <c r="Q17" s="1572" t="str">
        <f t="shared" si="6"/>
        <v>产业集聚程度</v>
      </c>
      <c r="R17" s="1573" t="s">
        <v>8</v>
      </c>
      <c r="S17" s="1574">
        <f t="shared" si="0"/>
        <v>100</v>
      </c>
      <c r="T17" s="1573" t="s">
        <v>8</v>
      </c>
      <c r="U17" s="1574">
        <f t="shared" si="1"/>
        <v>100</v>
      </c>
      <c r="V17" s="1573" t="s">
        <v>8</v>
      </c>
      <c r="W17" s="1574">
        <f t="shared" si="2"/>
        <v>100</v>
      </c>
      <c r="X17" s="1567"/>
      <c r="Y17" s="339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99"/>
      <c r="Q18" s="1572"/>
      <c r="R18" s="1573"/>
      <c r="S18" s="1574"/>
      <c r="T18" s="1573"/>
      <c r="U18" s="1574"/>
      <c r="V18" s="1573"/>
      <c r="W18" s="1574"/>
      <c r="X18" s="1567"/>
      <c r="Y18" s="339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9"/>
      <c r="Q19" s="1572" t="str">
        <f>B19</f>
        <v>交通便捷度</v>
      </c>
      <c r="R19" s="1573" t="s">
        <v>8</v>
      </c>
      <c r="S19" s="1574">
        <f>F19</f>
        <v>100</v>
      </c>
      <c r="T19" s="1573" t="s">
        <v>8</v>
      </c>
      <c r="U19" s="1574">
        <f>H19</f>
        <v>100</v>
      </c>
      <c r="V19" s="1573" t="s">
        <v>8</v>
      </c>
      <c r="W19" s="1574">
        <f>J19</f>
        <v>100</v>
      </c>
      <c r="X19" s="1567"/>
      <c r="Y19" s="339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9"/>
      <c r="Q21" s="1572" t="str">
        <f t="shared" ref="Q21:Q35" si="8">B21</f>
        <v>区域土地利用方向</v>
      </c>
      <c r="R21" s="1573" t="s">
        <v>8</v>
      </c>
      <c r="S21" s="1574">
        <f>F21</f>
        <v>100</v>
      </c>
      <c r="T21" s="1573" t="s">
        <v>8</v>
      </c>
      <c r="U21" s="1574">
        <f>H21</f>
        <v>100</v>
      </c>
      <c r="V21" s="1573" t="s">
        <v>8</v>
      </c>
      <c r="W21" s="1574">
        <f>J21</f>
        <v>100</v>
      </c>
      <c r="X21" s="1567"/>
      <c r="Y21" s="339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99"/>
      <c r="Q22" s="1572"/>
      <c r="R22" s="1573"/>
      <c r="S22" s="1574"/>
      <c r="T22" s="1573"/>
      <c r="U22" s="1574"/>
      <c r="V22" s="1573"/>
      <c r="W22" s="1574"/>
      <c r="X22" s="1567"/>
      <c r="Y22" s="3399"/>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9"/>
      <c r="Q23" s="1572" t="str">
        <f t="shared" si="8"/>
        <v>环境状况</v>
      </c>
      <c r="R23" s="1573" t="s">
        <v>8</v>
      </c>
      <c r="S23" s="1574">
        <f>F23</f>
        <v>100</v>
      </c>
      <c r="T23" s="1573" t="s">
        <v>8</v>
      </c>
      <c r="U23" s="1574">
        <f>H23</f>
        <v>100</v>
      </c>
      <c r="V23" s="1573" t="s">
        <v>8</v>
      </c>
      <c r="W23" s="1574">
        <f>J23</f>
        <v>100</v>
      </c>
      <c r="X23" s="1567"/>
      <c r="Y23" s="339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99"/>
      <c r="Q24" s="1572"/>
      <c r="R24" s="1573"/>
      <c r="S24" s="1574"/>
      <c r="T24" s="1573"/>
      <c r="U24" s="1574"/>
      <c r="V24" s="1573"/>
      <c r="W24" s="1574"/>
      <c r="X24" s="1567"/>
      <c r="Y24" s="3399"/>
      <c r="Z24" s="1575"/>
      <c r="AA24" s="1576">
        <v>1</v>
      </c>
      <c r="AB24" s="1576">
        <v>1</v>
      </c>
      <c r="AC24" s="1576">
        <v>1</v>
      </c>
    </row>
    <row r="25" spans="1:29" s="1220" customFormat="1" ht="42.75">
      <c r="A25" s="577"/>
      <c r="B25" s="2593"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9"/>
      <c r="Q25" s="1151" t="str">
        <f t="shared" si="8"/>
        <v>公共配套设施</v>
      </c>
      <c r="R25" s="1568" t="s">
        <v>8</v>
      </c>
      <c r="S25" s="1569">
        <f>F25</f>
        <v>100</v>
      </c>
      <c r="T25" s="1568" t="s">
        <v>8</v>
      </c>
      <c r="U25" s="1569">
        <f>H25</f>
        <v>100</v>
      </c>
      <c r="V25" s="1568" t="s">
        <v>8</v>
      </c>
      <c r="W25" s="1569">
        <f>J25</f>
        <v>100</v>
      </c>
      <c r="X25" s="1570"/>
      <c r="Y25" s="3399"/>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399"/>
      <c r="Q26" s="1151"/>
      <c r="R26" s="1568"/>
      <c r="S26" s="1569"/>
      <c r="T26" s="1568"/>
      <c r="U26" s="1569"/>
      <c r="V26" s="1568"/>
      <c r="W26" s="1569"/>
      <c r="X26" s="1570"/>
      <c r="Y26" s="3399"/>
      <c r="Z26" s="1150"/>
      <c r="AA26" s="1571">
        <v>1</v>
      </c>
      <c r="AB26" s="1571">
        <v>1</v>
      </c>
      <c r="AC26" s="1571">
        <v>1</v>
      </c>
    </row>
    <row r="27" spans="1:29" s="1220" customFormat="1" ht="28.5">
      <c r="A27" s="577"/>
      <c r="B27" s="2593"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9"/>
      <c r="Q27" s="2578" t="str">
        <f t="shared" ref="Q27" si="9">B27</f>
        <v>基础设施水平</v>
      </c>
      <c r="R27" s="1568" t="s">
        <v>8</v>
      </c>
      <c r="S27" s="1569">
        <f>F27</f>
        <v>100</v>
      </c>
      <c r="T27" s="1568" t="s">
        <v>8</v>
      </c>
      <c r="U27" s="1569">
        <f>H27</f>
        <v>100</v>
      </c>
      <c r="V27" s="1568" t="s">
        <v>8</v>
      </c>
      <c r="W27" s="1569">
        <f>J27</f>
        <v>100</v>
      </c>
      <c r="X27" s="1570"/>
      <c r="Y27" s="3399"/>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399"/>
      <c r="Q28" s="2578"/>
      <c r="R28" s="1568"/>
      <c r="S28" s="1569"/>
      <c r="T28" s="1568"/>
      <c r="U28" s="1569"/>
      <c r="V28" s="1568"/>
      <c r="W28" s="1569"/>
      <c r="X28" s="1570"/>
      <c r="Y28" s="3399"/>
      <c r="Z28" s="2575"/>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9"/>
      <c r="Z29" s="1575" t="str">
        <f t="shared" ref="Z29:Z42" si="13">Q29</f>
        <v>临街状况</v>
      </c>
      <c r="AA29" s="1576">
        <f t="shared" si="3"/>
        <v>1</v>
      </c>
      <c r="AB29" s="1576">
        <f t="shared" si="4"/>
        <v>1</v>
      </c>
      <c r="AC29" s="1576">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9"/>
      <c r="Q30" s="1572" t="str">
        <f t="shared" si="8"/>
        <v>毗邻道路的类型与等级</v>
      </c>
      <c r="R30" s="1573" t="s">
        <v>8</v>
      </c>
      <c r="S30" s="1574">
        <f t="shared" si="10"/>
        <v>100</v>
      </c>
      <c r="T30" s="1573" t="s">
        <v>8</v>
      </c>
      <c r="U30" s="1574">
        <f t="shared" si="11"/>
        <v>100</v>
      </c>
      <c r="V30" s="1573" t="s">
        <v>8</v>
      </c>
      <c r="W30" s="1574">
        <f t="shared" si="12"/>
        <v>100</v>
      </c>
      <c r="X30" s="1567"/>
      <c r="Y30" s="339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99"/>
      <c r="Q31" s="1572"/>
      <c r="R31" s="1573"/>
      <c r="S31" s="1574"/>
      <c r="T31" s="1573"/>
      <c r="U31" s="1574"/>
      <c r="V31" s="1573"/>
      <c r="W31" s="1574"/>
      <c r="X31" s="1567"/>
      <c r="Y31" s="3399"/>
      <c r="Z31" s="1575"/>
      <c r="AA31" s="1576">
        <v>1</v>
      </c>
      <c r="AB31" s="1576">
        <v>1</v>
      </c>
      <c r="AC31" s="1576">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9"/>
      <c r="Q32" s="1572" t="str">
        <f t="shared" si="8"/>
        <v>土地级别</v>
      </c>
      <c r="R32" s="1573" t="s">
        <v>8</v>
      </c>
      <c r="S32" s="1574">
        <f t="shared" si="10"/>
        <v>100</v>
      </c>
      <c r="T32" s="1573" t="s">
        <v>8</v>
      </c>
      <c r="U32" s="1574">
        <f t="shared" si="11"/>
        <v>100</v>
      </c>
      <c r="V32" s="1573" t="s">
        <v>8</v>
      </c>
      <c r="W32" s="1574">
        <f t="shared" si="12"/>
        <v>100</v>
      </c>
      <c r="X32" s="1567"/>
      <c r="Y32" s="339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9"/>
      <c r="Q33" s="1572">
        <f t="shared" si="8"/>
        <v>111</v>
      </c>
      <c r="R33" s="1573" t="s">
        <v>8</v>
      </c>
      <c r="S33" s="1574">
        <f t="shared" si="10"/>
        <v>100</v>
      </c>
      <c r="T33" s="1573" t="s">
        <v>8</v>
      </c>
      <c r="U33" s="1574">
        <f t="shared" si="11"/>
        <v>100</v>
      </c>
      <c r="V33" s="1573" t="s">
        <v>8</v>
      </c>
      <c r="W33" s="1574">
        <f t="shared" si="12"/>
        <v>100</v>
      </c>
      <c r="X33" s="1567"/>
      <c r="Y33" s="339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0" t="s">
        <v>550</v>
      </c>
      <c r="Q34" s="1572">
        <f t="shared" si="8"/>
        <v>111</v>
      </c>
      <c r="R34" s="1573" t="s">
        <v>8</v>
      </c>
      <c r="S34" s="1574">
        <f t="shared" si="10"/>
        <v>100</v>
      </c>
      <c r="T34" s="1573" t="s">
        <v>8</v>
      </c>
      <c r="U34" s="1574">
        <f t="shared" si="11"/>
        <v>100</v>
      </c>
      <c r="V34" s="1573" t="s">
        <v>8</v>
      </c>
      <c r="W34" s="1574">
        <f t="shared" si="12"/>
        <v>100</v>
      </c>
      <c r="X34" s="1567"/>
      <c r="Y34" s="3401" t="s">
        <v>550</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1"/>
      <c r="Q35" s="1572">
        <f t="shared" si="8"/>
        <v>111</v>
      </c>
      <c r="R35" s="1577" t="s">
        <v>8</v>
      </c>
      <c r="S35" s="1578">
        <f t="shared" si="10"/>
        <v>100</v>
      </c>
      <c r="T35" s="1577" t="s">
        <v>8</v>
      </c>
      <c r="U35" s="1578">
        <f t="shared" si="11"/>
        <v>100</v>
      </c>
      <c r="V35" s="1577" t="s">
        <v>8</v>
      </c>
      <c r="W35" s="1578">
        <f t="shared" si="12"/>
        <v>100</v>
      </c>
      <c r="X35" s="1579"/>
      <c r="Y35" s="3401"/>
      <c r="Z35" s="1580">
        <f t="shared" si="13"/>
        <v>111</v>
      </c>
      <c r="AA35" s="1576">
        <f t="shared" si="3"/>
        <v>1</v>
      </c>
      <c r="AB35" s="1576">
        <f t="shared" si="4"/>
        <v>1</v>
      </c>
      <c r="AC35" s="1576">
        <f t="shared" si="5"/>
        <v>1</v>
      </c>
    </row>
    <row r="36" spans="1:29" ht="15">
      <c r="A36" s="2907"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1"/>
      <c r="Q36" s="1572" t="str">
        <f>B36</f>
        <v>宗地面积</v>
      </c>
      <c r="R36" s="1573" t="s">
        <v>8</v>
      </c>
      <c r="S36" s="1574" t="e">
        <f t="shared" si="10"/>
        <v>#N/A</v>
      </c>
      <c r="T36" s="1573" t="s">
        <v>8</v>
      </c>
      <c r="U36" s="1574" t="e">
        <f t="shared" si="11"/>
        <v>#N/A</v>
      </c>
      <c r="V36" s="1573" t="s">
        <v>8</v>
      </c>
      <c r="W36" s="1574" t="e">
        <f t="shared" si="12"/>
        <v>#N/A</v>
      </c>
      <c r="X36" s="1567"/>
      <c r="Y36" s="340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1"/>
      <c r="Q37" s="1572" t="str">
        <f t="shared" ref="Q37:Q42" si="14">B37</f>
        <v>宗地形状</v>
      </c>
      <c r="R37" s="1573" t="s">
        <v>8</v>
      </c>
      <c r="S37" s="1574">
        <f t="shared" si="10"/>
        <v>100</v>
      </c>
      <c r="T37" s="1573" t="s">
        <v>8</v>
      </c>
      <c r="U37" s="1574">
        <f t="shared" si="11"/>
        <v>100</v>
      </c>
      <c r="V37" s="1573" t="s">
        <v>8</v>
      </c>
      <c r="W37" s="1574">
        <f t="shared" si="12"/>
        <v>100</v>
      </c>
      <c r="X37" s="1567"/>
      <c r="Y37" s="3401"/>
      <c r="Z37" s="1575" t="str">
        <f t="shared" si="13"/>
        <v>宗地形状</v>
      </c>
      <c r="AA37" s="1576">
        <f t="shared" si="3"/>
        <v>1</v>
      </c>
      <c r="AB37" s="1576">
        <f t="shared" si="4"/>
        <v>1</v>
      </c>
      <c r="AC37" s="1576">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1"/>
      <c r="Q38" s="1572" t="str">
        <f t="shared" si="14"/>
        <v>宗地开发程度</v>
      </c>
      <c r="R38" s="1568" t="s">
        <v>8</v>
      </c>
      <c r="S38" s="1569">
        <f t="shared" si="10"/>
        <v>100</v>
      </c>
      <c r="T38" s="1568" t="s">
        <v>8</v>
      </c>
      <c r="U38" s="1569">
        <f t="shared" si="11"/>
        <v>100</v>
      </c>
      <c r="V38" s="1568" t="s">
        <v>8</v>
      </c>
      <c r="W38" s="1569">
        <f t="shared" si="12"/>
        <v>100</v>
      </c>
      <c r="X38" s="1570"/>
      <c r="Y38" s="3401"/>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1" t="s">
        <v>601</v>
      </c>
      <c r="Q39" s="1572" t="str">
        <f t="shared" si="14"/>
        <v>工程地质条件</v>
      </c>
      <c r="R39" s="1573" t="s">
        <v>8</v>
      </c>
      <c r="S39" s="1574">
        <f t="shared" si="10"/>
        <v>100</v>
      </c>
      <c r="T39" s="1573" t="s">
        <v>8</v>
      </c>
      <c r="U39" s="1574">
        <f t="shared" si="11"/>
        <v>100</v>
      </c>
      <c r="V39" s="1573" t="s">
        <v>8</v>
      </c>
      <c r="W39" s="1574">
        <f t="shared" si="12"/>
        <v>100</v>
      </c>
      <c r="X39" s="1567"/>
      <c r="Y39" s="340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1"/>
      <c r="Q40" s="1572">
        <f t="shared" si="14"/>
        <v>111</v>
      </c>
      <c r="R40" s="1573" t="s">
        <v>8</v>
      </c>
      <c r="S40" s="1574">
        <f t="shared" si="10"/>
        <v>100</v>
      </c>
      <c r="T40" s="1573" t="s">
        <v>8</v>
      </c>
      <c r="U40" s="1574">
        <f t="shared" si="11"/>
        <v>100</v>
      </c>
      <c r="V40" s="1573" t="s">
        <v>8</v>
      </c>
      <c r="W40" s="1574">
        <f t="shared" si="12"/>
        <v>100</v>
      </c>
      <c r="X40" s="1567"/>
      <c r="Y40" s="340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1"/>
      <c r="Q41" s="1572">
        <f t="shared" si="14"/>
        <v>111</v>
      </c>
      <c r="R41" s="1573" t="s">
        <v>8</v>
      </c>
      <c r="S41" s="1574">
        <f t="shared" si="10"/>
        <v>100</v>
      </c>
      <c r="T41" s="1573" t="s">
        <v>8</v>
      </c>
      <c r="U41" s="1574">
        <f t="shared" si="11"/>
        <v>100</v>
      </c>
      <c r="V41" s="1573" t="s">
        <v>8</v>
      </c>
      <c r="W41" s="1574">
        <f t="shared" si="12"/>
        <v>100</v>
      </c>
      <c r="X41" s="1567"/>
      <c r="Y41" s="340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1"/>
      <c r="Q42" s="1572">
        <f t="shared" si="14"/>
        <v>111</v>
      </c>
      <c r="R42" s="1577" t="s">
        <v>8</v>
      </c>
      <c r="S42" s="1578">
        <f t="shared" si="10"/>
        <v>100</v>
      </c>
      <c r="T42" s="1577" t="s">
        <v>8</v>
      </c>
      <c r="U42" s="1578">
        <f t="shared" si="11"/>
        <v>100</v>
      </c>
      <c r="V42" s="1577" t="s">
        <v>8</v>
      </c>
      <c r="W42" s="1578">
        <f t="shared" si="12"/>
        <v>100</v>
      </c>
      <c r="X42" s="1579"/>
      <c r="Y42" s="3401"/>
      <c r="Z42" s="1580">
        <f t="shared" si="13"/>
        <v>111</v>
      </c>
      <c r="AA42" s="1576">
        <f t="shared" si="3"/>
        <v>1</v>
      </c>
      <c r="AB42" s="1576">
        <f t="shared" si="4"/>
        <v>1</v>
      </c>
      <c r="AC42" s="1576">
        <f t="shared" si="5"/>
        <v>1</v>
      </c>
    </row>
    <row r="43" spans="1:29" ht="15">
      <c r="A43" s="607" t="s">
        <v>556</v>
      </c>
      <c r="B43" s="608" t="s">
        <v>2932</v>
      </c>
      <c r="C43" s="609" t="s">
        <v>1</v>
      </c>
      <c r="D43" s="610"/>
      <c r="E43" s="611"/>
      <c r="F43" s="612"/>
      <c r="G43" s="613"/>
      <c r="H43" s="614"/>
      <c r="I43" s="611"/>
      <c r="J43" s="614"/>
      <c r="K43" s="1340"/>
      <c r="L43" s="2144"/>
      <c r="M43" s="2134"/>
      <c r="N43" s="2134"/>
      <c r="O43" s="2145"/>
      <c r="P43" s="3396" t="str">
        <f>A43</f>
        <v>成交单价</v>
      </c>
      <c r="Q43" s="3396"/>
      <c r="R43" s="3410">
        <f>E43</f>
        <v>0</v>
      </c>
      <c r="S43" s="3410"/>
      <c r="T43" s="3410">
        <f>G43</f>
        <v>0</v>
      </c>
      <c r="U43" s="3410"/>
      <c r="V43" s="3410">
        <f>I43</f>
        <v>0</v>
      </c>
      <c r="W43" s="3410"/>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396" t="str">
        <f>A44</f>
        <v>比较价格（元/平方米）</v>
      </c>
      <c r="Q44" s="3396"/>
      <c r="R44" s="3420" t="e">
        <f>ROUND(PRODUCT(R43,AA9:AA42),0)</f>
        <v>#DIV/0!</v>
      </c>
      <c r="S44" s="3420"/>
      <c r="T44" s="3420" t="e">
        <f>ROUND(PRODUCT(T43,AB9:AB42),0)</f>
        <v>#DIV/0!</v>
      </c>
      <c r="U44" s="3420"/>
      <c r="V44" s="3420" t="e">
        <f>ROUND(PRODUCT(V43,AC9:AC42),0)</f>
        <v>#DIV/0!</v>
      </c>
      <c r="W44" s="3420"/>
      <c r="X44" s="1559"/>
      <c r="Y44" s="1559"/>
      <c r="Z44" s="1559"/>
      <c r="AA44" s="1559"/>
      <c r="AB44" s="1559"/>
      <c r="AC44" s="1559"/>
    </row>
    <row r="45" spans="1:29" ht="15.75" thickBot="1">
      <c r="A45" s="621" t="s">
        <v>2933</v>
      </c>
      <c r="B45" s="622"/>
      <c r="C45" s="623" t="e">
        <f>R45</f>
        <v>#DIV/0!</v>
      </c>
      <c r="D45" s="623"/>
      <c r="E45" s="623"/>
      <c r="F45" s="623"/>
      <c r="G45" s="623"/>
      <c r="H45" s="623"/>
      <c r="I45" s="623"/>
      <c r="J45" s="623"/>
      <c r="K45" s="1342"/>
      <c r="L45" s="2144"/>
      <c r="M45" s="2134"/>
      <c r="N45" s="2134"/>
      <c r="O45" s="2145"/>
      <c r="P45" s="3417" t="str">
        <f>A45</f>
        <v>估价对象XX用房的比较价格（楼面单价，元/平方米）</v>
      </c>
      <c r="Q45" s="3418"/>
      <c r="R45" s="3419" t="e">
        <f>ROUND(AVERAGE(R44:V44),0)</f>
        <v>#DIV/0!</v>
      </c>
      <c r="S45" s="3419"/>
      <c r="T45" s="3419"/>
      <c r="U45" s="3419"/>
      <c r="V45" s="3419"/>
      <c r="W45" s="3419"/>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2295</v>
      </c>
      <c r="E52" s="631" t="s">
        <v>562</v>
      </c>
      <c r="F52" s="1951" t="s">
        <v>563</v>
      </c>
      <c r="G52" s="3421" t="s">
        <v>2286</v>
      </c>
      <c r="H52" s="3422"/>
      <c r="I52" s="1952" t="s">
        <v>1948</v>
      </c>
      <c r="J52" s="1555" t="str">
        <f>项目基本情况!F41</f>
        <v>江苏省盐城市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116451.76</v>
      </c>
      <c r="F53" s="1950" t="e">
        <f t="shared" ref="F53:F62" si="15">ROUND(B53*E53/10000,0)</f>
        <v>#DIV/0!</v>
      </c>
      <c r="G53" s="3423"/>
      <c r="H53" s="3424"/>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25" t="s">
        <v>2287</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25"/>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25"/>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25"/>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46580.7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2019-5-1</v>
      </c>
      <c r="D65" s="2799">
        <f>EDATE(C65,-3)</f>
        <v>43497</v>
      </c>
      <c r="E65" s="2799">
        <f t="shared" ref="E65:N65" si="18">EDATE(D65,-3)</f>
        <v>43405</v>
      </c>
      <c r="F65" s="2799">
        <f t="shared" si="18"/>
        <v>43313</v>
      </c>
      <c r="G65" s="2799">
        <f t="shared" si="18"/>
        <v>43221</v>
      </c>
      <c r="H65" s="2799">
        <f t="shared" si="18"/>
        <v>43132</v>
      </c>
      <c r="I65" s="2799">
        <f t="shared" si="18"/>
        <v>43040</v>
      </c>
      <c r="J65" s="2799">
        <f t="shared" si="18"/>
        <v>42948</v>
      </c>
      <c r="K65" s="2799">
        <f t="shared" si="18"/>
        <v>42856</v>
      </c>
      <c r="L65" s="2799">
        <f t="shared" si="18"/>
        <v>42767</v>
      </c>
      <c r="M65" s="2799">
        <f t="shared" si="18"/>
        <v>42675</v>
      </c>
      <c r="N65" s="2799">
        <f t="shared" si="18"/>
        <v>42583</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2533</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2648</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2548</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2550</v>
      </c>
      <c r="C95" s="2598" t="s">
        <v>2551</v>
      </c>
      <c r="D95" s="2598" t="s">
        <v>2552</v>
      </c>
      <c r="E95" s="2598" t="s">
        <v>2553</v>
      </c>
      <c r="F95" s="2598" t="s">
        <v>2554</v>
      </c>
      <c r="G95" s="2598" t="s">
        <v>2555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3" sqref="A43:XFD4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52"/>
      <c r="G1" s="1401"/>
      <c r="H1" s="1401"/>
      <c r="I1" s="1401"/>
      <c r="J1" s="1401"/>
      <c r="K1" s="1401"/>
      <c r="L1" s="1882" t="s">
        <v>2240</v>
      </c>
      <c r="M1" s="1883">
        <f>SUMPRODUCT((区片价!B5:B9=I2)*(区片价!C3:F3=E2)*(区片价!C5:F9))</f>
        <v>0</v>
      </c>
      <c r="N1" s="1884">
        <f>SUMPRODUCT((因素修正幅度!B5:B9=I2)*(因素修正幅度!C3:F3=E2)*(因素修正幅度!C5:F9))</f>
        <v>0</v>
      </c>
      <c r="O1" s="2189"/>
      <c r="P1" s="2189"/>
      <c r="Q1" s="2189"/>
      <c r="R1" s="2936" t="s">
        <v>2761</v>
      </c>
      <c r="S1" s="2936" t="s">
        <v>2762</v>
      </c>
      <c r="T1" s="2936" t="s">
        <v>2783</v>
      </c>
      <c r="U1" s="2936" t="s">
        <v>2784</v>
      </c>
      <c r="V1" s="2936" t="s">
        <v>2785</v>
      </c>
      <c r="W1" s="2189"/>
      <c r="X1" s="2189"/>
      <c r="Y1" s="2189"/>
      <c r="Z1" s="2189"/>
      <c r="AA1" s="2189"/>
      <c r="AB1" s="2189"/>
      <c r="AC1" s="2190"/>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1" t="s">
        <v>1688</v>
      </c>
      <c r="B3" s="1038" t="e">
        <f>ROUND(B2*10000/D1,0)</f>
        <v>#DIV/0!</v>
      </c>
      <c r="C3" s="1407" t="s">
        <v>927</v>
      </c>
      <c r="D3" s="1408" t="s">
        <v>928</v>
      </c>
      <c r="E3" s="1412"/>
      <c r="F3" s="1413" t="s">
        <v>2934</v>
      </c>
      <c r="G3" s="1039">
        <f>IF(F3="宗地容积率",'数据-汇总表'!I4,IF(F3="估价对象容积率",'数据-汇总表'!I6,'数据-汇总表'!I7))</f>
        <v>2.5</v>
      </c>
      <c r="H3" s="1414" t="s">
        <v>929</v>
      </c>
      <c r="I3" s="1040">
        <v>8</v>
      </c>
      <c r="J3" s="1410" t="s">
        <v>930</v>
      </c>
      <c r="K3" s="1401"/>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1"/>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1" customFormat="1" ht="15.75" thickBot="1">
      <c r="A5" s="1638" t="s">
        <v>1824</v>
      </c>
      <c r="B5" s="1415" t="s">
        <v>931</v>
      </c>
      <c r="C5" s="1041" t="e">
        <f>ROUND(IF(E2="商业",IF(F16="增加",C6*C7+C16,C6*C7-C16),IF(E2="住宅",IF(F16="增加",C6*C12+C16,C6*C12-C16),IF(F16="增加",C6+C16,C6-C16))),0)</f>
        <v>#DIV/0!</v>
      </c>
      <c r="D5" s="3121">
        <f>ROUND(IF(E2="商业",IF(F16="增加",C6+C16,C6-C16)),0)</f>
        <v>0</v>
      </c>
      <c r="E5" s="1416"/>
      <c r="F5" s="1416"/>
      <c r="G5" s="1417"/>
      <c r="H5" s="1417"/>
      <c r="I5" s="1417"/>
      <c r="J5" s="1418"/>
      <c r="K5" s="1594"/>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9"/>
      <c r="AE6" s="1419"/>
      <c r="AF6" s="1419"/>
      <c r="AG6" s="1419"/>
      <c r="AH6" s="1419"/>
      <c r="AI6" s="1419"/>
      <c r="AJ6" s="1420"/>
    </row>
    <row r="7" spans="1:39" ht="24">
      <c r="A7" s="3433" t="str">
        <f>IF(E2="商业",IF(C8="不临58条商业街","",2),"")</f>
        <v/>
      </c>
      <c r="B7" s="1427" t="s">
        <v>932</v>
      </c>
      <c r="C7" s="1043" t="e">
        <f>IF(C8="不临58条商业街",1,ROUND(1+(1.6*E8+1.2*E9+0.8*E10+0.4*E11)*C9,4))</f>
        <v>#DIV/0!</v>
      </c>
      <c r="D7" s="1428" t="s">
        <v>933</v>
      </c>
      <c r="E7" s="1044"/>
      <c r="F7" s="1429"/>
      <c r="G7" s="1430"/>
      <c r="H7" s="1430"/>
      <c r="I7" s="1430"/>
      <c r="J7" s="1431"/>
      <c r="K7" s="1595"/>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2764</v>
      </c>
      <c r="X7" s="2927">
        <f>G2</f>
        <v>0</v>
      </c>
      <c r="Y7" s="2927" t="s">
        <v>2765</v>
      </c>
      <c r="Z7" s="2928">
        <f>G3</f>
        <v>2.5</v>
      </c>
      <c r="AA7" s="2192"/>
      <c r="AB7" s="2192"/>
      <c r="AC7" s="2193"/>
      <c r="AD7" s="2929"/>
      <c r="AE7" s="2929"/>
      <c r="AF7" s="2929"/>
      <c r="AG7" s="2929"/>
      <c r="AH7" s="2929"/>
      <c r="AI7" s="2929"/>
      <c r="AJ7" s="2930"/>
    </row>
    <row r="8" spans="1:39" ht="15">
      <c r="A8" s="3434"/>
      <c r="B8" s="1414" t="s">
        <v>934</v>
      </c>
      <c r="C8" s="1529"/>
      <c r="D8" s="1045" t="s">
        <v>935</v>
      </c>
      <c r="E8" s="1046" t="e">
        <f>ROUND(C11/E7,4)</f>
        <v>#DIV/0!</v>
      </c>
      <c r="F8" s="1432" t="s">
        <v>936</v>
      </c>
      <c r="G8" s="1433"/>
      <c r="H8" s="1433"/>
      <c r="I8" s="1433"/>
      <c r="J8" s="1434"/>
      <c r="K8" s="1401"/>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43" t="s">
        <v>2782</v>
      </c>
      <c r="X8" s="3444"/>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34"/>
      <c r="B9" s="1414" t="s">
        <v>937</v>
      </c>
      <c r="C9" s="1047">
        <f>SUMIF(修正!C59:C119,C8,修正!E59:E119)</f>
        <v>0</v>
      </c>
      <c r="D9" s="1048" t="s">
        <v>938</v>
      </c>
      <c r="E9" s="1048" t="e">
        <f>ROUND(C11/E7,4)</f>
        <v>#DIV/0!</v>
      </c>
      <c r="F9" s="1432" t="s">
        <v>939</v>
      </c>
      <c r="G9" s="1433"/>
      <c r="H9" s="1433"/>
      <c r="I9" s="1433"/>
      <c r="J9" s="1434"/>
      <c r="K9" s="1401"/>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42" t="s">
        <v>2778</v>
      </c>
      <c r="X9" s="2931" t="s">
        <v>2779</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4"/>
      <c r="B10" s="1414" t="s">
        <v>940</v>
      </c>
      <c r="C10" s="1048">
        <f>SUMIF(修正!C59:C119,C8,修正!F59:F119)</f>
        <v>0</v>
      </c>
      <c r="D10" s="1048" t="s">
        <v>941</v>
      </c>
      <c r="E10" s="1048" t="e">
        <f>ROUND(C11/E7,4)</f>
        <v>#DIV/0!</v>
      </c>
      <c r="F10" s="1432" t="s">
        <v>942</v>
      </c>
      <c r="G10" s="1433"/>
      <c r="H10" s="1433"/>
      <c r="I10" s="1433"/>
      <c r="J10" s="1434"/>
      <c r="K10" s="1401"/>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42"/>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4"/>
      <c r="B11" s="1435" t="s">
        <v>943</v>
      </c>
      <c r="C11" s="1049">
        <f>C10/4</f>
        <v>0</v>
      </c>
      <c r="D11" s="1049" t="s">
        <v>944</v>
      </c>
      <c r="E11" s="1049" t="e">
        <f>ROUND(C11/E7,4)</f>
        <v>#DIV/0!</v>
      </c>
      <c r="F11" s="1436" t="s">
        <v>945</v>
      </c>
      <c r="G11" s="1437"/>
      <c r="H11" s="1437"/>
      <c r="I11" s="1437"/>
      <c r="J11" s="1438"/>
      <c r="K11" s="1401"/>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42" t="s">
        <v>2780</v>
      </c>
      <c r="X11" s="1048" t="s">
        <v>2765</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33" t="s">
        <v>1872</v>
      </c>
      <c r="B12" s="1439" t="s">
        <v>946</v>
      </c>
      <c r="C12" s="1043">
        <f>ROUND(C15*D15*E15*F15*G15*H15*I15*J15,4)</f>
        <v>1</v>
      </c>
      <c r="D12" s="1440" t="s">
        <v>947</v>
      </c>
      <c r="E12" s="1441"/>
      <c r="F12" s="1441"/>
      <c r="G12" s="1442"/>
      <c r="H12" s="1442"/>
      <c r="I12" s="1442"/>
      <c r="J12" s="1443"/>
      <c r="K12" s="1401"/>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42"/>
      <c r="X12" s="2934" t="s">
        <v>2781</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5"/>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37">
        <v>12</v>
      </c>
      <c r="S13" s="2926"/>
      <c r="T13" s="2937" t="e">
        <f t="shared" si="0"/>
        <v>#DIV/0!</v>
      </c>
      <c r="U13" s="2926"/>
      <c r="V13" s="2937" t="e">
        <f t="shared" si="1"/>
        <v>#DIV/0!</v>
      </c>
      <c r="W13" s="3442"/>
      <c r="X13" s="2934"/>
      <c r="Y13" s="2933">
        <f>(-0.163*(Y12^2)-0.59*Y12+7617)*(10^(-4))/Y11</f>
        <v>0.30468000000000001</v>
      </c>
      <c r="Z13" s="2933">
        <f t="shared" ref="Z13:AJ13" si="5">(-0.163*(Z12^2)-0.59*Z12+7617)*(10^(-4))/Z11</f>
        <v>0.30468000000000001</v>
      </c>
      <c r="AA13" s="2933">
        <f t="shared" si="5"/>
        <v>0.30468000000000001</v>
      </c>
      <c r="AB13" s="2933">
        <f t="shared" si="5"/>
        <v>0.30468000000000001</v>
      </c>
      <c r="AC13" s="2933">
        <f t="shared" si="5"/>
        <v>0.30468000000000001</v>
      </c>
      <c r="AD13" s="2933">
        <f t="shared" si="5"/>
        <v>0.30468000000000001</v>
      </c>
      <c r="AE13" s="2933">
        <f t="shared" si="5"/>
        <v>0.30468000000000001</v>
      </c>
      <c r="AF13" s="2933">
        <f t="shared" si="5"/>
        <v>0.30468000000000001</v>
      </c>
      <c r="AG13" s="2933">
        <f t="shared" si="5"/>
        <v>0.30468000000000001</v>
      </c>
      <c r="AH13" s="2933">
        <f t="shared" si="5"/>
        <v>0.30468000000000001</v>
      </c>
      <c r="AI13" s="2933">
        <f t="shared" si="5"/>
        <v>0.30468000000000001</v>
      </c>
      <c r="AJ13" s="2933">
        <f t="shared" si="5"/>
        <v>0.30468000000000001</v>
      </c>
    </row>
    <row r="14" spans="1:39" ht="12.75" customHeight="1" thickBot="1">
      <c r="A14" s="3435"/>
      <c r="B14" s="1451"/>
      <c r="C14" s="1452"/>
      <c r="D14" s="1453"/>
      <c r="E14" s="1453"/>
      <c r="F14" s="1454"/>
      <c r="G14" s="1455" t="s">
        <v>949</v>
      </c>
      <c r="H14" s="1456"/>
      <c r="I14" s="1457"/>
      <c r="J14" s="1458"/>
      <c r="K14" s="1401"/>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37">
        <v>14</v>
      </c>
      <c r="S15" s="2926"/>
      <c r="T15" s="2937" t="e">
        <f t="shared" si="0"/>
        <v>#DIV/0!</v>
      </c>
      <c r="U15" s="2926"/>
      <c r="V15" s="2937" t="e">
        <f t="shared" si="1"/>
        <v>#DIV/0!</v>
      </c>
      <c r="W15" s="2189"/>
      <c r="X15" s="2189"/>
      <c r="Y15" s="2189"/>
      <c r="Z15" s="2189"/>
      <c r="AA15" s="2189"/>
      <c r="AB15" s="2189"/>
      <c r="AC15" s="2190"/>
    </row>
    <row r="16" spans="1:39" ht="24">
      <c r="A16" s="3433"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4"/>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72" t="s">
        <v>956</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43606</v>
      </c>
      <c r="H19" s="1475" t="s">
        <v>2935</v>
      </c>
      <c r="I19" s="2784" t="str">
        <f>IF(H19="季度增幅（自定义）",SUMIF(N21:N24,E2,O21:O24),"")</f>
        <v/>
      </c>
      <c r="J19" s="1471"/>
      <c r="K19" s="1481"/>
      <c r="L19" s="3040" t="s">
        <v>2840</v>
      </c>
      <c r="M19" s="3041">
        <f>ROUND(SUMIF(地价!B2:F2,E2,地价!B23:F23),0)</f>
        <v>0</v>
      </c>
      <c r="N19" s="2786" t="s">
        <v>1677</v>
      </c>
      <c r="O19" s="2785">
        <f>ROUNDDOWN(DATEDIF(E19,G19,"M")/3,0)</f>
        <v>21</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1837</v>
      </c>
      <c r="B20" s="2779" t="s">
        <v>972</v>
      </c>
      <c r="C20" s="2780" t="e">
        <f>ROUND(POWER(1+G20,J20-I20)*(POWER(1+G20,I20)-1)/(POWER(1+G20,J20)-1),4)</f>
        <v>#DIV/0!</v>
      </c>
      <c r="D20" s="2781" t="s">
        <v>973</v>
      </c>
      <c r="E20" s="3096">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1"/>
      <c r="L20" s="3042" t="s">
        <v>2841</v>
      </c>
      <c r="M20" s="3043">
        <f>ROUND(SUMPRODUCT((地价!A4:A23=YEAR(G19)&amp;"-"&amp;ROUNDUP(MONTH(G19)/3,0))*(地价!B2:F2=E2)*(地价!B4:F23)),0)</f>
        <v>0</v>
      </c>
      <c r="N20" s="2789" t="s">
        <v>2645</v>
      </c>
      <c r="O20" s="2787" t="s">
        <v>2644</v>
      </c>
      <c r="P20" s="2788" t="s">
        <v>2649</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1838</v>
      </c>
      <c r="B21" s="1480" t="s">
        <v>2760</v>
      </c>
      <c r="C21" s="1158">
        <f>IF(B21="容积率修正",IF(G3&lt;=10,D22,J22),C23)</f>
        <v>0</v>
      </c>
      <c r="D21" s="1481"/>
      <c r="E21" s="1481"/>
      <c r="F21" s="1481"/>
      <c r="G21" s="1481"/>
      <c r="H21" s="1481"/>
      <c r="I21" s="1481"/>
      <c r="J21" s="1482"/>
      <c r="K21" s="1481"/>
      <c r="L21" s="1481"/>
      <c r="M21" s="1481"/>
      <c r="N21" s="1478" t="s">
        <v>976</v>
      </c>
      <c r="O21" s="1542"/>
      <c r="P21" s="2769">
        <f>SUMPRODUCT((地价!A3:A23=YEAR(G19)&amp;"-"&amp;ROUNDUP(MONTH(G19)/3,0))*(地价!AD2:AH2=N21)*(地价!AD3:AH23))</f>
        <v>0</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69">
        <f>SUMPRODUCT((地价!A3:A23=YEAR(G19)&amp;"-"&amp;ROUNDUP(MONTH(G19)/3,0))*(地价!AD2:AH2=N22)*(地价!AD3:AH23))</f>
        <v>0</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69">
        <f>SUMPRODUCT((地价!A3:A23=YEAR(G19)&amp;"-"&amp;ROUNDUP(MONTH(G19)/3,0))*(地价!AD2:AH2=N23)*(地价!AD3:AH23))</f>
        <v>0</v>
      </c>
      <c r="R23" s="2925"/>
      <c r="S23" s="2925"/>
      <c r="T23" s="2925"/>
      <c r="U23" s="2925"/>
      <c r="V23" s="2925"/>
      <c r="W23" s="2195"/>
      <c r="X23" s="2195"/>
      <c r="Y23" s="2195"/>
      <c r="Z23" s="2195"/>
      <c r="AA23" s="2195"/>
      <c r="AB23" s="2195"/>
      <c r="AC23" s="2195"/>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0</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97" t="s">
        <v>2647</v>
      </c>
      <c r="O25" s="2195"/>
      <c r="P25" s="1541">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89"/>
      <c r="B26" s="1483" t="s">
        <v>987</v>
      </c>
      <c r="C26" s="1063" t="e">
        <f>E29+SUM(E33:E39)</f>
        <v>#DIV/0!</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994</v>
      </c>
      <c r="C29" s="1063" t="e">
        <f>ROUND(C5*C18*C19*C20*C21*C24,0)</f>
        <v>#DIV/0!</v>
      </c>
      <c r="D29" s="1504"/>
      <c r="E29" s="1849" t="e">
        <f>ROUND(C29*D29/10000,0)</f>
        <v>#DIV/0!</v>
      </c>
      <c r="F29" s="1505" t="s">
        <v>1702</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995</v>
      </c>
      <c r="C30" s="1051"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9" t="s">
        <v>2961</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40"/>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40"/>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1"/>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1007</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1008</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408" t="s">
        <v>1010</v>
      </c>
      <c r="C46" s="2430" t="s">
        <v>1011</v>
      </c>
      <c r="D46" s="2431" t="s">
        <v>1012</v>
      </c>
      <c r="E46" s="2432" t="s">
        <v>1014</v>
      </c>
      <c r="F46" s="2433" t="s">
        <v>2252</v>
      </c>
      <c r="G46" s="2431" t="s">
        <v>1015</v>
      </c>
      <c r="H46" s="2414" t="s">
        <v>2418</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98" t="s">
        <v>2937</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97" t="s">
        <v>2936</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1030</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408"/>
      <c r="C57" s="2430" t="s">
        <v>1011</v>
      </c>
      <c r="D57" s="2431" t="s">
        <v>1012</v>
      </c>
      <c r="E57" s="2432" t="s">
        <v>1014</v>
      </c>
      <c r="F57" s="2433" t="s">
        <v>2253</v>
      </c>
      <c r="G57" s="2431" t="s">
        <v>1015</v>
      </c>
      <c r="H57" s="2414" t="s">
        <v>2418</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98" t="s">
        <v>2938</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97" t="s">
        <v>2936</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1032</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408"/>
      <c r="C68" s="2430" t="s">
        <v>1011</v>
      </c>
      <c r="D68" s="2431" t="s">
        <v>1012</v>
      </c>
      <c r="E68" s="2432" t="s">
        <v>1014</v>
      </c>
      <c r="F68" s="2433" t="s">
        <v>2254</v>
      </c>
      <c r="G68" s="2431" t="s">
        <v>1015</v>
      </c>
      <c r="H68" s="2414" t="s">
        <v>2418</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097" t="s">
        <v>2936</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1036</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1037</v>
      </c>
      <c r="B78" s="2425">
        <f>1+E80</f>
        <v>1</v>
      </c>
      <c r="C78" s="2444"/>
      <c r="D78" s="2427"/>
      <c r="E78" s="2428"/>
      <c r="F78" s="2429"/>
      <c r="G78" s="2423"/>
      <c r="H78" s="2423"/>
      <c r="I78" s="2423"/>
      <c r="J78" s="1066"/>
      <c r="K78" s="1066"/>
      <c r="L78" s="1066"/>
      <c r="M78" s="1066"/>
      <c r="N78" s="1066"/>
      <c r="AC78" s="1405"/>
      <c r="AD78" s="1404"/>
      <c r="AJ78" s="1403"/>
      <c r="AN78" s="1404"/>
    </row>
    <row r="79" spans="1:40" ht="24">
      <c r="A79" s="1067" t="s">
        <v>1009</v>
      </c>
      <c r="B79" s="2408"/>
      <c r="C79" s="2430" t="s">
        <v>1011</v>
      </c>
      <c r="D79" s="2431" t="s">
        <v>1012</v>
      </c>
      <c r="E79" s="2432" t="s">
        <v>1014</v>
      </c>
      <c r="F79" s="2433" t="s">
        <v>2255</v>
      </c>
      <c r="G79" s="2431" t="s">
        <v>1015</v>
      </c>
      <c r="H79" s="2414" t="s">
        <v>2418</v>
      </c>
      <c r="I79" s="2431" t="s">
        <v>1013</v>
      </c>
      <c r="J79" s="2434" t="s">
        <v>1016</v>
      </c>
      <c r="K79" s="2434" t="s">
        <v>1017</v>
      </c>
      <c r="L79" s="2434" t="s">
        <v>1018</v>
      </c>
      <c r="M79" s="2434" t="s">
        <v>1019</v>
      </c>
      <c r="N79" s="2434" t="s">
        <v>1020</v>
      </c>
      <c r="AC79" s="1405"/>
      <c r="AD79" s="1404"/>
      <c r="AJ79" s="1403"/>
      <c r="AN79" s="1404"/>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7" t="s">
        <v>1026</v>
      </c>
      <c r="B86" s="3097" t="s">
        <v>2936</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37" t="s">
        <v>1634</v>
      </c>
      <c r="B90" s="3437"/>
      <c r="C90" s="3437"/>
      <c r="D90" s="3437"/>
      <c r="E90" s="3437"/>
      <c r="F90" s="3437"/>
      <c r="G90" s="3437"/>
      <c r="H90" s="3437"/>
      <c r="I90" s="3437"/>
      <c r="J90" s="3437"/>
      <c r="K90" s="2450"/>
      <c r="L90" s="2450"/>
      <c r="M90" s="2450"/>
      <c r="N90" s="2450"/>
    </row>
    <row r="91" spans="1:40">
      <c r="A91" s="3438" t="s">
        <v>1444</v>
      </c>
      <c r="B91" s="3438" t="s">
        <v>1635</v>
      </c>
      <c r="C91" s="1140" t="s">
        <v>1636</v>
      </c>
      <c r="D91" s="1141"/>
      <c r="E91" s="1141"/>
      <c r="F91" s="1141"/>
      <c r="G91" s="1141"/>
      <c r="H91" s="1141"/>
      <c r="I91" s="1141"/>
      <c r="J91" s="1142"/>
      <c r="K91" s="1134"/>
      <c r="L91" s="1134"/>
      <c r="M91" s="1134"/>
      <c r="N91" s="1134"/>
    </row>
    <row r="92" spans="1:40">
      <c r="A92" s="3438"/>
      <c r="B92" s="3438"/>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4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5"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46"/>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46"/>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46"/>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46"/>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46"/>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46"/>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46"/>
      <c r="B108" s="344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7"/>
      <c r="B109" s="3449"/>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32" t="s">
        <v>1640</v>
      </c>
      <c r="B110" s="3432"/>
      <c r="C110" s="3432"/>
      <c r="D110" s="3432"/>
      <c r="E110" s="3432"/>
      <c r="F110" s="3432"/>
      <c r="G110" s="3432"/>
      <c r="H110" s="3432"/>
      <c r="I110" s="3432"/>
      <c r="J110" s="3432"/>
      <c r="K110" s="2448"/>
      <c r="L110" s="2448"/>
      <c r="M110" s="2448"/>
      <c r="N110" s="2448"/>
    </row>
    <row r="112" spans="1:14" ht="12.75" thickBot="1"/>
    <row r="113" spans="1:13" ht="25.5" thickBot="1">
      <c r="A113" s="1016" t="s">
        <v>896</v>
      </c>
      <c r="B113" s="2451">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38" t="s">
        <v>1008</v>
      </c>
      <c r="B18" s="1154" t="s">
        <v>1447</v>
      </c>
      <c r="C18" s="1131" t="s">
        <v>1448</v>
      </c>
      <c r="D18" s="1132"/>
      <c r="E18" s="1154">
        <v>1</v>
      </c>
      <c r="F18" s="1133" t="s">
        <v>1449</v>
      </c>
      <c r="G18" s="1134"/>
      <c r="H18" s="1105"/>
      <c r="I18" s="1105"/>
    </row>
    <row r="19" spans="1:9" s="1599" customFormat="1" ht="19.5" customHeight="1">
      <c r="A19" s="3438"/>
      <c r="B19" s="3438" t="s">
        <v>1450</v>
      </c>
      <c r="C19" s="1131" t="s">
        <v>1451</v>
      </c>
      <c r="D19" s="1132"/>
      <c r="E19" s="1154">
        <v>0.9</v>
      </c>
      <c r="F19" s="1133" t="s">
        <v>1452</v>
      </c>
      <c r="G19" s="1134"/>
      <c r="H19" s="1105"/>
      <c r="I19" s="1105"/>
    </row>
    <row r="20" spans="1:9" s="1599" customFormat="1" ht="19.5" customHeight="1">
      <c r="A20" s="3438"/>
      <c r="B20" s="3438"/>
      <c r="C20" s="1131" t="s">
        <v>1453</v>
      </c>
      <c r="D20" s="1132"/>
      <c r="E20" s="1154">
        <v>1.1000000000000001</v>
      </c>
      <c r="F20" s="1133" t="s">
        <v>1454</v>
      </c>
      <c r="G20" s="1134"/>
      <c r="H20" s="1105"/>
      <c r="I20" s="1105"/>
    </row>
    <row r="21" spans="1:9" s="1599" customFormat="1" ht="19.5" customHeight="1">
      <c r="A21" s="3438"/>
      <c r="B21" s="3438"/>
      <c r="C21" s="1131" t="s">
        <v>1455</v>
      </c>
      <c r="D21" s="1132"/>
      <c r="E21" s="1154">
        <v>0.8</v>
      </c>
      <c r="F21" s="1133" t="s">
        <v>1456</v>
      </c>
      <c r="G21" s="1134"/>
      <c r="H21" s="1105"/>
      <c r="I21" s="1105"/>
    </row>
    <row r="22" spans="1:9" s="1599" customFormat="1" ht="19.5" customHeight="1">
      <c r="A22" s="3438"/>
      <c r="B22" s="3438"/>
      <c r="C22" s="1131" t="s">
        <v>1457</v>
      </c>
      <c r="D22" s="1132"/>
      <c r="E22" s="1154">
        <v>0.5</v>
      </c>
      <c r="F22" s="1133"/>
      <c r="G22" s="1134"/>
      <c r="H22" s="1105"/>
      <c r="I22" s="1105"/>
    </row>
    <row r="23" spans="1:9" s="1599" customFormat="1" ht="19.5" customHeight="1">
      <c r="A23" s="3438" t="s">
        <v>1030</v>
      </c>
      <c r="B23" s="1154" t="s">
        <v>1447</v>
      </c>
      <c r="C23" s="1131" t="s">
        <v>1458</v>
      </c>
      <c r="D23" s="1132"/>
      <c r="E23" s="1154">
        <v>1</v>
      </c>
      <c r="F23" s="1133" t="s">
        <v>1459</v>
      </c>
      <c r="G23" s="1134"/>
      <c r="H23" s="1105"/>
      <c r="I23" s="1105"/>
    </row>
    <row r="24" spans="1:9" s="1599" customFormat="1" ht="19.5" customHeight="1">
      <c r="A24" s="3438"/>
      <c r="B24" s="3438" t="s">
        <v>1450</v>
      </c>
      <c r="C24" s="1131" t="s">
        <v>1460</v>
      </c>
      <c r="D24" s="1132"/>
      <c r="E24" s="1154">
        <v>0.5</v>
      </c>
      <c r="F24" s="1133"/>
      <c r="G24" s="1134"/>
      <c r="H24" s="1105"/>
      <c r="I24" s="1105"/>
    </row>
    <row r="25" spans="1:9" s="1599" customFormat="1" ht="19.5" customHeight="1">
      <c r="A25" s="3438"/>
      <c r="B25" s="3438"/>
      <c r="C25" s="1131" t="s">
        <v>1461</v>
      </c>
      <c r="D25" s="1132"/>
      <c r="E25" s="1154">
        <v>1.1000000000000001</v>
      </c>
      <c r="F25" s="1133"/>
      <c r="G25" s="1134"/>
      <c r="H25" s="1105"/>
      <c r="I25" s="1105"/>
    </row>
    <row r="26" spans="1:9" s="1599" customFormat="1" ht="19.5" customHeight="1">
      <c r="A26" s="3438"/>
      <c r="B26" s="3438"/>
      <c r="C26" s="1131" t="s">
        <v>1462</v>
      </c>
      <c r="D26" s="1132"/>
      <c r="E26" s="1154">
        <v>1.1000000000000001</v>
      </c>
      <c r="F26" s="1133"/>
      <c r="G26" s="1134"/>
      <c r="H26" s="1105"/>
      <c r="I26" s="1105"/>
    </row>
    <row r="27" spans="1:9" s="1599" customFormat="1" ht="19.5" customHeight="1">
      <c r="A27" s="3438"/>
      <c r="B27" s="3438"/>
      <c r="C27" s="1131" t="s">
        <v>1463</v>
      </c>
      <c r="D27" s="1132"/>
      <c r="E27" s="1154">
        <v>0.9</v>
      </c>
      <c r="F27" s="1133" t="s">
        <v>1464</v>
      </c>
      <c r="G27" s="1134"/>
      <c r="H27" s="1105"/>
      <c r="I27" s="1105"/>
    </row>
    <row r="28" spans="1:9" s="1599" customFormat="1" ht="19.5" customHeight="1">
      <c r="A28" s="3438"/>
      <c r="B28" s="3438"/>
      <c r="C28" s="1131" t="s">
        <v>1465</v>
      </c>
      <c r="D28" s="1132"/>
      <c r="E28" s="1154">
        <v>0.9</v>
      </c>
      <c r="F28" s="1133" t="s">
        <v>1466</v>
      </c>
      <c r="G28" s="1134"/>
      <c r="H28" s="1105"/>
      <c r="I28" s="1105"/>
    </row>
    <row r="29" spans="1:9" s="1599" customFormat="1" ht="19.5" customHeight="1">
      <c r="A29" s="3438"/>
      <c r="B29" s="3438"/>
      <c r="C29" s="1131" t="s">
        <v>1467</v>
      </c>
      <c r="D29" s="1132"/>
      <c r="E29" s="1154">
        <v>0.9</v>
      </c>
      <c r="F29" s="1133" t="s">
        <v>1468</v>
      </c>
      <c r="G29" s="1134"/>
      <c r="H29" s="1105"/>
      <c r="I29" s="1105"/>
    </row>
    <row r="30" spans="1:9" s="1599" customFormat="1" ht="19.5" customHeight="1">
      <c r="A30" s="3438"/>
      <c r="B30" s="3438"/>
      <c r="C30" s="1131" t="s">
        <v>1469</v>
      </c>
      <c r="D30" s="1132"/>
      <c r="E30" s="1154">
        <v>0.9</v>
      </c>
      <c r="F30" s="1133" t="s">
        <v>1470</v>
      </c>
      <c r="G30" s="1134"/>
      <c r="H30" s="1105"/>
      <c r="I30" s="1105"/>
    </row>
    <row r="31" spans="1:9" s="1599" customFormat="1" ht="19.5" customHeight="1">
      <c r="A31" s="3438"/>
      <c r="B31" s="3438"/>
      <c r="C31" s="1131" t="s">
        <v>1471</v>
      </c>
      <c r="D31" s="1132"/>
      <c r="E31" s="1154">
        <v>0.8</v>
      </c>
      <c r="F31" s="1133" t="s">
        <v>1472</v>
      </c>
      <c r="G31" s="1134"/>
      <c r="H31" s="1105"/>
      <c r="I31" s="1105"/>
    </row>
    <row r="32" spans="1:9" s="1599" customFormat="1" ht="19.5" customHeight="1">
      <c r="A32" s="3438"/>
      <c r="B32" s="3438"/>
      <c r="C32" s="1131" t="s">
        <v>1473</v>
      </c>
      <c r="D32" s="1132"/>
      <c r="E32" s="1154">
        <v>0.8</v>
      </c>
      <c r="F32" s="1133" t="s">
        <v>1474</v>
      </c>
      <c r="G32" s="1134"/>
      <c r="H32" s="1105"/>
      <c r="I32" s="1105"/>
    </row>
    <row r="33" spans="1:9" s="1599" customFormat="1" ht="19.5" customHeight="1">
      <c r="A33" s="3438" t="s">
        <v>1475</v>
      </c>
      <c r="B33" s="1154" t="s">
        <v>1447</v>
      </c>
      <c r="C33" s="1131" t="s">
        <v>1476</v>
      </c>
      <c r="D33" s="1132"/>
      <c r="E33" s="1154">
        <v>1</v>
      </c>
      <c r="F33" s="1133" t="s">
        <v>1477</v>
      </c>
      <c r="G33" s="1134"/>
      <c r="H33" s="1105"/>
      <c r="I33" s="1105"/>
    </row>
    <row r="34" spans="1:9" s="1599" customFormat="1" ht="19.5" customHeight="1">
      <c r="A34" s="3438"/>
      <c r="B34" s="1154" t="s">
        <v>1450</v>
      </c>
      <c r="C34" s="1131" t="s">
        <v>1478</v>
      </c>
      <c r="D34" s="1132"/>
      <c r="E34" s="1154">
        <v>1.5</v>
      </c>
      <c r="F34" s="1133" t="s">
        <v>1479</v>
      </c>
      <c r="G34" s="1134"/>
      <c r="H34" s="1105"/>
      <c r="I34" s="1105"/>
    </row>
    <row r="35" spans="1:9" s="1599" customFormat="1" ht="19.5" customHeight="1">
      <c r="A35" s="3438" t="s">
        <v>1433</v>
      </c>
      <c r="B35" s="1154" t="s">
        <v>1447</v>
      </c>
      <c r="C35" s="1131" t="s">
        <v>1480</v>
      </c>
      <c r="D35" s="1132"/>
      <c r="E35" s="1154">
        <v>1</v>
      </c>
      <c r="F35" s="1133" t="s">
        <v>1481</v>
      </c>
      <c r="G35" s="1134"/>
      <c r="H35" s="1105"/>
      <c r="I35" s="1105"/>
    </row>
    <row r="36" spans="1:9" s="1599" customFormat="1" ht="19.5" customHeight="1">
      <c r="A36" s="3438"/>
      <c r="B36" s="3438" t="s">
        <v>1450</v>
      </c>
      <c r="C36" s="1131" t="s">
        <v>1482</v>
      </c>
      <c r="D36" s="1132"/>
      <c r="E36" s="1154">
        <v>1</v>
      </c>
      <c r="F36" s="1133" t="s">
        <v>1483</v>
      </c>
      <c r="G36" s="1134"/>
      <c r="H36" s="1105"/>
      <c r="I36" s="1105"/>
    </row>
    <row r="37" spans="1:9" s="1599" customFormat="1" ht="19.5" customHeight="1">
      <c r="A37" s="3438"/>
      <c r="B37" s="3438"/>
      <c r="C37" s="1131" t="s">
        <v>1484</v>
      </c>
      <c r="D37" s="1132"/>
      <c r="E37" s="1154">
        <v>1.5</v>
      </c>
      <c r="F37" s="1133" t="s">
        <v>1485</v>
      </c>
      <c r="G37" s="1134"/>
      <c r="H37" s="1105"/>
      <c r="I37" s="1105"/>
    </row>
    <row r="38" spans="1:9" s="1599" customFormat="1" ht="19.5" customHeight="1">
      <c r="A38" s="3438"/>
      <c r="B38" s="3438"/>
      <c r="C38" s="1131" t="s">
        <v>1486</v>
      </c>
      <c r="D38" s="1132"/>
      <c r="E38" s="1154">
        <v>1</v>
      </c>
      <c r="F38" s="1133" t="s">
        <v>1487</v>
      </c>
      <c r="G38" s="1134"/>
      <c r="H38" s="1105"/>
      <c r="I38" s="1105"/>
    </row>
    <row r="39" spans="1:9" s="1599" customFormat="1" ht="19.5" customHeight="1">
      <c r="A39" s="3438"/>
      <c r="B39" s="3438"/>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8" t="s">
        <v>1502</v>
      </c>
      <c r="C61" s="1068" t="s">
        <v>1503</v>
      </c>
      <c r="D61" s="1068" t="s">
        <v>1504</v>
      </c>
      <c r="E61" s="1139">
        <v>0.5</v>
      </c>
      <c r="F61" s="1154">
        <v>80</v>
      </c>
      <c r="H61" s="1105">
        <f>SUMIF(C59:C119,基准地价!C8,E59:E119)</f>
        <v>0</v>
      </c>
    </row>
    <row r="62" spans="1:8" s="1105" customFormat="1" ht="24">
      <c r="A62" s="1154">
        <v>2</v>
      </c>
      <c r="B62" s="3438"/>
      <c r="C62" s="1068" t="s">
        <v>1505</v>
      </c>
      <c r="D62" s="1068" t="s">
        <v>1506</v>
      </c>
      <c r="E62" s="1139">
        <v>0.5</v>
      </c>
      <c r="F62" s="1154">
        <v>80</v>
      </c>
    </row>
    <row r="63" spans="1:8" s="1105" customFormat="1" ht="36">
      <c r="A63" s="1154">
        <v>3</v>
      </c>
      <c r="B63" s="3438"/>
      <c r="C63" s="1068" t="s">
        <v>1507</v>
      </c>
      <c r="D63" s="1068" t="s">
        <v>1508</v>
      </c>
      <c r="E63" s="1139">
        <v>0.5</v>
      </c>
      <c r="F63" s="1154">
        <v>80</v>
      </c>
    </row>
    <row r="64" spans="1:8" s="1105" customFormat="1" ht="36">
      <c r="A64" s="1154">
        <v>4</v>
      </c>
      <c r="B64" s="3438"/>
      <c r="C64" s="1068" t="s">
        <v>1509</v>
      </c>
      <c r="D64" s="1068" t="s">
        <v>1510</v>
      </c>
      <c r="E64" s="1139">
        <v>0.4</v>
      </c>
      <c r="F64" s="1154">
        <v>60</v>
      </c>
    </row>
    <row r="65" spans="1:6" s="1105" customFormat="1" ht="36">
      <c r="A65" s="1154">
        <v>5</v>
      </c>
      <c r="B65" s="3438"/>
      <c r="C65" s="1068" t="s">
        <v>1511</v>
      </c>
      <c r="D65" s="1068" t="s">
        <v>1512</v>
      </c>
      <c r="E65" s="1139">
        <v>0.2</v>
      </c>
      <c r="F65" s="1154">
        <v>30</v>
      </c>
    </row>
    <row r="66" spans="1:6" s="1105" customFormat="1" ht="36">
      <c r="A66" s="1154">
        <v>6</v>
      </c>
      <c r="B66" s="3438"/>
      <c r="C66" s="1068" t="s">
        <v>1513</v>
      </c>
      <c r="D66" s="1068" t="s">
        <v>1514</v>
      </c>
      <c r="E66" s="1139">
        <v>0.3</v>
      </c>
      <c r="F66" s="1154">
        <v>50</v>
      </c>
    </row>
    <row r="67" spans="1:6" s="1105" customFormat="1" ht="36">
      <c r="A67" s="1154">
        <v>7</v>
      </c>
      <c r="B67" s="3438"/>
      <c r="C67" s="1068" t="s">
        <v>1515</v>
      </c>
      <c r="D67" s="1068" t="s">
        <v>1516</v>
      </c>
      <c r="E67" s="1139">
        <v>0.2</v>
      </c>
      <c r="F67" s="1154">
        <v>30</v>
      </c>
    </row>
    <row r="68" spans="1:6" s="1105" customFormat="1" ht="36">
      <c r="A68" s="1154">
        <v>8</v>
      </c>
      <c r="B68" s="3438"/>
      <c r="C68" s="1068" t="s">
        <v>1517</v>
      </c>
      <c r="D68" s="1068" t="s">
        <v>1518</v>
      </c>
      <c r="E68" s="1139">
        <v>0.2</v>
      </c>
      <c r="F68" s="1154">
        <v>30</v>
      </c>
    </row>
    <row r="69" spans="1:6" s="1105" customFormat="1" ht="36">
      <c r="A69" s="1154">
        <v>9</v>
      </c>
      <c r="B69" s="3438"/>
      <c r="C69" s="1068" t="s">
        <v>1519</v>
      </c>
      <c r="D69" s="1068" t="s">
        <v>1520</v>
      </c>
      <c r="E69" s="1139">
        <v>0.2</v>
      </c>
      <c r="F69" s="1154">
        <v>30</v>
      </c>
    </row>
    <row r="70" spans="1:6" s="1105" customFormat="1" ht="48">
      <c r="A70" s="1154">
        <v>10</v>
      </c>
      <c r="B70" s="3438"/>
      <c r="C70" s="1068" t="s">
        <v>1521</v>
      </c>
      <c r="D70" s="1068" t="s">
        <v>1522</v>
      </c>
      <c r="E70" s="1139">
        <v>0.2</v>
      </c>
      <c r="F70" s="1154">
        <v>30</v>
      </c>
    </row>
    <row r="71" spans="1:6" s="1105" customFormat="1" ht="48">
      <c r="A71" s="1154">
        <v>11</v>
      </c>
      <c r="B71" s="3438"/>
      <c r="C71" s="1068" t="s">
        <v>1523</v>
      </c>
      <c r="D71" s="1068" t="s">
        <v>1524</v>
      </c>
      <c r="E71" s="1139">
        <v>0.2</v>
      </c>
      <c r="F71" s="1154">
        <v>30</v>
      </c>
    </row>
    <row r="72" spans="1:6" s="1105" customFormat="1" ht="36">
      <c r="A72" s="1154">
        <v>12</v>
      </c>
      <c r="B72" s="3438"/>
      <c r="C72" s="1068" t="s">
        <v>1525</v>
      </c>
      <c r="D72" s="1068" t="s">
        <v>1526</v>
      </c>
      <c r="E72" s="1139">
        <v>0.5</v>
      </c>
      <c r="F72" s="1154">
        <v>80</v>
      </c>
    </row>
    <row r="73" spans="1:6" s="1105" customFormat="1" ht="24">
      <c r="A73" s="1154">
        <v>13</v>
      </c>
      <c r="B73" s="3438"/>
      <c r="C73" s="1068" t="s">
        <v>1527</v>
      </c>
      <c r="D73" s="1068" t="s">
        <v>1528</v>
      </c>
      <c r="E73" s="1139">
        <v>0.4</v>
      </c>
      <c r="F73" s="1154">
        <v>60</v>
      </c>
    </row>
    <row r="74" spans="1:6" s="1105" customFormat="1" ht="24">
      <c r="A74" s="1154">
        <v>14</v>
      </c>
      <c r="B74" s="3438"/>
      <c r="C74" s="1068" t="s">
        <v>1529</v>
      </c>
      <c r="D74" s="1068" t="s">
        <v>1530</v>
      </c>
      <c r="E74" s="1139">
        <v>0.2</v>
      </c>
      <c r="F74" s="1154">
        <v>30</v>
      </c>
    </row>
    <row r="75" spans="1:6" s="1105" customFormat="1" ht="24">
      <c r="A75" s="1154">
        <v>15</v>
      </c>
      <c r="B75" s="3438"/>
      <c r="C75" s="1068" t="s">
        <v>1531</v>
      </c>
      <c r="D75" s="1068" t="s">
        <v>1532</v>
      </c>
      <c r="E75" s="1139">
        <v>0.2</v>
      </c>
      <c r="F75" s="1154">
        <v>30</v>
      </c>
    </row>
    <row r="76" spans="1:6" s="1105" customFormat="1" ht="24">
      <c r="A76" s="1154">
        <v>16</v>
      </c>
      <c r="B76" s="3438" t="s">
        <v>1533</v>
      </c>
      <c r="C76" s="1068" t="s">
        <v>1534</v>
      </c>
      <c r="D76" s="1068" t="s">
        <v>1535</v>
      </c>
      <c r="E76" s="1139">
        <v>0.5</v>
      </c>
      <c r="F76" s="1154">
        <v>80</v>
      </c>
    </row>
    <row r="77" spans="1:6" s="1105" customFormat="1" ht="24">
      <c r="A77" s="1154">
        <v>17</v>
      </c>
      <c r="B77" s="3438"/>
      <c r="C77" s="1068" t="s">
        <v>1536</v>
      </c>
      <c r="D77" s="1068" t="s">
        <v>1537</v>
      </c>
      <c r="E77" s="1139">
        <v>0.5</v>
      </c>
      <c r="F77" s="1154">
        <v>80</v>
      </c>
    </row>
    <row r="78" spans="1:6" s="1105" customFormat="1" ht="24">
      <c r="A78" s="1154">
        <v>18</v>
      </c>
      <c r="B78" s="3438"/>
      <c r="C78" s="1068" t="s">
        <v>1538</v>
      </c>
      <c r="D78" s="1068" t="s">
        <v>1539</v>
      </c>
      <c r="E78" s="1139">
        <v>0.2</v>
      </c>
      <c r="F78" s="1154">
        <v>30</v>
      </c>
    </row>
    <row r="79" spans="1:6" s="1105" customFormat="1" ht="24">
      <c r="A79" s="1154">
        <v>19</v>
      </c>
      <c r="B79" s="3438"/>
      <c r="C79" s="1068" t="s">
        <v>1540</v>
      </c>
      <c r="D79" s="1068" t="s">
        <v>1541</v>
      </c>
      <c r="E79" s="1139">
        <v>0.5</v>
      </c>
      <c r="F79" s="1154">
        <v>80</v>
      </c>
    </row>
    <row r="80" spans="1:6" s="1105" customFormat="1" ht="36">
      <c r="A80" s="1154">
        <v>20</v>
      </c>
      <c r="B80" s="3438"/>
      <c r="C80" s="1068" t="s">
        <v>1542</v>
      </c>
      <c r="D80" s="1068" t="s">
        <v>1543</v>
      </c>
      <c r="E80" s="1139">
        <v>0.2</v>
      </c>
      <c r="F80" s="1154">
        <v>30</v>
      </c>
    </row>
    <row r="81" spans="1:6" s="1105" customFormat="1" ht="36">
      <c r="A81" s="1154">
        <v>21</v>
      </c>
      <c r="B81" s="3438"/>
      <c r="C81" s="1068" t="s">
        <v>1544</v>
      </c>
      <c r="D81" s="1068" t="s">
        <v>1545</v>
      </c>
      <c r="E81" s="1139">
        <v>0.2</v>
      </c>
      <c r="F81" s="1154">
        <v>30</v>
      </c>
    </row>
    <row r="82" spans="1:6" s="1105" customFormat="1" ht="48">
      <c r="A82" s="1154">
        <v>22</v>
      </c>
      <c r="B82" s="3438"/>
      <c r="C82" s="1068" t="s">
        <v>1546</v>
      </c>
      <c r="D82" s="1068" t="s">
        <v>1547</v>
      </c>
      <c r="E82" s="1139">
        <v>0.2</v>
      </c>
      <c r="F82" s="1154">
        <v>30</v>
      </c>
    </row>
    <row r="83" spans="1:6" s="1105" customFormat="1" ht="48">
      <c r="A83" s="1154">
        <v>23</v>
      </c>
      <c r="B83" s="3438"/>
      <c r="C83" s="1068" t="s">
        <v>1548</v>
      </c>
      <c r="D83" s="1068" t="s">
        <v>1549</v>
      </c>
      <c r="E83" s="1139">
        <v>0.2</v>
      </c>
      <c r="F83" s="1154">
        <v>30</v>
      </c>
    </row>
    <row r="84" spans="1:6" s="1105" customFormat="1" ht="36">
      <c r="A84" s="1154">
        <v>24</v>
      </c>
      <c r="B84" s="3438"/>
      <c r="C84" s="1068" t="s">
        <v>1550</v>
      </c>
      <c r="D84" s="1068" t="s">
        <v>1551</v>
      </c>
      <c r="E84" s="1139">
        <v>0.2</v>
      </c>
      <c r="F84" s="1154">
        <v>30</v>
      </c>
    </row>
    <row r="85" spans="1:6" s="1105" customFormat="1" ht="36">
      <c r="A85" s="1154">
        <v>25</v>
      </c>
      <c r="B85" s="3438"/>
      <c r="C85" s="1068" t="s">
        <v>1552</v>
      </c>
      <c r="D85" s="1068" t="s">
        <v>1553</v>
      </c>
      <c r="E85" s="1139">
        <v>0.5</v>
      </c>
      <c r="F85" s="1154">
        <v>80</v>
      </c>
    </row>
    <row r="86" spans="1:6" s="1105" customFormat="1" ht="36">
      <c r="A86" s="1154">
        <v>26</v>
      </c>
      <c r="B86" s="3438"/>
      <c r="C86" s="1068" t="s">
        <v>1554</v>
      </c>
      <c r="D86" s="1068" t="s">
        <v>1555</v>
      </c>
      <c r="E86" s="1139">
        <v>0.2</v>
      </c>
      <c r="F86" s="1154">
        <v>30</v>
      </c>
    </row>
    <row r="87" spans="1:6" s="1105" customFormat="1" ht="36">
      <c r="A87" s="1154">
        <v>27</v>
      </c>
      <c r="B87" s="3438"/>
      <c r="C87" s="1068" t="s">
        <v>1556</v>
      </c>
      <c r="D87" s="1068" t="s">
        <v>1557</v>
      </c>
      <c r="E87" s="1139">
        <v>0.2</v>
      </c>
      <c r="F87" s="1154">
        <v>30</v>
      </c>
    </row>
    <row r="88" spans="1:6" s="1105" customFormat="1" ht="36">
      <c r="A88" s="1154">
        <v>28</v>
      </c>
      <c r="B88" s="3438"/>
      <c r="C88" s="1068" t="s">
        <v>1558</v>
      </c>
      <c r="D88" s="1068" t="s">
        <v>1559</v>
      </c>
      <c r="E88" s="1139">
        <v>0.2</v>
      </c>
      <c r="F88" s="1154">
        <v>30</v>
      </c>
    </row>
    <row r="89" spans="1:6" s="1105" customFormat="1" ht="24">
      <c r="A89" s="1154">
        <v>29</v>
      </c>
      <c r="B89" s="3438"/>
      <c r="C89" s="1068" t="s">
        <v>1560</v>
      </c>
      <c r="D89" s="1068" t="s">
        <v>1561</v>
      </c>
      <c r="E89" s="1139">
        <v>0.2</v>
      </c>
      <c r="F89" s="1154">
        <v>30</v>
      </c>
    </row>
    <row r="90" spans="1:6" s="1105" customFormat="1" ht="24">
      <c r="A90" s="1154">
        <v>30</v>
      </c>
      <c r="B90" s="3438"/>
      <c r="C90" s="1068" t="s">
        <v>1562</v>
      </c>
      <c r="D90" s="1068" t="s">
        <v>1563</v>
      </c>
      <c r="E90" s="1139">
        <v>0.2</v>
      </c>
      <c r="F90" s="1154">
        <v>30</v>
      </c>
    </row>
    <row r="91" spans="1:6" s="1105" customFormat="1" ht="36">
      <c r="A91" s="1154">
        <v>31</v>
      </c>
      <c r="B91" s="3438"/>
      <c r="C91" s="1068" t="s">
        <v>1564</v>
      </c>
      <c r="D91" s="1068" t="s">
        <v>1565</v>
      </c>
      <c r="E91" s="1139">
        <v>0.2</v>
      </c>
      <c r="F91" s="1154">
        <v>30</v>
      </c>
    </row>
    <row r="92" spans="1:6" s="1105" customFormat="1" ht="24">
      <c r="A92" s="1154">
        <v>32</v>
      </c>
      <c r="B92" s="3438" t="s">
        <v>1566</v>
      </c>
      <c r="C92" s="1154" t="s">
        <v>1567</v>
      </c>
      <c r="D92" s="1068" t="s">
        <v>1568</v>
      </c>
      <c r="E92" s="1139">
        <v>0.2</v>
      </c>
      <c r="F92" s="1154">
        <v>30</v>
      </c>
    </row>
    <row r="93" spans="1:6" s="1105" customFormat="1" ht="36">
      <c r="A93" s="1154">
        <v>33</v>
      </c>
      <c r="B93" s="3438"/>
      <c r="C93" s="1154" t="s">
        <v>1569</v>
      </c>
      <c r="D93" s="1068" t="s">
        <v>1570</v>
      </c>
      <c r="E93" s="1139">
        <v>0.2</v>
      </c>
      <c r="F93" s="1154">
        <v>30</v>
      </c>
    </row>
    <row r="94" spans="1:6" s="1105" customFormat="1" ht="48">
      <c r="A94" s="1154">
        <v>34</v>
      </c>
      <c r="B94" s="3438"/>
      <c r="C94" s="1154" t="s">
        <v>1571</v>
      </c>
      <c r="D94" s="1068" t="s">
        <v>1572</v>
      </c>
      <c r="E94" s="1139">
        <v>0.2</v>
      </c>
      <c r="F94" s="1154">
        <v>30</v>
      </c>
    </row>
    <row r="95" spans="1:6" s="1105" customFormat="1" ht="36">
      <c r="A95" s="1154">
        <v>35</v>
      </c>
      <c r="B95" s="3438"/>
      <c r="C95" s="1154" t="s">
        <v>1573</v>
      </c>
      <c r="D95" s="1068" t="s">
        <v>1574</v>
      </c>
      <c r="E95" s="1139">
        <v>0.2</v>
      </c>
      <c r="F95" s="1154">
        <v>30</v>
      </c>
    </row>
    <row r="96" spans="1:6" s="1105" customFormat="1" ht="48">
      <c r="A96" s="1154">
        <v>36</v>
      </c>
      <c r="B96" s="3438"/>
      <c r="C96" s="1068" t="s">
        <v>1575</v>
      </c>
      <c r="D96" s="1068" t="s">
        <v>1576</v>
      </c>
      <c r="E96" s="1139">
        <v>0.2</v>
      </c>
      <c r="F96" s="1154">
        <v>30</v>
      </c>
    </row>
    <row r="97" spans="1:6" s="1105" customFormat="1" ht="36">
      <c r="A97" s="1154">
        <v>37</v>
      </c>
      <c r="B97" s="3438"/>
      <c r="C97" s="1154" t="s">
        <v>1577</v>
      </c>
      <c r="D97" s="1068" t="s">
        <v>1578</v>
      </c>
      <c r="E97" s="1139">
        <v>0.2</v>
      </c>
      <c r="F97" s="1154">
        <v>30</v>
      </c>
    </row>
    <row r="98" spans="1:6" s="1105" customFormat="1" ht="36">
      <c r="A98" s="1154">
        <v>38</v>
      </c>
      <c r="B98" s="3438"/>
      <c r="C98" s="1154" t="s">
        <v>1579</v>
      </c>
      <c r="D98" s="1068" t="s">
        <v>1580</v>
      </c>
      <c r="E98" s="1139">
        <v>0.2</v>
      </c>
      <c r="F98" s="1154">
        <v>30</v>
      </c>
    </row>
    <row r="99" spans="1:6" s="1105" customFormat="1" ht="36">
      <c r="A99" s="1154">
        <v>39</v>
      </c>
      <c r="B99" s="3438" t="s">
        <v>1581</v>
      </c>
      <c r="C99" s="1154" t="s">
        <v>1582</v>
      </c>
      <c r="D99" s="1068" t="s">
        <v>1583</v>
      </c>
      <c r="E99" s="1139">
        <v>0.3</v>
      </c>
      <c r="F99" s="1154">
        <v>50</v>
      </c>
    </row>
    <row r="100" spans="1:6" s="1105" customFormat="1" ht="24">
      <c r="A100" s="1154">
        <v>40</v>
      </c>
      <c r="B100" s="3438"/>
      <c r="C100" s="1154" t="s">
        <v>1584</v>
      </c>
      <c r="D100" s="1068" t="s">
        <v>1585</v>
      </c>
      <c r="E100" s="1139">
        <v>0.2</v>
      </c>
      <c r="F100" s="1154">
        <v>30</v>
      </c>
    </row>
    <row r="101" spans="1:6" s="1105" customFormat="1" ht="36">
      <c r="A101" s="1154">
        <v>41</v>
      </c>
      <c r="B101" s="343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8" t="s">
        <v>1596</v>
      </c>
      <c r="C105" s="1154" t="s">
        <v>1597</v>
      </c>
      <c r="D105" s="1068" t="s">
        <v>1598</v>
      </c>
      <c r="E105" s="1139">
        <v>0.2</v>
      </c>
      <c r="F105" s="1154">
        <v>30</v>
      </c>
    </row>
    <row r="106" spans="1:6" s="1105" customFormat="1" ht="36">
      <c r="A106" s="1154">
        <v>46</v>
      </c>
      <c r="B106" s="3438"/>
      <c r="C106" s="1154" t="s">
        <v>1599</v>
      </c>
      <c r="D106" s="1068" t="s">
        <v>1600</v>
      </c>
      <c r="E106" s="1139">
        <v>0.2</v>
      </c>
      <c r="F106" s="1154">
        <v>30</v>
      </c>
    </row>
    <row r="107" spans="1:6" s="1105" customFormat="1" ht="36">
      <c r="A107" s="1154">
        <v>47</v>
      </c>
      <c r="B107" s="3438" t="s">
        <v>1601</v>
      </c>
      <c r="C107" s="1154" t="s">
        <v>1602</v>
      </c>
      <c r="D107" s="1068" t="s">
        <v>1603</v>
      </c>
      <c r="E107" s="1139">
        <v>0.3</v>
      </c>
      <c r="F107" s="1154">
        <v>50</v>
      </c>
    </row>
    <row r="108" spans="1:6" s="1105" customFormat="1" ht="36">
      <c r="A108" s="1154">
        <v>48</v>
      </c>
      <c r="B108" s="343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8" t="s">
        <v>1612</v>
      </c>
      <c r="C111" s="1154" t="s">
        <v>1613</v>
      </c>
      <c r="D111" s="1068" t="s">
        <v>1614</v>
      </c>
      <c r="E111" s="1139">
        <v>0.2</v>
      </c>
      <c r="F111" s="1154">
        <v>30</v>
      </c>
    </row>
    <row r="112" spans="1:6" s="1105" customFormat="1" ht="24">
      <c r="A112" s="1154">
        <v>52</v>
      </c>
      <c r="B112" s="3438"/>
      <c r="C112" s="1154" t="s">
        <v>1615</v>
      </c>
      <c r="D112" s="1068" t="s">
        <v>1616</v>
      </c>
      <c r="E112" s="1139">
        <v>0.2</v>
      </c>
      <c r="F112" s="1154">
        <v>30</v>
      </c>
    </row>
    <row r="113" spans="1:14" s="1105" customFormat="1" ht="24">
      <c r="A113" s="1154">
        <v>53</v>
      </c>
      <c r="B113" s="343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8" t="s">
        <v>1625</v>
      </c>
      <c r="C116" s="1154" t="s">
        <v>1626</v>
      </c>
      <c r="D116" s="1068" t="s">
        <v>1627</v>
      </c>
      <c r="E116" s="1139">
        <v>0.2</v>
      </c>
      <c r="F116" s="1154">
        <v>30</v>
      </c>
    </row>
    <row r="117" spans="1:14" ht="36">
      <c r="A117" s="1154">
        <v>57</v>
      </c>
      <c r="B117" s="343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7" t="s">
        <v>1634</v>
      </c>
      <c r="B121" s="3437"/>
      <c r="C121" s="3437"/>
      <c r="D121" s="3437"/>
      <c r="E121" s="3437"/>
      <c r="F121" s="3437"/>
      <c r="G121" s="3437"/>
      <c r="H121" s="3437"/>
      <c r="I121" s="3437"/>
      <c r="J121" s="343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0" t="s">
        <v>1040</v>
      </c>
      <c r="B1" s="3450"/>
      <c r="C1" s="3450"/>
      <c r="D1" s="3450"/>
      <c r="E1" s="3450"/>
      <c r="F1" s="345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1" t="s">
        <v>1053</v>
      </c>
      <c r="B2" s="3451"/>
      <c r="C2" s="3451"/>
      <c r="D2" s="3451"/>
      <c r="E2" s="3451"/>
      <c r="F2" s="345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54" t="s">
        <v>2081</v>
      </c>
      <c r="B1" s="3454"/>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3" sqref="A43:XFD4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2949</v>
      </c>
      <c r="B1" s="3106"/>
      <c r="C1" s="3106"/>
      <c r="D1" s="3106"/>
      <c r="E1" s="3106"/>
      <c r="F1" s="3106"/>
    </row>
    <row r="2" spans="1:6" ht="14.25">
      <c r="A2" s="3107" t="s">
        <v>2944</v>
      </c>
      <c r="B2" s="3108" t="e">
        <f ca="1">SUMIF(B7:B14,"&lt;&gt;#ref!",B7:B14)</f>
        <v>#DIV/0!</v>
      </c>
      <c r="C2" s="3107" t="s">
        <v>2945</v>
      </c>
      <c r="D2" s="3106"/>
      <c r="E2" s="3106"/>
      <c r="F2" s="3106"/>
    </row>
    <row r="3" spans="1:6" ht="14.25">
      <c r="A3" s="3107" t="s">
        <v>2978</v>
      </c>
      <c r="B3" s="3108" t="e">
        <f ca="1">ROUND(B2*10000/E3,0)</f>
        <v>#DIV/0!</v>
      </c>
      <c r="C3" s="3107" t="s">
        <v>2080</v>
      </c>
      <c r="D3" s="3107" t="s">
        <v>2946</v>
      </c>
      <c r="E3" s="3108">
        <f ca="1">SUMIF(E7:E14,"&lt;&gt;#ref!",E7:E14)</f>
        <v>0</v>
      </c>
      <c r="F3" s="3106"/>
    </row>
    <row r="4" spans="1:6" ht="14.25">
      <c r="A4" s="3107" t="s">
        <v>2953</v>
      </c>
      <c r="B4" s="3108" t="e">
        <f ca="1">ROUND(B2*10000/E4,0)</f>
        <v>#DIV/0!</v>
      </c>
      <c r="C4" s="3107" t="s">
        <v>2080</v>
      </c>
      <c r="D4" s="3107" t="s">
        <v>2954</v>
      </c>
      <c r="E4" s="3108">
        <f ca="1">SUMIF(F7:F14,"&lt;&gt;#ref!",F7:F14)</f>
        <v>0</v>
      </c>
      <c r="F4" s="3106"/>
    </row>
    <row r="5" spans="1:6" ht="14.25">
      <c r="A5" s="3109"/>
      <c r="B5" s="1881"/>
      <c r="C5" s="1881"/>
      <c r="D5" s="1881"/>
      <c r="E5" s="1881"/>
      <c r="F5" s="3106"/>
    </row>
    <row r="6" spans="1:6" ht="28.5">
      <c r="A6" s="3110" t="s">
        <v>2950</v>
      </c>
      <c r="B6" s="3107" t="s">
        <v>2947</v>
      </c>
      <c r="C6" s="3108"/>
      <c r="D6" s="1881"/>
      <c r="E6" s="3107" t="s">
        <v>2948</v>
      </c>
      <c r="F6" s="3107" t="s">
        <v>2952</v>
      </c>
    </row>
    <row r="7" spans="1:6" ht="14.25">
      <c r="A7" s="260" t="s">
        <v>2951</v>
      </c>
      <c r="B7" s="3111" t="e">
        <f ca="1">SUMIF(INDIRECT("'"&amp;A7&amp;"'"&amp;"!A:A"),"总价",INDIRECT("'"&amp;A7&amp;"'"&amp;"!B:B"))</f>
        <v>#DIV/0!</v>
      </c>
      <c r="C7" s="3107" t="s">
        <v>2945</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2945</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2945</v>
      </c>
      <c r="D9" s="1881"/>
      <c r="E9" s="3112" t="e">
        <f t="shared" ca="1" si="1"/>
        <v>#REF!</v>
      </c>
      <c r="F9" s="3112" t="e">
        <f t="shared" ca="1" si="2"/>
        <v>#REF!</v>
      </c>
    </row>
    <row r="10" spans="1:6" ht="14.25">
      <c r="A10" s="260"/>
      <c r="B10" s="3111" t="e">
        <f t="shared" ca="1" si="0"/>
        <v>#REF!</v>
      </c>
      <c r="C10" s="3107" t="s">
        <v>2945</v>
      </c>
      <c r="D10" s="1881"/>
      <c r="E10" s="3112" t="e">
        <f t="shared" ca="1" si="1"/>
        <v>#REF!</v>
      </c>
      <c r="F10" s="3112" t="e">
        <f t="shared" ca="1" si="2"/>
        <v>#REF!</v>
      </c>
    </row>
    <row r="11" spans="1:6" ht="14.25">
      <c r="A11" s="260"/>
      <c r="B11" s="3111" t="e">
        <f t="shared" ca="1" si="0"/>
        <v>#REF!</v>
      </c>
      <c r="C11" s="3107" t="s">
        <v>2945</v>
      </c>
      <c r="D11" s="1881"/>
      <c r="E11" s="3112" t="e">
        <f t="shared" ca="1" si="1"/>
        <v>#REF!</v>
      </c>
      <c r="F11" s="3112" t="e">
        <f t="shared" ca="1" si="2"/>
        <v>#REF!</v>
      </c>
    </row>
    <row r="12" spans="1:6" ht="14.25">
      <c r="A12" s="260"/>
      <c r="B12" s="3111" t="e">
        <f t="shared" ca="1" si="0"/>
        <v>#REF!</v>
      </c>
      <c r="C12" s="3107" t="s">
        <v>2945</v>
      </c>
      <c r="D12" s="1881"/>
      <c r="E12" s="3112" t="e">
        <f t="shared" ca="1" si="1"/>
        <v>#REF!</v>
      </c>
      <c r="F12" s="3112" t="e">
        <f t="shared" ca="1" si="2"/>
        <v>#REF!</v>
      </c>
    </row>
    <row r="13" spans="1:6" ht="14.25">
      <c r="A13" s="260"/>
      <c r="B13" s="3111" t="e">
        <f t="shared" ca="1" si="0"/>
        <v>#REF!</v>
      </c>
      <c r="C13" s="3107" t="s">
        <v>2945</v>
      </c>
      <c r="D13" s="1881"/>
      <c r="E13" s="3112" t="e">
        <f t="shared" ca="1" si="1"/>
        <v>#REF!</v>
      </c>
      <c r="F13" s="3112" t="e">
        <f t="shared" ca="1" si="2"/>
        <v>#REF!</v>
      </c>
    </row>
    <row r="14" spans="1:6" ht="14.25">
      <c r="A14" s="3105"/>
      <c r="B14" s="3111" t="e">
        <f t="shared" ca="1" si="0"/>
        <v>#REF!</v>
      </c>
      <c r="C14" s="3107" t="s">
        <v>2945</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56.25">
      <c r="A4" s="1791" t="str">
        <f>"受贵公司委托，我公司对"&amp;项目基本情况!K2&amp;项目基本情况!B9&amp;"进行了预评估。"</f>
        <v>受贵公司委托，我公司对江苏省盐城市建湖县双湖路北、秀夫路两侧地块二320925100203GB00021W00000000号一宗其他商服用用地出让国有建设用地使用权抵押价格进行了预评估。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46580.7平方米。根据《建设工程规划许可证》[]、《出让合同》[]，估价对象规划建筑面积为116451.76平方米。</v>
      </c>
    </row>
    <row r="7" spans="1:4" ht="56.25">
      <c r="A7" s="1795" t="s">
        <v>2746</v>
      </c>
    </row>
    <row r="8" spans="1:4" ht="18.75">
      <c r="A8" s="1794" t="s">
        <v>1907</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2019年5月21日（评估专业人员勘察现场之日）</v>
      </c>
    </row>
    <row r="12" spans="1:4" ht="18.75">
      <c r="A12" s="1797" t="s">
        <v>2027</v>
      </c>
    </row>
    <row r="13" spans="1:4" ht="18.75">
      <c r="A13" s="1791" t="s">
        <v>2941</v>
      </c>
    </row>
    <row r="14" spans="1:4" ht="37.5">
      <c r="A14" s="1791" t="str">
        <f>"根据"&amp;项目基本情况!F12&amp;"，本次评估估价对象证载（地类）用途为"&amp;项目基本情况!B12&amp;"。"</f>
        <v>根据《不动产权证书》[苏（2018）建湖县不动产权第0004219号]，本次评估估价对象证载（地类）用途为其他商服用地。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本次评估设定用途即为证载用途其他商服用地。</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建湖县不动产权第0004219号]证载土地终止日期为住宅2084年1月4日、商业2054年1月5日。截至估价期日，出让国有建设用地使用权剩余土地使用年限为其他商服33.92年。</v>
      </c>
    </row>
    <row r="23" spans="1:1" ht="18.75">
      <c r="A23" s="1791" t="str">
        <f>IF(项目基本情况!B16="出让","本次评估设定估价对象剩余土地使用年限为"&amp;项目基本情况!D20&amp;"。","")</f>
        <v>本次评估设定估价对象剩余土地使用年限为其他商服33.92年。</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3" sqref="A43:XFD43"/>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2374</v>
      </c>
      <c r="F1" s="2388">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6" t="s">
        <v>695</v>
      </c>
      <c r="I3" s="2057"/>
      <c r="J3" s="2057"/>
      <c r="K3" s="2058"/>
      <c r="L3" s="2057"/>
      <c r="M3" s="2057"/>
    </row>
    <row r="4" spans="1:25" ht="18" customHeight="1">
      <c r="A4" s="1646" t="s">
        <v>696</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2458</v>
      </c>
      <c r="C7" s="53">
        <f ca="1">C8+C12+C14</f>
        <v>0</v>
      </c>
      <c r="D7" s="2496" t="s">
        <v>2461</v>
      </c>
      <c r="E7" s="2490"/>
      <c r="F7" s="2491"/>
      <c r="G7" s="1592"/>
      <c r="H7" s="781">
        <v>1</v>
      </c>
      <c r="I7" s="782" t="s">
        <v>2458</v>
      </c>
      <c r="J7" s="53">
        <f ca="1">J8+J12+J14</f>
        <v>0</v>
      </c>
      <c r="K7" s="2496" t="s">
        <v>2461</v>
      </c>
      <c r="L7" s="2490"/>
      <c r="M7" s="2491"/>
    </row>
    <row r="8" spans="1:25" ht="18" customHeight="1">
      <c r="A8" s="1830" t="s">
        <v>1825</v>
      </c>
      <c r="B8" s="3456" t="s">
        <v>2463</v>
      </c>
      <c r="C8" s="1825">
        <f ca="1">ROUND(F8*F10*F9*(1-F11)/10000,0)</f>
        <v>0</v>
      </c>
      <c r="D8" s="1822" t="s">
        <v>2534</v>
      </c>
      <c r="E8" s="61" t="s">
        <v>637</v>
      </c>
      <c r="F8" s="785">
        <f ca="1">INDIRECT("'数据-取费表'!u"&amp;$G$1)</f>
        <v>0</v>
      </c>
      <c r="G8" s="1592"/>
      <c r="H8" s="2504" t="s">
        <v>1825</v>
      </c>
      <c r="I8" s="3456" t="s">
        <v>2463</v>
      </c>
      <c r="J8" s="783">
        <f ca="1">ROUND(M8*M10*M9*(1-M11)/10000,0)</f>
        <v>0</v>
      </c>
      <c r="K8" s="341" t="s">
        <v>2534</v>
      </c>
      <c r="L8" s="784" t="s">
        <v>1739</v>
      </c>
      <c r="M8" s="785">
        <f ca="1">INDIRECT("'数据-取费表'!z"&amp;$G$1)</f>
        <v>0</v>
      </c>
    </row>
    <row r="9" spans="1:25" ht="18" customHeight="1">
      <c r="A9" s="2500"/>
      <c r="B9" s="3457"/>
      <c r="C9" s="1826"/>
      <c r="D9" s="1823"/>
      <c r="E9" s="61" t="s">
        <v>638</v>
      </c>
      <c r="F9" s="785">
        <f ca="1">IF(INDIRECT("'数据-取费表'!ah"&amp;$G$1)="",INDIRECT("'数据-取费表'!k"&amp;$G$1),INDIRECT("'数据-取费表'!ah"&amp;$G$1))</f>
        <v>0</v>
      </c>
      <c r="G9" s="1592"/>
      <c r="H9" s="2489"/>
      <c r="I9" s="3457"/>
      <c r="J9" s="788"/>
      <c r="K9" s="789"/>
      <c r="L9" s="784" t="s">
        <v>1740</v>
      </c>
      <c r="M9" s="785">
        <f ca="1">F9</f>
        <v>0</v>
      </c>
    </row>
    <row r="10" spans="1:25" ht="18" customHeight="1">
      <c r="A10" s="2493"/>
      <c r="B10" s="3458"/>
      <c r="C10" s="1826"/>
      <c r="D10" s="1823"/>
      <c r="E10" s="61" t="s">
        <v>639</v>
      </c>
      <c r="F10" s="785">
        <f ca="1">INDIRECT("'数据-取费表'!ai"&amp;$G$1)</f>
        <v>0</v>
      </c>
      <c r="G10" s="1592"/>
      <c r="H10" s="2489"/>
      <c r="I10" s="3458"/>
      <c r="J10" s="788"/>
      <c r="K10" s="789"/>
      <c r="L10" s="784" t="s">
        <v>1741</v>
      </c>
      <c r="M10" s="785">
        <f ca="1">INDIRECT("'数据-取费表'!ai"&amp;$G$1)</f>
        <v>0</v>
      </c>
    </row>
    <row r="11" spans="1:25" ht="18" customHeight="1">
      <c r="A11" s="786"/>
      <c r="B11" s="3459"/>
      <c r="C11" s="1826"/>
      <c r="D11" s="1823"/>
      <c r="E11" s="61" t="s">
        <v>640</v>
      </c>
      <c r="F11" s="794">
        <f ca="1">INDIRECT("'数据-取费表'!w"&amp;$G$1)</f>
        <v>0</v>
      </c>
      <c r="G11" s="1592"/>
      <c r="H11" s="2505"/>
      <c r="I11" s="3458"/>
      <c r="J11" s="788"/>
      <c r="K11" s="789"/>
      <c r="L11" s="795" t="s">
        <v>1742</v>
      </c>
      <c r="M11" s="796">
        <f ca="1">INDIRECT("'数据-取费表'!ab"&amp;$G$1)</f>
        <v>0</v>
      </c>
    </row>
    <row r="12" spans="1:25" ht="18" customHeight="1">
      <c r="A12" s="1830" t="s">
        <v>1826</v>
      </c>
      <c r="B12" s="2494" t="s">
        <v>2459</v>
      </c>
      <c r="C12" s="799">
        <f ca="1">ROUND(IF(F12="押一",C8/12*F13,IF(F12="押二",C8/12*2*F13,IF(F12="押三",C8/12*3*F13,C13*F13))),0)</f>
        <v>0</v>
      </c>
      <c r="D12" s="2501" t="s">
        <v>2974</v>
      </c>
      <c r="E12" s="2498" t="s">
        <v>2464</v>
      </c>
      <c r="F12" s="2621"/>
      <c r="G12" s="1592"/>
      <c r="H12" s="2561" t="s">
        <v>1826</v>
      </c>
      <c r="I12" s="2566" t="s">
        <v>2459</v>
      </c>
      <c r="J12" s="783">
        <f ca="1">ROUND(IF(M12="押一",J8/12*M13,IF(M12="押二",J8/12*2*M13,IF(M12="押三",J8/12*3*M13,J13*M13))),0)</f>
        <v>0</v>
      </c>
      <c r="K12" s="2501" t="s">
        <v>2974</v>
      </c>
      <c r="L12" s="2498" t="s">
        <v>2464</v>
      </c>
      <c r="M12" s="2621"/>
    </row>
    <row r="13" spans="1:25" ht="18" customHeight="1">
      <c r="A13" s="790"/>
      <c r="B13" s="2495" t="s">
        <v>2573</v>
      </c>
      <c r="C13" s="2499"/>
      <c r="D13" s="789"/>
      <c r="E13" s="2498" t="s">
        <v>2456</v>
      </c>
      <c r="F13" s="796">
        <f ca="1">'数据-取费表'!B39</f>
        <v>1.4999999999999999E-2</v>
      </c>
      <c r="G13" s="1592"/>
      <c r="H13" s="2562"/>
      <c r="I13" s="2495" t="s">
        <v>2573</v>
      </c>
      <c r="J13" s="2499"/>
      <c r="K13" s="2563"/>
      <c r="L13" s="2498" t="s">
        <v>2456</v>
      </c>
      <c r="M13" s="2492">
        <f ca="1">'数据-取费表'!B39</f>
        <v>1.4999999999999999E-2</v>
      </c>
    </row>
    <row r="14" spans="1:25" ht="18" customHeight="1" thickBot="1">
      <c r="A14" s="2537" t="s">
        <v>2467</v>
      </c>
      <c r="B14" s="2538" t="s">
        <v>2460</v>
      </c>
      <c r="C14" s="2539"/>
      <c r="D14" s="2540"/>
      <c r="E14" s="2541"/>
      <c r="F14" s="2542"/>
      <c r="G14" s="1592"/>
      <c r="H14" s="2551" t="s">
        <v>2467</v>
      </c>
      <c r="I14" s="2564" t="s">
        <v>2460</v>
      </c>
      <c r="J14" s="2565"/>
      <c r="K14" s="2540"/>
      <c r="L14" s="2541"/>
      <c r="M14" s="2554"/>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2071</v>
      </c>
      <c r="I16" s="2231" t="s">
        <v>2824</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6</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2"/>
      <c r="F24" s="56"/>
      <c r="G24" s="1592"/>
      <c r="H24" s="1831" t="s">
        <v>2072</v>
      </c>
      <c r="I24" s="784" t="s">
        <v>676</v>
      </c>
      <c r="J24" s="53">
        <f ca="1">ROUND(J16*M24,0)</f>
        <v>0</v>
      </c>
      <c r="K24" s="1977" t="s">
        <v>677</v>
      </c>
      <c r="L24" s="784" t="s">
        <v>649</v>
      </c>
      <c r="M24" s="817">
        <f ca="1">INDIRECT("'数据-取费表'!Ak"&amp;$G$1)</f>
        <v>0</v>
      </c>
    </row>
    <row r="25" spans="1:25" s="2064" customFormat="1" ht="18" customHeight="1">
      <c r="A25" s="803" t="s">
        <v>1876</v>
      </c>
      <c r="B25" s="784" t="s">
        <v>2437</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71"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3011" t="s">
        <v>2821</v>
      </c>
      <c r="J27" s="799">
        <f ca="1">J7-J18</f>
        <v>0</v>
      </c>
      <c r="K27" s="1979" t="s">
        <v>700</v>
      </c>
      <c r="L27" s="1981"/>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2822</v>
      </c>
      <c r="C31" s="2544">
        <f ca="1">ROUND((C21+C22+C25+C28)/(1-F23-C26-C29-C30),0)</f>
        <v>0</v>
      </c>
      <c r="D31" s="2545"/>
      <c r="E31" s="2546"/>
      <c r="F31" s="2547"/>
      <c r="G31" s="1593"/>
      <c r="H31" s="823" t="s">
        <v>1873</v>
      </c>
      <c r="I31" s="3012" t="s">
        <v>2823</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87"/>
      <c r="F32" s="2491"/>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6</v>
      </c>
      <c r="G36" s="2062"/>
      <c r="H36" s="2065"/>
      <c r="I36" s="3455"/>
      <c r="J36" s="2079"/>
      <c r="K36" s="2080"/>
      <c r="L36" s="2079"/>
      <c r="M36" s="2079"/>
    </row>
    <row r="37" spans="1:18" ht="18" customHeight="1">
      <c r="A37" s="815"/>
      <c r="B37" s="793"/>
      <c r="C37" s="69"/>
      <c r="D37" s="816"/>
      <c r="E37" s="784" t="s">
        <v>674</v>
      </c>
      <c r="F37" s="785">
        <f ca="1">INDIRECT("'数据-取费表'!r"&amp;$G$1)</f>
        <v>0</v>
      </c>
      <c r="G37" s="2062"/>
      <c r="H37" s="2065"/>
      <c r="I37" s="3455"/>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23" t="s">
        <v>2962</v>
      </c>
      <c r="F43" s="3124">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38">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5"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3161" t="str">
        <f ca="1">IF(M48="住宅",0,IF(L49&gt;J52,L61,J61))</f>
        <v>0</v>
      </c>
      <c r="O47" s="2394" t="s">
        <v>2410</v>
      </c>
      <c r="P47" s="1592"/>
      <c r="Q47" s="1604"/>
      <c r="R47" s="1592"/>
    </row>
    <row r="48" spans="1:18" s="2059" customFormat="1" ht="18" customHeight="1" thickBot="1">
      <c r="A48" s="2084"/>
      <c r="C48" s="2087"/>
      <c r="D48" s="2088"/>
      <c r="E48" s="2088"/>
      <c r="F48" s="2089"/>
      <c r="G48" s="2090"/>
      <c r="I48" s="3151" t="s">
        <v>2344</v>
      </c>
      <c r="J48" s="2381"/>
      <c r="K48" s="3158" t="s">
        <v>2349</v>
      </c>
      <c r="L48" s="3162">
        <f ca="1">INDIRECT("'数据-取费表'!d"&amp;$G$1)</f>
        <v>0</v>
      </c>
      <c r="M48" s="3122"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7" t="s">
        <v>2345</v>
      </c>
      <c r="J49" s="2382"/>
      <c r="K49" s="3159" t="s">
        <v>2351</v>
      </c>
      <c r="L49" s="1908">
        <f ca="1">INDIRECT("'数据-取费表'!f"&amp;$G$1)</f>
        <v>0</v>
      </c>
      <c r="O49" s="2398" t="s">
        <v>2379</v>
      </c>
      <c r="P49" s="2399" t="s">
        <v>2405</v>
      </c>
      <c r="Q49" s="2400">
        <f ca="1">C41+J31</f>
        <v>0</v>
      </c>
      <c r="R49" s="2399" t="s">
        <v>2380</v>
      </c>
    </row>
    <row r="50" spans="1:18" s="2059" customFormat="1" ht="18" customHeight="1" thickBot="1">
      <c r="A50" s="2084"/>
      <c r="D50" s="2094"/>
      <c r="E50" s="2094"/>
      <c r="F50" s="2088"/>
      <c r="G50" s="2095"/>
      <c r="H50" s="2093"/>
      <c r="I50" s="3127" t="s">
        <v>2346</v>
      </c>
      <c r="J50" s="2383"/>
      <c r="K50" s="3160" t="s">
        <v>2352</v>
      </c>
      <c r="L50" s="2384"/>
      <c r="O50" s="2398" t="s">
        <v>2381</v>
      </c>
      <c r="P50" s="2399" t="s">
        <v>2406</v>
      </c>
      <c r="Q50" s="2400" t="str">
        <f ca="1">J61</f>
        <v>0</v>
      </c>
      <c r="R50" s="2399" t="s">
        <v>2382</v>
      </c>
    </row>
    <row r="51" spans="1:18" s="2059" customFormat="1" ht="18" customHeight="1" thickBot="1">
      <c r="A51" s="2096"/>
      <c r="D51" s="2094"/>
      <c r="E51" s="2094"/>
      <c r="F51" s="2085"/>
      <c r="H51" s="2093"/>
      <c r="I51" s="3127" t="s">
        <v>2347</v>
      </c>
      <c r="J51" s="3155">
        <f>SUMPRODUCT((I64:I66=J48)*(J63:L63=J49)*(J64:L66))</f>
        <v>0</v>
      </c>
      <c r="K51" s="3160" t="s">
        <v>2353</v>
      </c>
      <c r="L51" s="2384"/>
      <c r="O51" s="2401" t="s">
        <v>2383</v>
      </c>
      <c r="P51" s="2399" t="s">
        <v>2407</v>
      </c>
      <c r="Q51" s="2400">
        <f ca="1">C31</f>
        <v>0</v>
      </c>
      <c r="R51" s="2399" t="s">
        <v>2380</v>
      </c>
    </row>
    <row r="52" spans="1:18" s="2059" customFormat="1" ht="18" customHeight="1" thickBot="1">
      <c r="A52" s="2096"/>
      <c r="F52" s="2085"/>
      <c r="I52" s="3152" t="s">
        <v>2348</v>
      </c>
      <c r="J52" s="3156">
        <f>IF(J50="",J51,J50+J51-YEAR('数据-取费表'!B3))</f>
        <v>0</v>
      </c>
      <c r="K52" s="3127" t="s">
        <v>2354</v>
      </c>
      <c r="L52" s="3163">
        <f ca="1">ROUND(-PV(INDIRECT("'数据-取费表'!h"&amp;$G$1),L49,(C40-C14*J36),0),0)</f>
        <v>0</v>
      </c>
      <c r="O52" s="2401" t="s">
        <v>2384</v>
      </c>
      <c r="P52" s="2399" t="s">
        <v>2385</v>
      </c>
      <c r="Q52" s="2402" t="e">
        <f ca="1">J59</f>
        <v>#VALUE!</v>
      </c>
      <c r="R52" s="2403"/>
    </row>
    <row r="53" spans="1:18" s="2059" customFormat="1" ht="18" customHeight="1" thickBot="1">
      <c r="A53" s="2096"/>
      <c r="F53" s="2085"/>
      <c r="I53" s="3153" t="s">
        <v>2421</v>
      </c>
      <c r="J53" s="2385"/>
      <c r="K53" s="3153" t="s">
        <v>2420</v>
      </c>
      <c r="L53" s="2385"/>
      <c r="O53" s="2401" t="s">
        <v>2386</v>
      </c>
      <c r="P53" s="2399" t="s">
        <v>2387</v>
      </c>
      <c r="Q53" s="2402">
        <f>J53</f>
        <v>0</v>
      </c>
      <c r="R53" s="2403"/>
    </row>
    <row r="54" spans="1:18" s="2059" customFormat="1" ht="29.25" thickBot="1">
      <c r="A54" s="2096"/>
      <c r="I54" s="3154" t="s">
        <v>2979</v>
      </c>
      <c r="J54" s="3157">
        <f ca="1">IF(M48="住宅",MAX(J52,L49-'数据-取费表'!B20),MIN(J52,L49-'数据-取费表'!B20))</f>
        <v>-2</v>
      </c>
      <c r="K54" s="3460"/>
      <c r="L54" s="3461"/>
      <c r="O54" s="2401" t="s">
        <v>2388</v>
      </c>
      <c r="P54" s="2399" t="s">
        <v>2389</v>
      </c>
      <c r="Q54" s="2400">
        <f ca="1">J54</f>
        <v>-2</v>
      </c>
      <c r="R54" s="2399" t="s">
        <v>2390</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2391</v>
      </c>
      <c r="P55" s="2399" t="s">
        <v>2408</v>
      </c>
      <c r="Q55" s="2400">
        <f ca="1">Q49+Q50</f>
        <v>0</v>
      </c>
      <c r="R55" s="2403" t="s">
        <v>2392</v>
      </c>
    </row>
    <row r="56" spans="1:18" s="2059" customFormat="1" ht="16.5" thickBot="1">
      <c r="A56" s="2096"/>
      <c r="B56" s="2097"/>
      <c r="C56" s="2097"/>
      <c r="I56" s="3166" t="s">
        <v>2355</v>
      </c>
      <c r="J56" s="3102" t="e">
        <f ca="1">ROUND(IF(J48="钢混",J58/J51,1-(1-2%)*(J51-J58)/J51),3)</f>
        <v>#VALUE!</v>
      </c>
      <c r="K56" s="3167" t="s">
        <v>2356</v>
      </c>
      <c r="L56" s="2386"/>
      <c r="O56" s="2404" t="s">
        <v>2411</v>
      </c>
      <c r="P56" s="1592"/>
      <c r="Q56" s="1604"/>
      <c r="R56" s="1592"/>
    </row>
    <row r="57" spans="1:18" s="2059" customFormat="1" ht="43.5" thickBot="1">
      <c r="A57" s="2096"/>
      <c r="B57" s="2097"/>
      <c r="C57" s="2097"/>
      <c r="I57" s="3168" t="s">
        <v>2357</v>
      </c>
      <c r="J57" s="3178" t="s">
        <v>1679</v>
      </c>
      <c r="K57" s="3127" t="s">
        <v>2362</v>
      </c>
      <c r="L57" s="1908">
        <f ca="1">IF(L49&lt;J52,"——",L49-J52)</f>
        <v>0</v>
      </c>
      <c r="O57" s="2395" t="s">
        <v>2375</v>
      </c>
      <c r="P57" s="2396" t="s">
        <v>2376</v>
      </c>
      <c r="Q57" s="2397" t="s">
        <v>2377</v>
      </c>
      <c r="R57" s="2396" t="s">
        <v>2378</v>
      </c>
    </row>
    <row r="58" spans="1:18" s="2059" customFormat="1" ht="29.25" thickBot="1">
      <c r="A58" s="2096"/>
      <c r="B58" s="2097"/>
      <c r="C58" s="2097"/>
      <c r="I58" s="3169" t="s">
        <v>2358</v>
      </c>
      <c r="J58" s="3170" t="str">
        <f ca="1">IF(OR(M48="住宅",J52&lt;L49,J57="是"),"——",J52-L49)</f>
        <v>——</v>
      </c>
      <c r="K58" s="3127" t="s">
        <v>2363</v>
      </c>
      <c r="L58" s="1908">
        <f ca="1">IF(L49&lt;J52,"——",IF(L56="比较法",L50,IF(L56="基准地价",L51,L52)))</f>
        <v>0</v>
      </c>
      <c r="O58" s="2398" t="s">
        <v>2379</v>
      </c>
      <c r="P58" s="2399" t="s">
        <v>2405</v>
      </c>
      <c r="Q58" s="2400">
        <f ca="1">C41+J31</f>
        <v>0</v>
      </c>
      <c r="R58" s="2399" t="s">
        <v>2380</v>
      </c>
    </row>
    <row r="59" spans="1:18" s="2059" customFormat="1" ht="29.25" thickBot="1">
      <c r="A59" s="2096"/>
      <c r="B59" s="2097"/>
      <c r="C59" s="2097"/>
      <c r="I59" s="3169" t="s">
        <v>2359</v>
      </c>
      <c r="J59" s="3103" t="e">
        <f ca="1">IF(J56&lt;0.4,0.4,J56)</f>
        <v>#VALUE!</v>
      </c>
      <c r="K59" s="3127" t="s">
        <v>2364</v>
      </c>
      <c r="L59" s="1908">
        <f ca="1">IF(ISERROR(POWER(1+L53,L48-L49)*(POWER(1+L53,L49)-1)/(POWER(1+L53,L48)-1)),0,POWER(1+L53,L48-L49)*(POWER(1+L53,L49)-1)/(POWER(1+L53,L48)-1))</f>
        <v>0</v>
      </c>
      <c r="O59" s="2398" t="s">
        <v>2381</v>
      </c>
      <c r="P59" s="2399" t="s">
        <v>2412</v>
      </c>
      <c r="Q59" s="2400" t="e">
        <f ca="1">L61</f>
        <v>#DIV/0!</v>
      </c>
      <c r="R59" s="2403" t="s">
        <v>2414</v>
      </c>
    </row>
    <row r="60" spans="1:18" s="2059" customFormat="1" ht="29.25" thickBot="1">
      <c r="A60" s="2096"/>
      <c r="B60" s="2097"/>
      <c r="C60" s="2097"/>
      <c r="I60" s="3169" t="s">
        <v>2360</v>
      </c>
      <c r="J60" s="3170" t="str">
        <f ca="1">IF(OR(M48="住宅",J52&lt;L49,J57="是"),"——",ROUND(C30*J59,0))</f>
        <v>——</v>
      </c>
      <c r="K60" s="3127"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5.75" thickBot="1">
      <c r="A61" s="2096"/>
      <c r="B61" s="2097"/>
      <c r="C61" s="2097"/>
      <c r="I61" s="3171" t="s">
        <v>2361</v>
      </c>
      <c r="J61" s="3172" t="str">
        <f ca="1">IF(OR(M48="住宅",J52&lt;L49,J57="是"),"0",ROUND(J60/(1+J53)^J54,0))</f>
        <v>0</v>
      </c>
      <c r="K61" s="3173" t="s">
        <v>2366</v>
      </c>
      <c r="L61" s="3172" t="e">
        <f ca="1">IF(OR(M48="住宅",L49&lt;J52),0,ROUND(L58*(L59/L60-1),0))</f>
        <v>#DIV/0!</v>
      </c>
      <c r="O61" s="2401" t="s">
        <v>2384</v>
      </c>
      <c r="P61" s="2399" t="s">
        <v>2393</v>
      </c>
      <c r="Q61" s="2402">
        <f>L53</f>
        <v>0</v>
      </c>
      <c r="R61" s="2403"/>
    </row>
    <row r="62" spans="1:18" s="2059" customFormat="1" ht="20.25" thickBot="1">
      <c r="A62" s="2096"/>
      <c r="B62" s="2097"/>
      <c r="C62" s="2097"/>
      <c r="K62" s="2086"/>
      <c r="O62" s="2401" t="s">
        <v>2386</v>
      </c>
      <c r="P62" s="2399" t="s">
        <v>2394</v>
      </c>
      <c r="Q62" s="2400">
        <f ca="1">L59</f>
        <v>0</v>
      </c>
      <c r="R62" s="2403" t="s">
        <v>2395</v>
      </c>
    </row>
    <row r="63" spans="1:18" s="2059" customFormat="1" ht="20.25" thickBot="1">
      <c r="A63" s="2096"/>
      <c r="B63" s="2097"/>
      <c r="C63" s="2097"/>
      <c r="I63" s="3174" t="s">
        <v>2367</v>
      </c>
      <c r="J63" s="3175" t="s">
        <v>2368</v>
      </c>
      <c r="K63" s="3175" t="s">
        <v>2369</v>
      </c>
      <c r="L63" s="3175" t="s">
        <v>2350</v>
      </c>
      <c r="M63" s="3176" t="s">
        <v>2942</v>
      </c>
      <c r="O63" s="2401" t="s">
        <v>2388</v>
      </c>
      <c r="P63" s="2399" t="s">
        <v>2396</v>
      </c>
      <c r="Q63" s="2400">
        <f ca="1">L60</f>
        <v>0</v>
      </c>
      <c r="R63" s="2403" t="s">
        <v>2397</v>
      </c>
    </row>
    <row r="64" spans="1:18" s="2059" customFormat="1" ht="15.75" thickBot="1">
      <c r="A64" s="2096"/>
      <c r="B64" s="2097"/>
      <c r="C64" s="2097"/>
      <c r="I64" s="3174" t="s">
        <v>2370</v>
      </c>
      <c r="J64" s="3175">
        <v>70</v>
      </c>
      <c r="K64" s="3175">
        <v>50</v>
      </c>
      <c r="L64" s="3175">
        <v>80</v>
      </c>
      <c r="M64" s="3177">
        <v>0.02</v>
      </c>
      <c r="O64" s="2398" t="s">
        <v>2391</v>
      </c>
      <c r="P64" s="2399" t="s">
        <v>2408</v>
      </c>
      <c r="Q64" s="2400" t="e">
        <f ca="1">Q58+Q59</f>
        <v>#DIV/0!</v>
      </c>
      <c r="R64" s="2403" t="s">
        <v>2392</v>
      </c>
    </row>
    <row r="65" spans="1:18" s="2059" customFormat="1" ht="16.5" thickBot="1">
      <c r="A65" s="2096"/>
      <c r="B65" s="2097"/>
      <c r="C65" s="2097"/>
      <c r="I65" s="3174" t="s">
        <v>2371</v>
      </c>
      <c r="J65" s="3175">
        <v>50</v>
      </c>
      <c r="K65" s="3175">
        <v>35</v>
      </c>
      <c r="L65" s="3175">
        <v>60</v>
      </c>
      <c r="M65" s="846">
        <v>0</v>
      </c>
      <c r="O65" s="2404" t="s">
        <v>2415</v>
      </c>
      <c r="P65" s="1592"/>
      <c r="Q65" s="1604"/>
      <c r="R65" s="1592"/>
    </row>
    <row r="66" spans="1:18" s="2059" customFormat="1" ht="15.75" thickBot="1">
      <c r="A66" s="2096"/>
      <c r="B66" s="2097"/>
      <c r="C66" s="2097"/>
      <c r="I66" s="3174" t="s">
        <v>2372</v>
      </c>
      <c r="J66" s="3175">
        <v>40</v>
      </c>
      <c r="K66" s="3175">
        <v>30</v>
      </c>
      <c r="L66" s="3175">
        <v>50</v>
      </c>
      <c r="M66" s="3177">
        <v>0.02</v>
      </c>
      <c r="O66" s="2395" t="s">
        <v>2375</v>
      </c>
      <c r="P66" s="2396" t="s">
        <v>2376</v>
      </c>
      <c r="Q66" s="2397" t="s">
        <v>2377</v>
      </c>
      <c r="R66" s="2396" t="s">
        <v>2378</v>
      </c>
    </row>
    <row r="67" spans="1:18" s="2059" customFormat="1" ht="15.75" thickBot="1">
      <c r="A67" s="2096"/>
      <c r="B67" s="2097"/>
      <c r="C67" s="2097"/>
      <c r="K67" s="2086"/>
      <c r="O67" s="2398" t="s">
        <v>2379</v>
      </c>
      <c r="P67" s="2399" t="s">
        <v>2405</v>
      </c>
      <c r="Q67" s="2400">
        <f ca="1">C41+J31</f>
        <v>0</v>
      </c>
      <c r="R67" s="2399" t="s">
        <v>2380</v>
      </c>
    </row>
    <row r="68" spans="1:18" s="2059" customFormat="1" ht="20.25" thickBot="1">
      <c r="A68" s="2096"/>
      <c r="B68" s="2097"/>
      <c r="C68" s="2097"/>
      <c r="K68" s="2086"/>
      <c r="O68" s="2398" t="s">
        <v>2381</v>
      </c>
      <c r="P68" s="2399" t="s">
        <v>2412</v>
      </c>
      <c r="Q68" s="2400" t="e">
        <f ca="1">L61</f>
        <v>#DIV/0!</v>
      </c>
      <c r="R68" s="2403" t="s">
        <v>2414</v>
      </c>
    </row>
    <row r="69" spans="1:18" s="2059" customFormat="1" ht="21.75" thickBot="1">
      <c r="A69" s="2096"/>
      <c r="B69" s="2097"/>
      <c r="C69" s="2097"/>
      <c r="K69" s="2086"/>
      <c r="O69" s="2401" t="s">
        <v>2383</v>
      </c>
      <c r="P69" s="2399" t="s">
        <v>2413</v>
      </c>
      <c r="Q69" s="2405">
        <f ca="1">L52</f>
        <v>0</v>
      </c>
      <c r="R69" s="2406" t="s">
        <v>2416</v>
      </c>
    </row>
    <row r="70" spans="1:18" s="2059" customFormat="1" ht="20.25" thickBot="1">
      <c r="A70" s="2096"/>
      <c r="B70" s="2097"/>
      <c r="C70" s="2097"/>
      <c r="K70" s="2086"/>
      <c r="O70" s="2401" t="s">
        <v>2384</v>
      </c>
      <c r="P70" s="2407" t="s">
        <v>2398</v>
      </c>
      <c r="Q70" s="2400">
        <f ca="1">ROUND(Q71-Q72*Q73,0)</f>
        <v>0</v>
      </c>
      <c r="R70" s="2403"/>
    </row>
    <row r="71" spans="1:18" s="2059" customFormat="1" ht="15.75" thickBot="1">
      <c r="A71" s="2096"/>
      <c r="B71" s="2097"/>
      <c r="C71" s="2097"/>
      <c r="K71" s="2086"/>
      <c r="O71" s="2401" t="s">
        <v>2399</v>
      </c>
      <c r="P71" s="2407" t="s">
        <v>2400</v>
      </c>
      <c r="Q71" s="2400">
        <f ca="1">C42</f>
        <v>0</v>
      </c>
      <c r="R71" s="2399" t="s">
        <v>2380</v>
      </c>
    </row>
    <row r="72" spans="1:18" s="2059" customFormat="1" ht="15.75" thickBot="1">
      <c r="A72" s="2096"/>
      <c r="B72" s="2097"/>
      <c r="C72" s="2097"/>
      <c r="K72" s="2086"/>
      <c r="O72" s="2401" t="s">
        <v>2401</v>
      </c>
      <c r="P72" s="2407" t="s">
        <v>2402</v>
      </c>
      <c r="Q72" s="2400">
        <f ca="1">C15</f>
        <v>0</v>
      </c>
      <c r="R72" s="2399" t="s">
        <v>2380</v>
      </c>
    </row>
    <row r="73" spans="1:18" s="2059" customFormat="1" ht="15.75" thickBot="1">
      <c r="A73" s="2096"/>
      <c r="B73" s="2097"/>
      <c r="C73" s="2097"/>
      <c r="K73" s="2086"/>
      <c r="O73" s="2401" t="s">
        <v>2403</v>
      </c>
      <c r="P73" s="2407" t="s">
        <v>2404</v>
      </c>
      <c r="Q73" s="2402">
        <f ca="1">F43</f>
        <v>0</v>
      </c>
      <c r="R73" s="2403"/>
    </row>
    <row r="74" spans="1:18" s="2059" customFormat="1" ht="15.75" thickBot="1">
      <c r="A74" s="2096"/>
      <c r="B74" s="2097"/>
      <c r="C74" s="2097"/>
      <c r="K74" s="2086"/>
      <c r="O74" s="2401" t="s">
        <v>2386</v>
      </c>
      <c r="P74" s="2399" t="s">
        <v>2393</v>
      </c>
      <c r="Q74" s="2402">
        <f>L53</f>
        <v>0</v>
      </c>
      <c r="R74" s="2403"/>
    </row>
    <row r="75" spans="1:18" s="2059" customFormat="1" ht="20.25" thickBot="1">
      <c r="A75" s="2096"/>
      <c r="B75" s="2097"/>
      <c r="C75" s="2097"/>
      <c r="K75" s="2086"/>
      <c r="O75" s="2401" t="s">
        <v>2388</v>
      </c>
      <c r="P75" s="2399" t="s">
        <v>2394</v>
      </c>
      <c r="Q75" s="2400">
        <f ca="1">L59</f>
        <v>0</v>
      </c>
      <c r="R75" s="2403" t="s">
        <v>2395</v>
      </c>
    </row>
    <row r="76" spans="1:18" s="2059" customFormat="1" ht="20.25" thickBot="1">
      <c r="A76" s="2096"/>
      <c r="B76" s="2097"/>
      <c r="C76" s="2097"/>
      <c r="K76" s="2086"/>
      <c r="O76" s="2401" t="s">
        <v>2417</v>
      </c>
      <c r="P76" s="2399" t="s">
        <v>2396</v>
      </c>
      <c r="Q76" s="2400">
        <f ca="1">L60</f>
        <v>0</v>
      </c>
      <c r="R76" s="2403" t="s">
        <v>2397</v>
      </c>
    </row>
    <row r="77" spans="1:18" s="2059" customFormat="1" ht="15.75" thickBot="1">
      <c r="A77" s="2096"/>
      <c r="B77" s="2097"/>
      <c r="C77" s="2097"/>
      <c r="K77" s="2086"/>
      <c r="O77" s="2398" t="s">
        <v>2391</v>
      </c>
      <c r="P77" s="2399" t="s">
        <v>2408</v>
      </c>
      <c r="Q77" s="2400" t="e">
        <f ca="1">Q67+Q68</f>
        <v>#DIV/0!</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3" sqref="A43:XFD4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4" t="s">
        <v>2576</v>
      </c>
      <c r="C1" s="3464"/>
      <c r="D1" s="3464"/>
      <c r="E1" s="3464"/>
      <c r="F1" s="3464"/>
      <c r="G1" s="3463" t="s">
        <v>2577</v>
      </c>
      <c r="H1" s="3463"/>
      <c r="I1" s="3463"/>
      <c r="J1" s="3463"/>
      <c r="K1" s="3463"/>
      <c r="L1" s="3463"/>
      <c r="N1" s="3463" t="s">
        <v>2578</v>
      </c>
      <c r="O1" s="3463"/>
      <c r="P1" s="3463"/>
      <c r="Q1" s="3463"/>
      <c r="R1" s="2654"/>
      <c r="S1" s="3463" t="s">
        <v>2579</v>
      </c>
      <c r="T1" s="3463"/>
      <c r="U1" s="3463"/>
      <c r="V1" s="3463"/>
      <c r="X1" s="3462" t="s">
        <v>2639</v>
      </c>
      <c r="Y1" s="3463"/>
      <c r="Z1" s="3463"/>
      <c r="AA1" s="3463"/>
      <c r="AB1" s="3463"/>
      <c r="AD1" s="3462" t="s">
        <v>2643</v>
      </c>
      <c r="AE1" s="3463"/>
      <c r="AF1" s="3463"/>
      <c r="AG1" s="3463"/>
      <c r="AH1" s="3463"/>
    </row>
    <row r="2" spans="1:34" s="2756" customFormat="1" ht="14.25" thickBot="1">
      <c r="B2" s="2764" t="s">
        <v>2580</v>
      </c>
      <c r="C2" s="2764" t="s">
        <v>2641</v>
      </c>
      <c r="D2" s="2757" t="s">
        <v>1645</v>
      </c>
      <c r="E2" s="2757" t="s">
        <v>1952</v>
      </c>
      <c r="F2" s="2764" t="s">
        <v>2642</v>
      </c>
      <c r="G2" s="2760"/>
      <c r="H2" s="2759"/>
      <c r="I2" s="2764" t="s">
        <v>2956</v>
      </c>
      <c r="J2" s="2757" t="s">
        <v>2958</v>
      </c>
      <c r="K2" s="2757" t="s">
        <v>2959</v>
      </c>
      <c r="L2" s="2764" t="s">
        <v>2960</v>
      </c>
      <c r="N2" s="2764" t="s">
        <v>2580</v>
      </c>
      <c r="O2" s="2757" t="s">
        <v>2957</v>
      </c>
      <c r="P2" s="2757" t="s">
        <v>1952</v>
      </c>
      <c r="Q2" s="2764" t="s">
        <v>2642</v>
      </c>
      <c r="R2" s="2758"/>
      <c r="S2" s="2764" t="s">
        <v>2580</v>
      </c>
      <c r="T2" s="2757" t="s">
        <v>2957</v>
      </c>
      <c r="U2" s="2757" t="s">
        <v>1952</v>
      </c>
      <c r="V2" s="2764" t="s">
        <v>2642</v>
      </c>
      <c r="X2" s="2764" t="s">
        <v>2580</v>
      </c>
      <c r="Y2" s="2764" t="s">
        <v>2641</v>
      </c>
      <c r="Z2" s="2757" t="s">
        <v>1645</v>
      </c>
      <c r="AA2" s="2757" t="s">
        <v>1952</v>
      </c>
      <c r="AB2" s="2764" t="s">
        <v>2642</v>
      </c>
      <c r="AD2" s="2764" t="s">
        <v>2580</v>
      </c>
      <c r="AE2" s="2764" t="s">
        <v>2641</v>
      </c>
      <c r="AF2" s="2757" t="s">
        <v>1645</v>
      </c>
      <c r="AG2" s="2757" t="s">
        <v>1952</v>
      </c>
      <c r="AH2" s="2764" t="s">
        <v>2642</v>
      </c>
    </row>
    <row r="3" spans="1:34" s="3135" customFormat="1" ht="14.25">
      <c r="A3" s="3147" t="s">
        <v>2969</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2970</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2967</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2581</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2582</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71">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66"/>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66"/>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67"/>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65">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66"/>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66"/>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67"/>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65">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66"/>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66"/>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67"/>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2640</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2583</v>
      </c>
      <c r="B24" s="2661">
        <v>299</v>
      </c>
      <c r="C24" s="2661">
        <v>252</v>
      </c>
      <c r="D24" s="2661">
        <f t="shared" si="45"/>
        <v>252</v>
      </c>
      <c r="E24" s="2661">
        <v>409</v>
      </c>
      <c r="F24" s="2662">
        <v>227</v>
      </c>
      <c r="G24" s="3468">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2584</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9"/>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2585</v>
      </c>
      <c r="B26" s="2669">
        <f t="shared" si="54"/>
        <v>288.2649053828776</v>
      </c>
      <c r="C26" s="2669">
        <f t="shared" si="54"/>
        <v>243.64564425013293</v>
      </c>
      <c r="D26" s="2669">
        <f t="shared" si="45"/>
        <v>243.64564425013293</v>
      </c>
      <c r="E26" s="2669">
        <f t="shared" si="55"/>
        <v>393.31080825986544</v>
      </c>
      <c r="F26" s="2669">
        <f t="shared" si="55"/>
        <v>223.07903790551154</v>
      </c>
      <c r="G26" s="3469"/>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2586</v>
      </c>
      <c r="B27" s="2669">
        <f t="shared" si="54"/>
        <v>282.50186729015837</v>
      </c>
      <c r="C27" s="2669">
        <f t="shared" si="54"/>
        <v>238.09796174155468</v>
      </c>
      <c r="D27" s="2669">
        <f t="shared" si="45"/>
        <v>238.09796174155468</v>
      </c>
      <c r="E27" s="2669">
        <f t="shared" si="55"/>
        <v>385.33438646014054</v>
      </c>
      <c r="F27" s="2669">
        <f t="shared" si="55"/>
        <v>221.55034055567739</v>
      </c>
      <c r="G27" s="3470"/>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2587</v>
      </c>
      <c r="B28" s="2699">
        <v>278</v>
      </c>
      <c r="C28" s="2699">
        <v>234</v>
      </c>
      <c r="D28" s="2699">
        <f t="shared" si="45"/>
        <v>234</v>
      </c>
      <c r="E28" s="2699">
        <v>379</v>
      </c>
      <c r="F28" s="2700">
        <v>220</v>
      </c>
      <c r="G28" s="3465">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2588</v>
      </c>
      <c r="B29" s="2669">
        <f>B28/(1+N28)</f>
        <v>275.49301357645425</v>
      </c>
      <c r="C29" s="2669">
        <f>C28/(1+O28)</f>
        <v>232.41954707985698</v>
      </c>
      <c r="D29" s="2669">
        <f t="shared" si="45"/>
        <v>232.41954707985698</v>
      </c>
      <c r="E29" s="2669">
        <f t="shared" ref="E29:F31" si="56">E28/(1+P28)</f>
        <v>375.32184591008121</v>
      </c>
      <c r="F29" s="2669">
        <f t="shared" si="56"/>
        <v>218.03766105054513</v>
      </c>
      <c r="G29" s="3466"/>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2589</v>
      </c>
      <c r="B30" s="2669">
        <f>B29/(1+N29)</f>
        <v>275.24529281292263</v>
      </c>
      <c r="C30" s="2669">
        <f>C29/(1+O29)</f>
        <v>231.74747938962707</v>
      </c>
      <c r="D30" s="2669">
        <f t="shared" si="45"/>
        <v>231.74747938962707</v>
      </c>
      <c r="E30" s="2669">
        <f t="shared" si="56"/>
        <v>375.35938184826603</v>
      </c>
      <c r="F30" s="2669">
        <f t="shared" si="56"/>
        <v>216.78033510692495</v>
      </c>
      <c r="G30" s="3466"/>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2590</v>
      </c>
      <c r="B31" s="2669">
        <f>B30/(1+N30)</f>
        <v>275.19025476197027</v>
      </c>
      <c r="C31" s="2701">
        <v>232</v>
      </c>
      <c r="D31" s="2701">
        <f t="shared" si="45"/>
        <v>232</v>
      </c>
      <c r="E31" s="2669">
        <f t="shared" si="56"/>
        <v>375.65990977608692</v>
      </c>
      <c r="F31" s="2669">
        <f t="shared" si="56"/>
        <v>214.12518283971252</v>
      </c>
      <c r="G31" s="3467"/>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2591</v>
      </c>
      <c r="B32" s="2661">
        <v>275</v>
      </c>
      <c r="C32" s="2661">
        <v>232</v>
      </c>
      <c r="D32" s="2661">
        <f t="shared" si="45"/>
        <v>232</v>
      </c>
      <c r="E32" s="2661">
        <v>376</v>
      </c>
      <c r="F32" s="2662">
        <v>213</v>
      </c>
      <c r="G32" s="3465">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2592</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66">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2593</v>
      </c>
      <c r="B34" s="2669">
        <f t="shared" si="57"/>
        <v>275.19335084830601</v>
      </c>
      <c r="C34" s="2669">
        <f t="shared" si="57"/>
        <v>230.18088050139744</v>
      </c>
      <c r="D34" s="2669">
        <f t="shared" si="45"/>
        <v>230.18088050139744</v>
      </c>
      <c r="E34" s="2669">
        <f t="shared" si="58"/>
        <v>377.58482925212331</v>
      </c>
      <c r="F34" s="2669">
        <f t="shared" si="58"/>
        <v>210.90687997847917</v>
      </c>
      <c r="G34" s="3466">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2594</v>
      </c>
      <c r="B35" s="2669">
        <f t="shared" si="57"/>
        <v>276.29854502841971</v>
      </c>
      <c r="C35" s="2669">
        <f t="shared" si="57"/>
        <v>229.79023709833027</v>
      </c>
      <c r="D35" s="2669">
        <f t="shared" si="45"/>
        <v>229.79023709833027</v>
      </c>
      <c r="E35" s="2669">
        <f t="shared" si="58"/>
        <v>379.78759731655936</v>
      </c>
      <c r="F35" s="2669">
        <f t="shared" si="58"/>
        <v>211.32953905659235</v>
      </c>
      <c r="G35" s="3467">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2595</v>
      </c>
      <c r="B36" s="2661">
        <v>269</v>
      </c>
      <c r="C36" s="2661">
        <v>221</v>
      </c>
      <c r="D36" s="2661">
        <f t="shared" si="45"/>
        <v>221</v>
      </c>
      <c r="E36" s="2661">
        <v>373</v>
      </c>
      <c r="F36" s="2662">
        <v>196</v>
      </c>
      <c r="G36" s="3465">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2596</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66">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2597</v>
      </c>
      <c r="B38" s="2669">
        <f t="shared" si="59"/>
        <v>242.95398227588385</v>
      </c>
      <c r="C38" s="2669">
        <f t="shared" si="59"/>
        <v>199.59137053614126</v>
      </c>
      <c r="D38" s="2669">
        <f t="shared" si="45"/>
        <v>199.59137053614126</v>
      </c>
      <c r="E38" s="2669">
        <f t="shared" si="60"/>
        <v>335.92189522342125</v>
      </c>
      <c r="F38" s="2669">
        <f t="shared" si="60"/>
        <v>183.10139991109489</v>
      </c>
      <c r="G38" s="3466">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2598</v>
      </c>
      <c r="B39" s="2669">
        <f t="shared" si="59"/>
        <v>232.06990378821649</v>
      </c>
      <c r="C39" s="2669">
        <f t="shared" si="59"/>
        <v>192.74878854286936</v>
      </c>
      <c r="D39" s="2669">
        <f t="shared" si="45"/>
        <v>192.74878854286936</v>
      </c>
      <c r="E39" s="2669">
        <f t="shared" si="60"/>
        <v>319.71247284992984</v>
      </c>
      <c r="F39" s="2669">
        <f t="shared" si="60"/>
        <v>175.67053622862409</v>
      </c>
      <c r="G39" s="3467">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2599</v>
      </c>
      <c r="B40" s="2661">
        <v>220</v>
      </c>
      <c r="C40" s="2661">
        <v>187</v>
      </c>
      <c r="D40" s="2661">
        <f t="shared" si="45"/>
        <v>187</v>
      </c>
      <c r="E40" s="2661">
        <v>301</v>
      </c>
      <c r="F40" s="2662">
        <v>168</v>
      </c>
      <c r="G40" s="3465">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2600</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66">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2601</v>
      </c>
      <c r="B42" s="2669">
        <f t="shared" si="61"/>
        <v>210.630522469011</v>
      </c>
      <c r="C42" s="2669">
        <f t="shared" si="61"/>
        <v>181.69567812247232</v>
      </c>
      <c r="D42" s="2669">
        <f t="shared" si="45"/>
        <v>181.69567812247232</v>
      </c>
      <c r="E42" s="2669">
        <f t="shared" si="62"/>
        <v>286.13517466736738</v>
      </c>
      <c r="F42" s="2669">
        <f t="shared" si="62"/>
        <v>165.47535084591149</v>
      </c>
      <c r="G42" s="3466">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2602</v>
      </c>
      <c r="B43" s="2669">
        <f t="shared" si="61"/>
        <v>208.83454537875372</v>
      </c>
      <c r="C43" s="2669">
        <f t="shared" si="61"/>
        <v>183.77230517090351</v>
      </c>
      <c r="D43" s="2669">
        <f t="shared" si="45"/>
        <v>183.77230517090351</v>
      </c>
      <c r="E43" s="2669">
        <f t="shared" si="62"/>
        <v>281.10342338870947</v>
      </c>
      <c r="F43" s="2669">
        <f t="shared" si="62"/>
        <v>168.97309388942256</v>
      </c>
      <c r="G43" s="3467">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2603</v>
      </c>
      <c r="B44" s="2699">
        <v>214</v>
      </c>
      <c r="C44" s="2699">
        <v>188</v>
      </c>
      <c r="D44" s="2699">
        <f t="shared" si="45"/>
        <v>188</v>
      </c>
      <c r="E44" s="2699">
        <v>289</v>
      </c>
      <c r="F44" s="2700">
        <v>166</v>
      </c>
      <c r="G44" s="3465">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2604</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66">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2605</v>
      </c>
      <c r="B46" s="2669">
        <f t="shared" si="63"/>
        <v>206.31694671589116</v>
      </c>
      <c r="C46" s="2669">
        <f t="shared" si="63"/>
        <v>183.61041121036101</v>
      </c>
      <c r="D46" s="2669">
        <f t="shared" si="45"/>
        <v>183.61041121036101</v>
      </c>
      <c r="E46" s="2669">
        <f t="shared" si="64"/>
        <v>276.66850301795557</v>
      </c>
      <c r="F46" s="2669">
        <f t="shared" si="64"/>
        <v>165.1360938278614</v>
      </c>
      <c r="G46" s="3466">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2606</v>
      </c>
      <c r="B47" s="2702">
        <f t="shared" si="63"/>
        <v>196.62341248059772</v>
      </c>
      <c r="C47" s="2702">
        <f t="shared" si="63"/>
        <v>170.99125648199012</v>
      </c>
      <c r="D47" s="2702">
        <f t="shared" si="45"/>
        <v>170.99125648199012</v>
      </c>
      <c r="E47" s="2702">
        <f t="shared" si="64"/>
        <v>266.07857570490052</v>
      </c>
      <c r="F47" s="2702">
        <f t="shared" si="64"/>
        <v>154.53499328828505</v>
      </c>
      <c r="G47" s="3467">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2607</v>
      </c>
      <c r="B48" s="2661">
        <v>188</v>
      </c>
      <c r="C48" s="2661">
        <v>165</v>
      </c>
      <c r="D48" s="2661">
        <f t="shared" si="45"/>
        <v>165</v>
      </c>
      <c r="E48" s="2661">
        <v>254</v>
      </c>
      <c r="F48" s="2662">
        <v>148</v>
      </c>
      <c r="G48" s="3465">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2608</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66">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2609</v>
      </c>
      <c r="B50" s="2669">
        <f t="shared" si="67"/>
        <v>168.82017748715555</v>
      </c>
      <c r="C50" s="2669">
        <f t="shared" si="67"/>
        <v>148.06267029972753</v>
      </c>
      <c r="D50" s="2669">
        <f t="shared" si="45"/>
        <v>148.06267029972753</v>
      </c>
      <c r="E50" s="2669">
        <f t="shared" si="68"/>
        <v>216.46288379323747</v>
      </c>
      <c r="F50" s="2669">
        <f t="shared" si="68"/>
        <v>134.23529411764704</v>
      </c>
      <c r="G50" s="3466">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2610</v>
      </c>
      <c r="B51" s="2669">
        <f t="shared" si="67"/>
        <v>163.84913591779542</v>
      </c>
      <c r="C51" s="2669">
        <f t="shared" si="67"/>
        <v>145.0283378746594</v>
      </c>
      <c r="D51" s="2669">
        <f t="shared" si="45"/>
        <v>145.0283378746594</v>
      </c>
      <c r="E51" s="2669">
        <f t="shared" si="68"/>
        <v>204.95180722891567</v>
      </c>
      <c r="F51" s="2669">
        <f t="shared" si="68"/>
        <v>125.95920303605313</v>
      </c>
      <c r="G51" s="3467">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2611</v>
      </c>
      <c r="B52" s="2683">
        <v>159</v>
      </c>
      <c r="C52" s="2683">
        <v>141</v>
      </c>
      <c r="D52" s="2683">
        <f t="shared" si="45"/>
        <v>141</v>
      </c>
      <c r="E52" s="2683">
        <v>195</v>
      </c>
      <c r="F52" s="2684">
        <v>122</v>
      </c>
      <c r="G52" s="3465">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2612</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66">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2613</v>
      </c>
      <c r="B54" s="2669">
        <f t="shared" si="71"/>
        <v>146.57412060301507</v>
      </c>
      <c r="C54" s="2669">
        <f t="shared" si="71"/>
        <v>136.46831955922866</v>
      </c>
      <c r="D54" s="2669">
        <f t="shared" si="45"/>
        <v>136.46831955922866</v>
      </c>
      <c r="E54" s="2669">
        <f t="shared" si="72"/>
        <v>166.73864894795128</v>
      </c>
      <c r="F54" s="2669">
        <f t="shared" si="72"/>
        <v>115.05882352941177</v>
      </c>
      <c r="G54" s="3466">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2614</v>
      </c>
      <c r="B55" s="2669">
        <f t="shared" si="71"/>
        <v>144.04145728643215</v>
      </c>
      <c r="C55" s="2669">
        <f t="shared" si="71"/>
        <v>136.12396694214877</v>
      </c>
      <c r="D55" s="2669">
        <f t="shared" si="45"/>
        <v>136.12396694214877</v>
      </c>
      <c r="E55" s="2669">
        <f t="shared" si="72"/>
        <v>158.32225913621264</v>
      </c>
      <c r="F55" s="2669">
        <f t="shared" si="72"/>
        <v>114.04278074866311</v>
      </c>
      <c r="G55" s="3467">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2615</v>
      </c>
      <c r="B56" s="2683">
        <v>138</v>
      </c>
      <c r="C56" s="2683">
        <v>131</v>
      </c>
      <c r="D56" s="2683">
        <f t="shared" si="45"/>
        <v>131</v>
      </c>
      <c r="E56" s="2683">
        <v>155</v>
      </c>
      <c r="F56" s="2684">
        <v>114</v>
      </c>
      <c r="G56" s="3465">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2616</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66">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2617</v>
      </c>
      <c r="B58" s="2669">
        <f t="shared" si="75"/>
        <v>124.29032258064517</v>
      </c>
      <c r="C58" s="2669">
        <f t="shared" si="75"/>
        <v>123.8968609865471</v>
      </c>
      <c r="D58" s="2669">
        <f t="shared" si="45"/>
        <v>123.8968609865471</v>
      </c>
      <c r="E58" s="2669">
        <f t="shared" si="76"/>
        <v>138.00507614213197</v>
      </c>
      <c r="F58" s="2669">
        <f t="shared" si="76"/>
        <v>107.96106557377048</v>
      </c>
      <c r="G58" s="3466">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2618</v>
      </c>
      <c r="B59" s="2669">
        <f t="shared" si="75"/>
        <v>122.57204301075269</v>
      </c>
      <c r="C59" s="2669">
        <f t="shared" si="75"/>
        <v>123.4932735426009</v>
      </c>
      <c r="D59" s="2669">
        <f t="shared" si="45"/>
        <v>123.4932735426009</v>
      </c>
      <c r="E59" s="2669">
        <f t="shared" si="76"/>
        <v>129.82233502538071</v>
      </c>
      <c r="F59" s="2669">
        <f t="shared" si="76"/>
        <v>107.39446721311475</v>
      </c>
      <c r="G59" s="3467">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2619</v>
      </c>
      <c r="B60" s="2699">
        <v>121</v>
      </c>
      <c r="C60" s="2699">
        <v>122</v>
      </c>
      <c r="D60" s="2699">
        <f t="shared" si="45"/>
        <v>122</v>
      </c>
      <c r="E60" s="2699">
        <v>124</v>
      </c>
      <c r="F60" s="2700">
        <v>107</v>
      </c>
      <c r="G60" s="3465">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2620</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66">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2621</v>
      </c>
      <c r="B62" s="2669">
        <f t="shared" si="79"/>
        <v>116.99099099099099</v>
      </c>
      <c r="C62" s="2669">
        <f t="shared" si="79"/>
        <v>118.84848484848486</v>
      </c>
      <c r="D62" s="2669">
        <f t="shared" si="45"/>
        <v>118.84848484848486</v>
      </c>
      <c r="E62" s="2669">
        <f t="shared" si="80"/>
        <v>117.60960960960961</v>
      </c>
      <c r="F62" s="2669">
        <f t="shared" si="80"/>
        <v>104</v>
      </c>
      <c r="G62" s="3466">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2622</v>
      </c>
      <c r="B63" s="2702">
        <f t="shared" si="79"/>
        <v>112.48648648648648</v>
      </c>
      <c r="C63" s="2702">
        <f t="shared" si="79"/>
        <v>115.21212121212122</v>
      </c>
      <c r="D63" s="2702">
        <f t="shared" si="45"/>
        <v>115.21212121212122</v>
      </c>
      <c r="E63" s="2702">
        <f t="shared" si="80"/>
        <v>110.4024024024024</v>
      </c>
      <c r="F63" s="2702">
        <f t="shared" si="80"/>
        <v>104</v>
      </c>
      <c r="G63" s="3467">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2623</v>
      </c>
      <c r="B64" s="2720">
        <v>111</v>
      </c>
      <c r="C64" s="2720">
        <v>114</v>
      </c>
      <c r="D64" s="2720">
        <f t="shared" si="45"/>
        <v>114</v>
      </c>
      <c r="E64" s="2720">
        <v>108</v>
      </c>
      <c r="F64" s="2721">
        <v>104</v>
      </c>
      <c r="G64" s="3465">
        <v>2003</v>
      </c>
      <c r="H64" s="2710">
        <v>4</v>
      </c>
      <c r="I64" s="2722"/>
      <c r="J64" s="2722"/>
      <c r="K64" s="2722"/>
      <c r="L64" s="2722"/>
      <c r="N64" s="2723"/>
      <c r="O64" s="2722"/>
      <c r="P64" s="2722"/>
      <c r="Q64" s="2722"/>
      <c r="S64" s="2723"/>
      <c r="T64" s="2722"/>
      <c r="U64" s="2722"/>
      <c r="V64" s="2722"/>
      <c r="X64" s="2714"/>
      <c r="Y64" s="2714"/>
      <c r="Z64" s="2714"/>
    </row>
    <row r="65" spans="1:26">
      <c r="A65" s="2655" t="s">
        <v>2624</v>
      </c>
      <c r="B65" s="2724">
        <f t="shared" ref="B65:C67" si="81">B66+(B$64-B$68)/4</f>
        <v>109.75</v>
      </c>
      <c r="C65" s="2724">
        <f t="shared" si="81"/>
        <v>112.25</v>
      </c>
      <c r="D65" s="2724">
        <f t="shared" si="45"/>
        <v>112.25</v>
      </c>
      <c r="E65" s="2724">
        <f t="shared" ref="E65:F67" si="82">E66+(E$64-E$68)/4</f>
        <v>107.25</v>
      </c>
      <c r="F65" s="2724">
        <f t="shared" si="82"/>
        <v>103.5</v>
      </c>
      <c r="G65" s="3466">
        <v>2003</v>
      </c>
      <c r="H65" s="2680">
        <v>3</v>
      </c>
      <c r="I65" s="2722"/>
      <c r="J65" s="2722"/>
      <c r="K65" s="2722"/>
      <c r="L65" s="2722"/>
      <c r="X65" s="2714"/>
      <c r="Y65" s="2714"/>
      <c r="Z65" s="2714"/>
    </row>
    <row r="66" spans="1:26">
      <c r="A66" s="2655" t="s">
        <v>2625</v>
      </c>
      <c r="B66" s="2724">
        <f t="shared" si="81"/>
        <v>108.5</v>
      </c>
      <c r="C66" s="2724">
        <f t="shared" si="81"/>
        <v>110.5</v>
      </c>
      <c r="D66" s="2724">
        <f t="shared" si="45"/>
        <v>110.5</v>
      </c>
      <c r="E66" s="2724">
        <f t="shared" si="82"/>
        <v>106.5</v>
      </c>
      <c r="F66" s="2724">
        <f t="shared" si="82"/>
        <v>103</v>
      </c>
      <c r="G66" s="3466">
        <v>2003</v>
      </c>
      <c r="H66" s="2660">
        <v>2</v>
      </c>
      <c r="I66" s="2722"/>
      <c r="J66" s="2722"/>
      <c r="K66" s="2722"/>
      <c r="L66" s="2722"/>
      <c r="X66" s="2714"/>
      <c r="Y66" s="2714"/>
      <c r="Z66" s="2714"/>
    </row>
    <row r="67" spans="1:26" ht="13.5" thickBot="1">
      <c r="A67" s="2655" t="s">
        <v>2626</v>
      </c>
      <c r="B67" s="2724">
        <f t="shared" si="81"/>
        <v>107.25</v>
      </c>
      <c r="C67" s="2724">
        <f t="shared" si="81"/>
        <v>108.75</v>
      </c>
      <c r="D67" s="2724">
        <f t="shared" si="45"/>
        <v>108.75</v>
      </c>
      <c r="E67" s="2724">
        <f t="shared" si="82"/>
        <v>105.75</v>
      </c>
      <c r="F67" s="2724">
        <f t="shared" si="82"/>
        <v>102.5</v>
      </c>
      <c r="G67" s="3467">
        <v>2003</v>
      </c>
      <c r="H67" s="2725">
        <v>1</v>
      </c>
      <c r="I67" s="2722"/>
      <c r="J67" s="2722"/>
      <c r="K67" s="2722"/>
      <c r="L67" s="2722"/>
      <c r="S67" s="2664"/>
      <c r="T67" s="2665"/>
      <c r="U67" s="2665"/>
      <c r="X67" s="2714"/>
      <c r="Y67" s="2714"/>
      <c r="Z67" s="2714"/>
    </row>
    <row r="68" spans="1:26" ht="13.5" thickBot="1">
      <c r="A68" s="2655" t="s">
        <v>2627</v>
      </c>
      <c r="B68" s="2726">
        <v>106</v>
      </c>
      <c r="C68" s="2726">
        <v>107</v>
      </c>
      <c r="D68" s="2726">
        <f t="shared" si="45"/>
        <v>107</v>
      </c>
      <c r="E68" s="2726">
        <v>105</v>
      </c>
      <c r="F68" s="2727">
        <v>102</v>
      </c>
      <c r="G68" s="3465">
        <v>2002</v>
      </c>
      <c r="H68" s="2675">
        <v>4</v>
      </c>
      <c r="I68" s="2722"/>
      <c r="J68" s="2722"/>
      <c r="K68" s="2722"/>
      <c r="L68" s="2722"/>
      <c r="N68" s="2723"/>
      <c r="O68" s="2722"/>
      <c r="P68" s="2722"/>
      <c r="Q68" s="2722"/>
      <c r="S68" s="2723"/>
      <c r="T68" s="2722"/>
      <c r="U68" s="2722"/>
      <c r="V68" s="2722"/>
      <c r="X68" s="2714"/>
      <c r="Y68" s="2714"/>
      <c r="Z68" s="2714"/>
    </row>
    <row r="69" spans="1:26">
      <c r="A69" s="2655" t="s">
        <v>2628</v>
      </c>
      <c r="B69" s="2724">
        <f t="shared" ref="B69:C71" si="83">B70+(B$68-B$72)/4</f>
        <v>105</v>
      </c>
      <c r="C69" s="2724">
        <f t="shared" si="83"/>
        <v>106</v>
      </c>
      <c r="D69" s="2724">
        <f t="shared" si="45"/>
        <v>106</v>
      </c>
      <c r="E69" s="2724">
        <f t="shared" ref="E69:F71" si="84">E70+(E$68-E$72)/4</f>
        <v>104.5</v>
      </c>
      <c r="F69" s="2724">
        <f t="shared" si="84"/>
        <v>101.5</v>
      </c>
      <c r="G69" s="3466">
        <v>2002</v>
      </c>
      <c r="H69" s="2680">
        <v>3</v>
      </c>
      <c r="I69" s="2722"/>
      <c r="J69" s="2722"/>
      <c r="K69" s="2722"/>
      <c r="L69" s="2722"/>
      <c r="X69" s="2714"/>
      <c r="Y69" s="2714"/>
      <c r="Z69" s="2714"/>
    </row>
    <row r="70" spans="1:26">
      <c r="A70" s="2655" t="s">
        <v>2629</v>
      </c>
      <c r="B70" s="2724">
        <f t="shared" si="83"/>
        <v>104</v>
      </c>
      <c r="C70" s="2724">
        <f t="shared" si="83"/>
        <v>105</v>
      </c>
      <c r="D70" s="2724">
        <f t="shared" si="45"/>
        <v>105</v>
      </c>
      <c r="E70" s="2724">
        <f t="shared" si="84"/>
        <v>104</v>
      </c>
      <c r="F70" s="2724">
        <f t="shared" si="84"/>
        <v>101</v>
      </c>
      <c r="G70" s="3466">
        <v>2002</v>
      </c>
      <c r="H70" s="2660">
        <v>2</v>
      </c>
      <c r="I70" s="2722"/>
      <c r="J70" s="2722"/>
      <c r="K70" s="2722"/>
      <c r="L70" s="2722"/>
      <c r="X70" s="2714"/>
      <c r="Y70" s="2714"/>
      <c r="Z70" s="2714"/>
    </row>
    <row r="71" spans="1:26" s="2691" customFormat="1" ht="13.5" thickBot="1">
      <c r="A71" s="2687" t="s">
        <v>2630</v>
      </c>
      <c r="B71" s="2728">
        <f t="shared" si="83"/>
        <v>103</v>
      </c>
      <c r="C71" s="2728">
        <f t="shared" si="83"/>
        <v>104</v>
      </c>
      <c r="D71" s="2728">
        <f t="shared" si="45"/>
        <v>104</v>
      </c>
      <c r="E71" s="2728">
        <f t="shared" si="84"/>
        <v>103.5</v>
      </c>
      <c r="F71" s="2728">
        <f t="shared" si="84"/>
        <v>100.5</v>
      </c>
      <c r="G71" s="3467">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2631</v>
      </c>
      <c r="G74" s="2738"/>
      <c r="N74" s="2738"/>
      <c r="S74" s="2738"/>
    </row>
    <row r="75" spans="1:26" s="2737" customFormat="1">
      <c r="A75" s="2737" t="s">
        <v>2632</v>
      </c>
      <c r="G75" s="2738"/>
      <c r="N75" s="2738"/>
      <c r="S75" s="2738"/>
    </row>
    <row r="76" spans="1:26" s="2737" customFormat="1">
      <c r="A76" s="2737" t="s">
        <v>2633</v>
      </c>
      <c r="G76" s="2738"/>
      <c r="I76" s="2739"/>
      <c r="J76" s="2739"/>
      <c r="K76" s="2739"/>
      <c r="L76" s="2739"/>
      <c r="N76" s="2740"/>
      <c r="O76" s="2739"/>
      <c r="P76" s="2739"/>
      <c r="Q76" s="2739"/>
      <c r="S76" s="2740"/>
      <c r="T76" s="2739"/>
      <c r="U76" s="2739"/>
      <c r="V76" s="2739"/>
    </row>
    <row r="77" spans="1:26" s="2737" customFormat="1">
      <c r="A77" s="2737" t="s">
        <v>2634</v>
      </c>
      <c r="G77" s="2738"/>
      <c r="N77" s="2738"/>
      <c r="S77" s="2738"/>
    </row>
    <row r="84" spans="7:22" ht="13.5" thickBot="1"/>
    <row r="85" spans="7:22">
      <c r="G85" s="2663"/>
      <c r="S85" s="2741" t="s">
        <v>2635</v>
      </c>
      <c r="T85" s="2742" t="s">
        <v>2636</v>
      </c>
      <c r="U85" s="2742" t="s">
        <v>2637</v>
      </c>
      <c r="V85" s="2742" t="s">
        <v>2638</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19" sqref="I1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2998</v>
      </c>
      <c r="D1" s="3126" t="s">
        <v>3013</v>
      </c>
      <c r="E1" s="2387" t="s">
        <v>2374</v>
      </c>
      <c r="F1" s="2388">
        <f ca="1">J53</f>
        <v>32.65</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19788</v>
      </c>
      <c r="C2" s="2057"/>
      <c r="D2" s="2055"/>
      <c r="E2" s="2056"/>
      <c r="F2" s="2056"/>
      <c r="G2" s="1590"/>
      <c r="H2" s="2057"/>
      <c r="I2" s="2057"/>
      <c r="J2" s="2057"/>
      <c r="K2" s="2058"/>
      <c r="L2" s="2057"/>
      <c r="M2" s="2057"/>
    </row>
    <row r="3" spans="1:33" ht="18" customHeight="1" thickBot="1">
      <c r="A3" s="833" t="s">
        <v>1728</v>
      </c>
      <c r="B3" s="834">
        <f ca="1">IF(ISERROR(B2*10000/F43),0,ROUND(B2*10000/F43,0))</f>
        <v>5664</v>
      </c>
      <c r="C3" s="2057"/>
      <c r="D3" s="2055"/>
      <c r="E3" s="2056"/>
      <c r="F3" s="2056"/>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1492</v>
      </c>
      <c r="D5" s="2496" t="s">
        <v>2461</v>
      </c>
      <c r="E5" s="2490"/>
      <c r="F5" s="2491"/>
      <c r="G5" s="1592"/>
      <c r="H5" s="781">
        <v>1</v>
      </c>
      <c r="I5" s="782" t="s">
        <v>2458</v>
      </c>
      <c r="J5" s="55">
        <f ca="1">J6+J10+J12</f>
        <v>0</v>
      </c>
      <c r="K5" s="2496" t="s">
        <v>2461</v>
      </c>
      <c r="L5" s="2490"/>
      <c r="M5" s="2491"/>
    </row>
    <row r="6" spans="1:33" ht="18" customHeight="1">
      <c r="A6" s="1830" t="s">
        <v>1825</v>
      </c>
      <c r="B6" s="3456" t="s">
        <v>2463</v>
      </c>
      <c r="C6" s="783">
        <f ca="1">ROUND(F6*F8*F7*(1-F9)/10000,0)</f>
        <v>1492</v>
      </c>
      <c r="D6" s="2497" t="s">
        <v>2462</v>
      </c>
      <c r="E6" s="784" t="s">
        <v>1739</v>
      </c>
      <c r="F6" s="785">
        <f ca="1">INDIRECT("'数据-取费表'!u"&amp;$G$1)</f>
        <v>1.3</v>
      </c>
      <c r="G6" s="1592"/>
      <c r="H6" s="2504" t="s">
        <v>2468</v>
      </c>
      <c r="I6" s="3456" t="s">
        <v>2463</v>
      </c>
      <c r="J6" s="783">
        <f ca="1">ROUND(M6*M8*M7*(1-M9)/10000,0)</f>
        <v>0</v>
      </c>
      <c r="K6" s="341" t="s">
        <v>1738</v>
      </c>
      <c r="L6" s="784" t="s">
        <v>1739</v>
      </c>
      <c r="M6" s="785">
        <f ca="1">INDIRECT("'数据-取费表'!z"&amp;$G$1)</f>
        <v>0</v>
      </c>
    </row>
    <row r="7" spans="1:33" ht="18" customHeight="1">
      <c r="A7" s="2500"/>
      <c r="B7" s="3457"/>
      <c r="C7" s="788"/>
      <c r="D7" s="789"/>
      <c r="E7" s="784" t="s">
        <v>1740</v>
      </c>
      <c r="F7" s="785">
        <f ca="1">IF(INDIRECT("'数据-取费表'!ah"&amp;$G$1)="",INDIRECT("'数据-取费表'!k"&amp;$G$1),INDIRECT("'数据-取费表'!ah"&amp;$G$1))</f>
        <v>34935.53</v>
      </c>
      <c r="G7" s="1592"/>
      <c r="H7" s="2489"/>
      <c r="I7" s="3457"/>
      <c r="J7" s="788"/>
      <c r="K7" s="789"/>
      <c r="L7" s="784" t="s">
        <v>1740</v>
      </c>
      <c r="M7" s="785">
        <f ca="1">F7</f>
        <v>34935.53</v>
      </c>
    </row>
    <row r="8" spans="1:33" ht="18" customHeight="1">
      <c r="A8" s="2493"/>
      <c r="B8" s="3458"/>
      <c r="C8" s="788"/>
      <c r="D8" s="789"/>
      <c r="E8" s="784" t="s">
        <v>1741</v>
      </c>
      <c r="F8" s="785">
        <f ca="1">INDIRECT("'数据-取费表'!ai"&amp;$G$1)</f>
        <v>365</v>
      </c>
      <c r="G8" s="1592"/>
      <c r="H8" s="2489"/>
      <c r="I8" s="3458"/>
      <c r="J8" s="788"/>
      <c r="K8" s="789"/>
      <c r="L8" s="784" t="s">
        <v>1741</v>
      </c>
      <c r="M8" s="785">
        <f ca="1">INDIRECT("'数据-取费表'!ai"&amp;$G$1)</f>
        <v>365</v>
      </c>
    </row>
    <row r="9" spans="1:33" ht="18" customHeight="1">
      <c r="A9" s="786"/>
      <c r="B9" s="3459"/>
      <c r="C9" s="788"/>
      <c r="D9" s="789"/>
      <c r="E9" s="784" t="s">
        <v>1742</v>
      </c>
      <c r="F9" s="794">
        <f ca="1">INDIRECT("'数据-取费表'!w"&amp;$G$1)</f>
        <v>0.1</v>
      </c>
      <c r="G9" s="1592"/>
      <c r="H9" s="2505"/>
      <c r="I9" s="3458"/>
      <c r="J9" s="788"/>
      <c r="K9" s="789"/>
      <c r="L9" s="795" t="s">
        <v>1742</v>
      </c>
      <c r="M9" s="796">
        <f ca="1">INDIRECT("'数据-取费表'!ab"&amp;$G$1)</f>
        <v>0</v>
      </c>
    </row>
    <row r="10" spans="1:33" ht="18" customHeight="1">
      <c r="A10" s="1830" t="s">
        <v>2466</v>
      </c>
      <c r="B10" s="2494" t="s">
        <v>2459</v>
      </c>
      <c r="C10" s="799">
        <f ca="1">ROUND(IF(F10="押一",C6/12*F11,IF(F10="押二",C6/12*2*F11,IF(F10="押三",C6/12*3*F11,C11*F11))),0)</f>
        <v>0</v>
      </c>
      <c r="D10" s="2501" t="s">
        <v>2974</v>
      </c>
      <c r="E10" s="2498" t="s">
        <v>2464</v>
      </c>
      <c r="F10" s="2621"/>
      <c r="G10" s="1592"/>
      <c r="H10" s="2561" t="s">
        <v>2469</v>
      </c>
      <c r="I10" s="2566" t="s">
        <v>2459</v>
      </c>
      <c r="J10" s="783">
        <f ca="1">ROUND(IF(M10="押一",J6/12*M11,IF(M10="押二",J6/12*2*M11,IF(M10="押三",J6/12*3*M11,J11*M11))),0)</f>
        <v>0</v>
      </c>
      <c r="K10" s="2501" t="s">
        <v>2974</v>
      </c>
      <c r="L10" s="2498" t="s">
        <v>2464</v>
      </c>
      <c r="M10" s="2621"/>
    </row>
    <row r="11" spans="1:33" ht="18" customHeight="1">
      <c r="A11" s="790"/>
      <c r="B11" s="2495" t="s">
        <v>2573</v>
      </c>
      <c r="C11" s="2499"/>
      <c r="D11" s="789"/>
      <c r="E11" s="2498" t="s">
        <v>2465</v>
      </c>
      <c r="F11" s="796">
        <f ca="1">'数据-取费表'!B39</f>
        <v>1.4999999999999999E-2</v>
      </c>
      <c r="G11" s="1592"/>
      <c r="H11" s="2562"/>
      <c r="I11" s="2495" t="s">
        <v>2573</v>
      </c>
      <c r="J11" s="2499"/>
      <c r="K11" s="2563"/>
      <c r="L11" s="2498" t="s">
        <v>2465</v>
      </c>
      <c r="M11" s="2492">
        <f ca="1">'数据-取费表'!B39</f>
        <v>1.4999999999999999E-2</v>
      </c>
    </row>
    <row r="12" spans="1:33" ht="18" customHeight="1" thickBot="1">
      <c r="A12" s="2537" t="s">
        <v>2467</v>
      </c>
      <c r="B12" s="2538" t="s">
        <v>2460</v>
      </c>
      <c r="C12" s="2539"/>
      <c r="D12" s="2540"/>
      <c r="E12" s="2541"/>
      <c r="F12" s="2542"/>
      <c r="G12" s="1592"/>
      <c r="H12" s="2551" t="s">
        <v>2470</v>
      </c>
      <c r="I12" s="2564" t="s">
        <v>2460</v>
      </c>
      <c r="J12" s="2565"/>
      <c r="K12" s="2540"/>
      <c r="L12" s="2541"/>
      <c r="M12" s="2554"/>
    </row>
    <row r="13" spans="1:33" ht="18" customHeight="1" thickTop="1">
      <c r="A13" s="1829">
        <v>2</v>
      </c>
      <c r="B13" s="1827" t="s">
        <v>1743</v>
      </c>
      <c r="C13" s="792">
        <f ca="1">ROUND(C29*F13,0)</f>
        <v>14442</v>
      </c>
      <c r="D13" s="1834" t="s">
        <v>2299</v>
      </c>
      <c r="E13" s="1834" t="s">
        <v>1745</v>
      </c>
      <c r="F13" s="2536">
        <f ca="1">INDIRECT("'数据-取费表'!y"&amp;$G$1)</f>
        <v>1</v>
      </c>
      <c r="G13" s="1592"/>
      <c r="H13" s="1829">
        <v>2</v>
      </c>
      <c r="I13" s="1827" t="s">
        <v>1743</v>
      </c>
      <c r="J13" s="1819">
        <f ca="1">ROUND(J14*J15,0)</f>
        <v>0</v>
      </c>
      <c r="K13" s="1821" t="s">
        <v>1744</v>
      </c>
      <c r="L13" s="2552"/>
      <c r="M13" s="2553"/>
    </row>
    <row r="14" spans="1:33" ht="18" customHeight="1">
      <c r="A14" s="1648" t="s">
        <v>1885</v>
      </c>
      <c r="B14" s="784" t="s">
        <v>645</v>
      </c>
      <c r="C14" s="804">
        <f ca="1">INDIRECT("'数据-取费表'!m"&amp;$G$1)+INDIRECT("'数据-取费表'!t"&amp;$G$1)</f>
        <v>9782</v>
      </c>
      <c r="D14" s="1979" t="s">
        <v>1746</v>
      </c>
      <c r="E14" s="1980"/>
      <c r="F14" s="805"/>
      <c r="G14" s="1592"/>
      <c r="H14" s="1649" t="s">
        <v>1831</v>
      </c>
      <c r="I14" s="2231" t="s">
        <v>2825</v>
      </c>
      <c r="J14" s="53">
        <f ca="1">C29</f>
        <v>14442</v>
      </c>
      <c r="K14" s="26"/>
      <c r="L14" s="801"/>
      <c r="M14" s="802"/>
    </row>
    <row r="15" spans="1:33" s="2064" customFormat="1" ht="18" customHeight="1" thickBot="1">
      <c r="A15" s="1648" t="s">
        <v>1886</v>
      </c>
      <c r="B15" s="784" t="s">
        <v>647</v>
      </c>
      <c r="C15" s="53">
        <f ca="1">ROUND(C14*F15,0)</f>
        <v>293</v>
      </c>
      <c r="D15" s="806" t="s">
        <v>1747</v>
      </c>
      <c r="E15" s="806" t="s">
        <v>1748</v>
      </c>
      <c r="F15" s="807">
        <f>'数据-取费表'!B33</f>
        <v>0.03</v>
      </c>
      <c r="G15" s="1593"/>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1438</v>
      </c>
      <c r="K16" s="1821" t="s">
        <v>1751</v>
      </c>
      <c r="L16" s="2486"/>
      <c r="M16" s="2491"/>
    </row>
    <row r="17" spans="1:33" s="2064" customFormat="1" ht="18" customHeight="1">
      <c r="A17" s="1648" t="s">
        <v>1888</v>
      </c>
      <c r="B17" s="784" t="s">
        <v>653</v>
      </c>
      <c r="C17" s="53">
        <f ca="1">ROUND(F17*(F43+INDIRECT("'数据-取费表'!S"&amp;$G$1))/10000,0)</f>
        <v>699</v>
      </c>
      <c r="D17" s="784" t="s">
        <v>1752</v>
      </c>
      <c r="E17" s="784" t="s">
        <v>1753</v>
      </c>
      <c r="F17" s="56">
        <f>'数据-取费表'!B35</f>
        <v>200</v>
      </c>
      <c r="G17" s="1593"/>
      <c r="H17" s="1649" t="s">
        <v>1831</v>
      </c>
      <c r="I17" s="784" t="s">
        <v>656</v>
      </c>
      <c r="J17" s="53">
        <f ca="1">ROUND(IF(项目基本情况!B11="自然人",J5*M17,J18+J19+J20),0)</f>
        <v>1221</v>
      </c>
      <c r="K17" s="2485" t="s">
        <v>1754</v>
      </c>
      <c r="L17" s="2484" t="s">
        <v>1755</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147</v>
      </c>
      <c r="D18" s="784" t="s">
        <v>1747</v>
      </c>
      <c r="E18" s="784" t="s">
        <v>1748</v>
      </c>
      <c r="F18" s="809">
        <f>'数据-取费表'!B36</f>
        <v>1.4999999999999999E-2</v>
      </c>
      <c r="G18" s="1593"/>
      <c r="H18" s="1648" t="s">
        <v>1885</v>
      </c>
      <c r="I18" s="784" t="s">
        <v>1756</v>
      </c>
      <c r="J18" s="53">
        <f ca="1">ROUND(J5*M18/1.05,1)</f>
        <v>0</v>
      </c>
      <c r="K18" s="2484" t="s">
        <v>1757</v>
      </c>
      <c r="L18" s="784" t="s">
        <v>1748</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10921</v>
      </c>
      <c r="D19" s="261" t="s">
        <v>1758</v>
      </c>
      <c r="E19" s="1982"/>
      <c r="F19" s="56"/>
      <c r="G19" s="1592"/>
      <c r="H19" s="1648" t="s">
        <v>1886</v>
      </c>
      <c r="I19" s="784" t="s">
        <v>1759</v>
      </c>
      <c r="J19" s="53">
        <f ca="1">IF(K19="按租金收入计税",ROUND(J5*M19,1),ROUND(C29*F33*0.7,1))</f>
        <v>1213.0999999999999</v>
      </c>
      <c r="K19" s="811" t="s">
        <v>665</v>
      </c>
      <c r="L19" s="784" t="s">
        <v>1748</v>
      </c>
      <c r="M19" s="809">
        <f>IF(K19="按租金收入计税",'数据-取费表'!B51,'数据-取费表'!B50)</f>
        <v>1.2E-2</v>
      </c>
    </row>
    <row r="20" spans="1:33" s="2064" customFormat="1" ht="18" customHeight="1">
      <c r="A20" s="1649" t="s">
        <v>1890</v>
      </c>
      <c r="B20" s="784" t="s">
        <v>666</v>
      </c>
      <c r="C20" s="53">
        <f ca="1">ROUND(C19*F20,0)</f>
        <v>218</v>
      </c>
      <c r="D20" s="812" t="s">
        <v>1760</v>
      </c>
      <c r="E20" s="784" t="s">
        <v>1748</v>
      </c>
      <c r="F20" s="809">
        <f>'数据-取费表'!B37</f>
        <v>0.02</v>
      </c>
      <c r="G20" s="1593"/>
      <c r="H20" s="1651" t="s">
        <v>1881</v>
      </c>
      <c r="I20" s="341" t="s">
        <v>1761</v>
      </c>
      <c r="J20" s="54">
        <f ca="1">ROUND(M20*M21/10000,0)</f>
        <v>8</v>
      </c>
      <c r="K20" s="814" t="s">
        <v>1762</v>
      </c>
      <c r="L20" s="784" t="s">
        <v>1763</v>
      </c>
      <c r="M20" s="640">
        <f>'数据-取费表'!B52</f>
        <v>6</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2300</v>
      </c>
      <c r="E21" s="784" t="s">
        <v>1766</v>
      </c>
      <c r="F21" s="809">
        <f>'数据-取费表'!B38</f>
        <v>0.02</v>
      </c>
      <c r="G21" s="1593"/>
      <c r="H21" s="2506"/>
      <c r="I21" s="793"/>
      <c r="J21" s="69"/>
      <c r="K21" s="816"/>
      <c r="L21" s="784" t="s">
        <v>1767</v>
      </c>
      <c r="M21" s="785">
        <f ca="1">INDIRECT("'数据-取费表'!r"&amp;$G$1)</f>
        <v>13974.21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72"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217</v>
      </c>
      <c r="K22" s="2484" t="s">
        <v>1770</v>
      </c>
      <c r="L22" s="784" t="s">
        <v>1748</v>
      </c>
      <c r="M22" s="817">
        <f ca="1">INDIRECT("'数据-取费表'!Ak"&amp;$G$1)</f>
        <v>1.4999999999999999E-2</v>
      </c>
    </row>
    <row r="23" spans="1:33" s="2064" customFormat="1" ht="18" customHeight="1">
      <c r="A23" s="1648" t="s">
        <v>1832</v>
      </c>
      <c r="B23" s="784" t="s">
        <v>2535</v>
      </c>
      <c r="C23" s="53">
        <f ca="1">ROUND(IF('数据-取费表'!B22&lt;=1,(C19+C20)*F24*F23/2,(C19+C20)*(POWER((1+F24),F23/2)-1)),0)</f>
        <v>529</v>
      </c>
      <c r="D23" s="2571"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4" t="s">
        <v>1772</v>
      </c>
      <c r="L23" s="784" t="s">
        <v>1748</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1E-3</v>
      </c>
      <c r="D24" s="2571" t="str">
        <f>IF(F23&lt;=1,"销售费用×利率×(建设周期÷2)","销售费用×((1+利率)^(建设周期÷2)-1)")</f>
        <v>销售费用×((1+利率)^(建设周期÷2)-1)</v>
      </c>
      <c r="E24" s="784" t="s">
        <v>1774</v>
      </c>
      <c r="F24" s="819">
        <f ca="1">'数据-取费表'!B40</f>
        <v>4.7500000000000001E-2</v>
      </c>
      <c r="G24" s="1593"/>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3010" t="s">
        <v>2821</v>
      </c>
      <c r="J25" s="792">
        <f ca="1">J5-J16</f>
        <v>-1438</v>
      </c>
      <c r="K25" s="2548" t="s">
        <v>1778</v>
      </c>
      <c r="L25" s="2549"/>
      <c r="M25" s="2550"/>
    </row>
    <row r="26" spans="1:33" ht="18" customHeight="1">
      <c r="A26" s="1648" t="s">
        <v>1832</v>
      </c>
      <c r="B26" s="784" t="s">
        <v>2438</v>
      </c>
      <c r="C26" s="53">
        <f ca="1">ROUND((C19+C20)*F26,0)</f>
        <v>1671</v>
      </c>
      <c r="D26" s="812" t="s">
        <v>1779</v>
      </c>
      <c r="E26" s="795" t="s">
        <v>1780</v>
      </c>
      <c r="F26" s="794">
        <f ca="1">INDIRECT("'数据-取费表'!q"&amp;$G$1)</f>
        <v>0.15</v>
      </c>
      <c r="G26" s="1592"/>
      <c r="H26" s="2502" t="s">
        <v>1781</v>
      </c>
      <c r="I26" s="2232" t="s">
        <v>2826</v>
      </c>
      <c r="J26" s="783">
        <f ca="1">IF(J5&lt;&gt;0,ROUND(J25*(1-((1+M28)/(1+M26))^M27)/(M26-M28),0),0)</f>
        <v>0</v>
      </c>
      <c r="K26" s="814" t="s">
        <v>1782</v>
      </c>
      <c r="L26" s="784" t="s">
        <v>2419</v>
      </c>
      <c r="M26" s="794">
        <f ca="1">INDIRECT("'数据-取费表'!I"&amp;$G$1)</f>
        <v>5.5E-2</v>
      </c>
    </row>
    <row r="27" spans="1:33" ht="18" customHeight="1">
      <c r="A27" s="1648" t="s">
        <v>1833</v>
      </c>
      <c r="B27" s="784" t="s">
        <v>686</v>
      </c>
      <c r="C27" s="53">
        <f ca="1">ROUND(F21*F26,4)</f>
        <v>3.0000000000000001E-3</v>
      </c>
      <c r="D27" s="812" t="s">
        <v>1783</v>
      </c>
      <c r="E27" s="806"/>
      <c r="F27" s="807"/>
      <c r="G27" s="1592"/>
      <c r="H27" s="2503"/>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5.2400000000000002E-2</v>
      </c>
      <c r="D28" s="812" t="s">
        <v>2301</v>
      </c>
      <c r="E28" s="784" t="s">
        <v>1786</v>
      </c>
      <c r="F28" s="809">
        <f>'数据-取费表'!B41</f>
        <v>5.5000000000000007E-2</v>
      </c>
      <c r="G28" s="1593"/>
      <c r="H28" s="1829"/>
      <c r="I28" s="791"/>
      <c r="J28" s="792"/>
      <c r="K28" s="816"/>
      <c r="L28" s="784" t="s">
        <v>1787</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2302</v>
      </c>
      <c r="C29" s="2544">
        <f ca="1">ROUND((C19+C20+C23+C26)/(1-F21-C24-C27-C28),0)</f>
        <v>14442</v>
      </c>
      <c r="D29" s="2545"/>
      <c r="E29" s="2546"/>
      <c r="F29" s="2547"/>
      <c r="G29" s="1593"/>
      <c r="H29" s="823" t="s">
        <v>1788</v>
      </c>
      <c r="I29" s="824" t="s">
        <v>1789</v>
      </c>
      <c r="J29" s="825">
        <f ca="1">ROUND(J26/(1+F40)^F41,0)</f>
        <v>0</v>
      </c>
      <c r="K29" s="826" t="s">
        <v>1790</v>
      </c>
      <c r="L29" s="827"/>
      <c r="M29" s="828">
        <f ca="1">INDIRECT("'数据-取费表'!k"&amp;$G$1)</f>
        <v>34935.53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519</v>
      </c>
      <c r="D30" s="1821" t="s">
        <v>1792</v>
      </c>
      <c r="E30" s="2486"/>
      <c r="F30" s="2491"/>
      <c r="G30" s="2062"/>
      <c r="H30" s="2065"/>
      <c r="I30" s="2066"/>
      <c r="J30" s="2067"/>
      <c r="K30" s="2068"/>
      <c r="L30" s="2069"/>
      <c r="M30" s="2070"/>
    </row>
    <row r="31" spans="1:33" ht="18" customHeight="1">
      <c r="A31" s="1649" t="s">
        <v>1831</v>
      </c>
      <c r="B31" s="784" t="s">
        <v>656</v>
      </c>
      <c r="C31" s="53">
        <f ca="1">ROUND(IF(项目基本情况!B11="自然人",C5*F31,C32+C33+C34),1)</f>
        <v>265.60000000000002</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78.2</v>
      </c>
      <c r="D32" s="1977" t="s">
        <v>1796</v>
      </c>
      <c r="E32" s="784" t="s">
        <v>1797</v>
      </c>
      <c r="F32" s="809">
        <f>'数据-取费表'!B41</f>
        <v>5.5000000000000007E-2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179</v>
      </c>
      <c r="D33" s="811" t="s">
        <v>3012</v>
      </c>
      <c r="E33" s="784" t="s">
        <v>1797</v>
      </c>
      <c r="F33" s="809">
        <f>IF(D33="按租金收入计税",'数据-取费表'!B51,'数据-取费表'!B50)</f>
        <v>0.12</v>
      </c>
      <c r="G33" s="2062"/>
      <c r="H33" s="2077"/>
      <c r="I33" s="2077"/>
      <c r="J33" s="2077"/>
      <c r="K33" s="2078"/>
      <c r="L33" s="2077"/>
      <c r="M33" s="2077"/>
    </row>
    <row r="34" spans="1:18" ht="18" customHeight="1">
      <c r="A34" s="1651" t="s">
        <v>1834</v>
      </c>
      <c r="B34" s="341" t="s">
        <v>1799</v>
      </c>
      <c r="C34" s="54">
        <f ca="1">ROUND(F34*F35/10000,1)</f>
        <v>8.4</v>
      </c>
      <c r="D34" s="814" t="s">
        <v>1800</v>
      </c>
      <c r="E34" s="784" t="s">
        <v>1801</v>
      </c>
      <c r="F34" s="640">
        <f>'数据-取费表'!B52</f>
        <v>6</v>
      </c>
      <c r="G34" s="2062"/>
      <c r="H34" s="2065"/>
      <c r="I34" s="835" t="s">
        <v>1814</v>
      </c>
      <c r="J34" s="836"/>
      <c r="K34" s="2080"/>
      <c r="L34" s="2079"/>
      <c r="M34" s="2079"/>
    </row>
    <row r="35" spans="1:18" ht="18" customHeight="1">
      <c r="A35" s="815"/>
      <c r="B35" s="793"/>
      <c r="C35" s="69"/>
      <c r="D35" s="816"/>
      <c r="E35" s="784" t="s">
        <v>1802</v>
      </c>
      <c r="F35" s="785">
        <f ca="1">INDIRECT("'数据-取费表'!r"&amp;$G$1)</f>
        <v>13974.21</v>
      </c>
      <c r="G35" s="2062"/>
      <c r="H35" s="2065"/>
      <c r="I35" s="837" t="s">
        <v>1815</v>
      </c>
      <c r="J35" s="838">
        <f ca="1">ROUND(C13*J36,0)</f>
        <v>1228</v>
      </c>
      <c r="K35" s="2078"/>
      <c r="L35" s="2077"/>
      <c r="M35" s="2077"/>
    </row>
    <row r="36" spans="1:18" ht="18" customHeight="1">
      <c r="A36" s="1649" t="s">
        <v>1890</v>
      </c>
      <c r="B36" s="784" t="s">
        <v>1803</v>
      </c>
      <c r="C36" s="53">
        <f ca="1">ROUND(C29*F36,1)</f>
        <v>216.6</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21.7</v>
      </c>
      <c r="D37" s="1977" t="s">
        <v>1805</v>
      </c>
      <c r="E37" s="784" t="s">
        <v>1797</v>
      </c>
      <c r="F37" s="818">
        <f ca="1">INDIRECT("'数据-取费表'!Al"&amp;$G$1)</f>
        <v>1.5E-3</v>
      </c>
      <c r="G37" s="2062"/>
      <c r="H37" s="2077"/>
      <c r="I37" s="841" t="s">
        <v>1817</v>
      </c>
      <c r="J37" s="842"/>
      <c r="K37" s="2082"/>
      <c r="L37" s="2077"/>
      <c r="M37" s="2077"/>
    </row>
    <row r="38" spans="1:18" ht="18" customHeight="1" thickBot="1">
      <c r="A38" s="2551" t="s">
        <v>1892</v>
      </c>
      <c r="B38" s="2546" t="s">
        <v>666</v>
      </c>
      <c r="C38" s="2544">
        <f ca="1">ROUND(C5*F38,1)</f>
        <v>14.9</v>
      </c>
      <c r="D38" s="2545" t="s">
        <v>1806</v>
      </c>
      <c r="E38" s="2546" t="s">
        <v>1797</v>
      </c>
      <c r="F38" s="2542">
        <f ca="1">INDIRECT("'数据-取费表'!Am"&amp;$G$1)</f>
        <v>0.01</v>
      </c>
      <c r="G38" s="2062"/>
      <c r="H38" s="2077"/>
      <c r="I38" s="843" t="s">
        <v>1818</v>
      </c>
      <c r="J38" s="844"/>
      <c r="K38" s="2083"/>
      <c r="L38" s="2077"/>
      <c r="M38" s="2077"/>
    </row>
    <row r="39" spans="1:18" ht="24.6" customHeight="1" thickTop="1">
      <c r="A39" s="1829" t="s">
        <v>1895</v>
      </c>
      <c r="B39" s="3010" t="s">
        <v>2821</v>
      </c>
      <c r="C39" s="792">
        <f ca="1">C5-C30</f>
        <v>973</v>
      </c>
      <c r="D39" s="2548" t="s">
        <v>1807</v>
      </c>
      <c r="E39" s="2549"/>
      <c r="F39" s="2550"/>
      <c r="G39" s="2062"/>
      <c r="H39" s="2077"/>
      <c r="I39" s="837" t="s">
        <v>1819</v>
      </c>
      <c r="J39" s="845">
        <f ca="1">ROUND(J35/C39,3)</f>
        <v>1.262</v>
      </c>
      <c r="K39" s="2083"/>
      <c r="L39" s="2077"/>
      <c r="M39" s="2077"/>
    </row>
    <row r="40" spans="1:18" ht="18" customHeight="1">
      <c r="A40" s="781" t="s">
        <v>1896</v>
      </c>
      <c r="B40" s="2232" t="s">
        <v>2303</v>
      </c>
      <c r="C40" s="783">
        <f ca="1">ROUND(C39*(1-((1+F42)/(1+F40))^F41)/(F40-F42),0)</f>
        <v>19788</v>
      </c>
      <c r="D40" s="814" t="s">
        <v>1808</v>
      </c>
      <c r="E40" s="784" t="s">
        <v>2419</v>
      </c>
      <c r="F40" s="794">
        <f ca="1">INDIRECT("'数据-取费表'!I"&amp;$G$1)</f>
        <v>5.5E-2</v>
      </c>
      <c r="G40" s="2062"/>
      <c r="H40" s="2062"/>
      <c r="I40" s="837" t="s">
        <v>1820</v>
      </c>
      <c r="J40" s="845">
        <f ca="1">1-J39</f>
        <v>-0.26200000000000001</v>
      </c>
      <c r="K40" s="2083"/>
      <c r="L40" s="2062"/>
      <c r="M40" s="2062"/>
    </row>
    <row r="41" spans="1:18" ht="18" customHeight="1">
      <c r="A41" s="786"/>
      <c r="B41" s="787"/>
      <c r="C41" s="788"/>
      <c r="D41" s="821" t="s">
        <v>1809</v>
      </c>
      <c r="E41" s="784" t="s">
        <v>2964</v>
      </c>
      <c r="F41" s="822">
        <f ca="1">IF(INDIRECT("'数据-取费表'!af"&amp;$G$1)=0,INDIRECT("'数据-取费表'!ae"&amp;$G$1),INDIRECT("'数据-取费表'!af"&amp;$G$1))</f>
        <v>32.65</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0.73</v>
      </c>
      <c r="K42" s="2082"/>
      <c r="L42" s="1988"/>
      <c r="M42" s="1988"/>
    </row>
    <row r="43" spans="1:18" ht="18" customHeight="1" thickBot="1">
      <c r="A43" s="823" t="s">
        <v>1788</v>
      </c>
      <c r="B43" s="824" t="s">
        <v>1811</v>
      </c>
      <c r="C43" s="825">
        <f ca="1">ROUND(C40*10000/F43,0)</f>
        <v>5664</v>
      </c>
      <c r="D43" s="826" t="s">
        <v>1812</v>
      </c>
      <c r="E43" s="827" t="s">
        <v>1813</v>
      </c>
      <c r="F43" s="828">
        <f ca="1">INDIRECT("'数据-取费表'!k"&amp;$G$1)</f>
        <v>34935.53</v>
      </c>
      <c r="G43" s="2062"/>
      <c r="H43" s="1988"/>
      <c r="I43" s="847" t="s">
        <v>1823</v>
      </c>
      <c r="J43" s="848">
        <f ca="1">1-J42</f>
        <v>0.27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-23497</v>
      </c>
      <c r="D46" s="2085"/>
      <c r="E46" s="2085"/>
      <c r="F46" s="2085"/>
      <c r="I46" s="2378" t="s">
        <v>2343</v>
      </c>
      <c r="J46" s="2379"/>
      <c r="K46" s="2380"/>
      <c r="L46" s="3161">
        <f>IF(OR(M47="住宅",D1="土地（套用方法）"),0,IF(L48&gt;J51,L60,J60))</f>
        <v>0</v>
      </c>
      <c r="O46" s="2394" t="s">
        <v>2410</v>
      </c>
      <c r="P46" s="1592"/>
      <c r="Q46" s="1604"/>
      <c r="R46" s="1592"/>
    </row>
    <row r="47" spans="1:18" s="2059" customFormat="1" ht="18" customHeight="1" thickBot="1">
      <c r="A47" s="2372">
        <v>1</v>
      </c>
      <c r="B47" s="2373" t="s">
        <v>635</v>
      </c>
      <c r="C47" s="2574">
        <f ca="1">C48+C52+C54</f>
        <v>0</v>
      </c>
      <c r="D47" s="2085"/>
      <c r="E47" s="2085"/>
      <c r="F47" s="2085"/>
      <c r="I47" s="3151" t="s">
        <v>2344</v>
      </c>
      <c r="J47" s="2381" t="s">
        <v>3011</v>
      </c>
      <c r="K47" s="3158" t="s">
        <v>2349</v>
      </c>
      <c r="L47" s="3162">
        <f ca="1">INDIRECT("'数据-取费表'!d"&amp;$G$1)</f>
        <v>40</v>
      </c>
      <c r="M47" s="1604" t="str">
        <f>IF(ISNUMBER(FIND("住宅",C1)),"住宅","非住宅")</f>
        <v>非住宅</v>
      </c>
      <c r="O47" s="2395" t="s">
        <v>2375</v>
      </c>
      <c r="P47" s="2396" t="s">
        <v>2376</v>
      </c>
      <c r="Q47" s="2397" t="s">
        <v>2377</v>
      </c>
      <c r="R47" s="2396" t="s">
        <v>2378</v>
      </c>
    </row>
    <row r="48" spans="1:18" s="2059" customFormat="1" ht="18" customHeight="1" thickBot="1">
      <c r="A48" s="2642" t="s">
        <v>2537</v>
      </c>
      <c r="B48" s="2643" t="s">
        <v>2538</v>
      </c>
      <c r="C48" s="2374">
        <f ca="1">ROUND(F48*F50*F49*(1-F51)/10000,0)</f>
        <v>0</v>
      </c>
      <c r="D48" s="2375" t="s">
        <v>636</v>
      </c>
      <c r="E48" s="2376" t="s">
        <v>2298</v>
      </c>
      <c r="F48" s="2377"/>
      <c r="G48" s="2090"/>
      <c r="I48" s="3127" t="s">
        <v>2345</v>
      </c>
      <c r="J48" s="2382" t="s">
        <v>2350</v>
      </c>
      <c r="K48" s="3159" t="s">
        <v>2351</v>
      </c>
      <c r="L48" s="1908">
        <f ca="1">INDIRECT("'数据-取费表'!f"&amp;$G$1)</f>
        <v>34.65</v>
      </c>
      <c r="O48" s="2398" t="s">
        <v>2379</v>
      </c>
      <c r="P48" s="2399" t="s">
        <v>2405</v>
      </c>
      <c r="Q48" s="2400">
        <f ca="1">C40+J29</f>
        <v>19788</v>
      </c>
      <c r="R48" s="2399" t="s">
        <v>2380</v>
      </c>
    </row>
    <row r="49" spans="1:18" s="2059" customFormat="1" ht="18" customHeight="1" thickBot="1">
      <c r="A49" s="786"/>
      <c r="B49" s="787"/>
      <c r="C49" s="788"/>
      <c r="D49" s="789"/>
      <c r="E49" s="784" t="s">
        <v>1740</v>
      </c>
      <c r="F49" s="785">
        <f ca="1">F7</f>
        <v>34935.53</v>
      </c>
      <c r="G49" s="2090"/>
      <c r="H49" s="2093"/>
      <c r="I49" s="3127" t="s">
        <v>2346</v>
      </c>
      <c r="J49" s="2383"/>
      <c r="K49" s="3160" t="s">
        <v>2352</v>
      </c>
      <c r="L49" s="2384"/>
      <c r="O49" s="2398" t="s">
        <v>2381</v>
      </c>
      <c r="P49" s="2399" t="s">
        <v>2406</v>
      </c>
      <c r="Q49" s="2400">
        <f ca="1">J60</f>
        <v>6109</v>
      </c>
      <c r="R49" s="2399" t="s">
        <v>2382</v>
      </c>
    </row>
    <row r="50" spans="1:18" s="2059" customFormat="1" ht="18" customHeight="1" thickBot="1">
      <c r="A50" s="786"/>
      <c r="B50" s="787"/>
      <c r="C50" s="788"/>
      <c r="D50" s="789"/>
      <c r="E50" s="784" t="s">
        <v>1741</v>
      </c>
      <c r="F50" s="785">
        <f ca="1">F8</f>
        <v>365</v>
      </c>
      <c r="G50" s="2095"/>
      <c r="H50" s="2093"/>
      <c r="I50" s="3127" t="s">
        <v>2347</v>
      </c>
      <c r="J50" s="3155">
        <f>SUMPRODUCT((I63:I65=J47)*(J62:L62=J48)*(J63:L65))</f>
        <v>60</v>
      </c>
      <c r="K50" s="3160" t="s">
        <v>2353</v>
      </c>
      <c r="L50" s="2384"/>
      <c r="O50" s="2401" t="s">
        <v>2383</v>
      </c>
      <c r="P50" s="2399" t="s">
        <v>2407</v>
      </c>
      <c r="Q50" s="2400">
        <f ca="1">C29</f>
        <v>14442</v>
      </c>
      <c r="R50" s="2399" t="s">
        <v>2380</v>
      </c>
    </row>
    <row r="51" spans="1:18" s="2059" customFormat="1" ht="18" customHeight="1" thickBot="1">
      <c r="A51" s="786"/>
      <c r="B51" s="787"/>
      <c r="C51" s="788"/>
      <c r="D51" s="789"/>
      <c r="E51" s="784" t="s">
        <v>640</v>
      </c>
      <c r="F51" s="2371"/>
      <c r="H51" s="2093"/>
      <c r="I51" s="3152" t="s">
        <v>2348</v>
      </c>
      <c r="J51" s="3156">
        <f>IF(J49="",J50,J49+J50-YEAR('数据-取费表'!B2))</f>
        <v>60</v>
      </c>
      <c r="K51" s="3127" t="s">
        <v>2354</v>
      </c>
      <c r="L51" s="3163">
        <f ca="1">ROUND(-PV(INDIRECT("'数据-取费表'!h"&amp;$G$1),L48,(C39-C13*J36),0),0)</f>
        <v>-4152</v>
      </c>
      <c r="O51" s="2401" t="s">
        <v>2384</v>
      </c>
      <c r="P51" s="2399" t="s">
        <v>2385</v>
      </c>
      <c r="Q51" s="2402">
        <f ca="1">J58</f>
        <v>0.42299999999999999</v>
      </c>
      <c r="R51" s="2403"/>
    </row>
    <row r="52" spans="1:18" s="2059" customFormat="1" ht="18" customHeight="1" thickBot="1">
      <c r="A52" s="781" t="s">
        <v>2536</v>
      </c>
      <c r="B52" s="2494" t="s">
        <v>2459</v>
      </c>
      <c r="C52" s="799">
        <f ca="1">ROUND(IF(F52="押一",C48/12*F11,IF(F52="押二",C48/12*2*F11,IF(F52="押三",C48/12*3*F11,C53*F11))),0)</f>
        <v>0</v>
      </c>
      <c r="D52" s="2501" t="s">
        <v>2975</v>
      </c>
      <c r="E52" s="2498" t="s">
        <v>2464</v>
      </c>
      <c r="F52" s="2621"/>
      <c r="I52" s="3153" t="s">
        <v>2421</v>
      </c>
      <c r="J52" s="2385"/>
      <c r="K52" s="3153" t="s">
        <v>2420</v>
      </c>
      <c r="L52" s="2385"/>
      <c r="O52" s="2401" t="s">
        <v>2386</v>
      </c>
      <c r="P52" s="2399" t="s">
        <v>2387</v>
      </c>
      <c r="Q52" s="2402">
        <f>J52</f>
        <v>0</v>
      </c>
      <c r="R52" s="2403"/>
    </row>
    <row r="53" spans="1:18" s="2059" customFormat="1" ht="39.75" customHeight="1" thickBot="1">
      <c r="A53" s="786"/>
      <c r="B53" s="2495" t="s">
        <v>2573</v>
      </c>
      <c r="C53" s="2499"/>
      <c r="D53" s="2501"/>
      <c r="E53" s="2498"/>
      <c r="F53" s="800"/>
      <c r="I53" s="3154" t="s">
        <v>2979</v>
      </c>
      <c r="J53" s="3157">
        <f ca="1">IF(M47="住宅",IF(D1="——",MAX(J51,L48),MAX(J51,L48-'数据-取费表'!B20)),IF(D1="——",MIN(J51,L48),MIN(J51,L48-'数据-取费表'!B20)))</f>
        <v>32.65</v>
      </c>
      <c r="K53" s="3472" t="s">
        <v>2966</v>
      </c>
      <c r="L53" s="3473"/>
      <c r="O53" s="2401" t="s">
        <v>2388</v>
      </c>
      <c r="P53" s="2399" t="s">
        <v>2389</v>
      </c>
      <c r="Q53" s="2400">
        <f ca="1">J53</f>
        <v>32.65</v>
      </c>
      <c r="R53" s="2399" t="s">
        <v>2390</v>
      </c>
    </row>
    <row r="54" spans="1:18" s="2059" customFormat="1" ht="18" customHeight="1" thickBot="1">
      <c r="A54" s="2537" t="s">
        <v>2467</v>
      </c>
      <c r="B54" s="2538" t="s">
        <v>2460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25897</v>
      </c>
      <c r="R54" s="2403" t="s">
        <v>2392</v>
      </c>
    </row>
    <row r="55" spans="1:18" s="2059" customFormat="1" ht="18" customHeight="1" thickTop="1" thickBot="1">
      <c r="A55" s="797">
        <v>2</v>
      </c>
      <c r="B55" s="798" t="s">
        <v>644</v>
      </c>
      <c r="C55" s="799">
        <f ca="1">C13</f>
        <v>14442</v>
      </c>
      <c r="D55" s="795"/>
      <c r="E55" s="795"/>
      <c r="F55" s="800"/>
      <c r="I55" s="3166" t="s">
        <v>2355</v>
      </c>
      <c r="J55" s="3102">
        <f ca="1">ROUND(IF(J47="钢混",J57/J50,1-(1-2%)*(J50-J57)/J50),3)</f>
        <v>0.42299999999999999</v>
      </c>
      <c r="K55" s="3167" t="s">
        <v>2356</v>
      </c>
      <c r="L55" s="2386"/>
      <c r="O55" s="2404" t="s">
        <v>2411</v>
      </c>
      <c r="P55" s="1592"/>
      <c r="Q55" s="1604"/>
      <c r="R55" s="1592"/>
    </row>
    <row r="56" spans="1:18" s="2059" customFormat="1" ht="42.75" customHeight="1" thickBot="1">
      <c r="A56" s="1650"/>
      <c r="B56" s="2231" t="s">
        <v>2304</v>
      </c>
      <c r="C56" s="53">
        <f ca="1">C29</f>
        <v>14442</v>
      </c>
      <c r="D56" s="2639"/>
      <c r="E56" s="784"/>
      <c r="F56" s="809"/>
      <c r="I56" s="3168" t="s">
        <v>2357</v>
      </c>
      <c r="J56" s="3178"/>
      <c r="K56" s="3127" t="s">
        <v>2362</v>
      </c>
      <c r="L56" s="1908" t="str">
        <f ca="1">IF(L48&lt;J51,"——",L48-J51)</f>
        <v>——</v>
      </c>
      <c r="O56" s="2395" t="s">
        <v>2375</v>
      </c>
      <c r="P56" s="2396" t="s">
        <v>2376</v>
      </c>
      <c r="Q56" s="2397" t="s">
        <v>2377</v>
      </c>
      <c r="R56" s="2396" t="s">
        <v>2378</v>
      </c>
    </row>
    <row r="57" spans="1:18" s="2059" customFormat="1" ht="28.5" customHeight="1" thickBot="1">
      <c r="A57" s="797" t="s">
        <v>1749</v>
      </c>
      <c r="B57" s="798" t="s">
        <v>651</v>
      </c>
      <c r="C57" s="799">
        <f ca="1">ROUND(C58+C63+C64+C65,0)</f>
        <v>247</v>
      </c>
      <c r="D57" s="26" t="s">
        <v>1751</v>
      </c>
      <c r="E57" s="2640"/>
      <c r="F57" s="56"/>
      <c r="I57" s="3169" t="s">
        <v>2358</v>
      </c>
      <c r="J57" s="3170">
        <f ca="1">IF(OR(M47="住宅",J51&lt;L48,J56="是"),"——",J51-L48)</f>
        <v>25.35</v>
      </c>
      <c r="K57" s="3127" t="s">
        <v>2363</v>
      </c>
      <c r="L57" s="1908" t="str">
        <f ca="1">IF(L48&lt;J51,"——",IF(L55="比较法",L49,IF(L55="基准地价",L50,L51)))</f>
        <v>——</v>
      </c>
      <c r="O57" s="2398" t="s">
        <v>2379</v>
      </c>
      <c r="P57" s="2399" t="s">
        <v>2409</v>
      </c>
      <c r="Q57" s="2400">
        <f ca="1">C40+J29</f>
        <v>19788</v>
      </c>
      <c r="R57" s="2399" t="s">
        <v>2380</v>
      </c>
    </row>
    <row r="58" spans="1:18" s="2059" customFormat="1" ht="28.5" customHeight="1" thickBot="1">
      <c r="A58" s="1649" t="s">
        <v>1825</v>
      </c>
      <c r="B58" s="784" t="s">
        <v>656</v>
      </c>
      <c r="C58" s="53">
        <f ca="1">ROUND(IF(项目基本情况!B11="自然人",C47*F58,C59+C60+C61),1)</f>
        <v>8.4</v>
      </c>
      <c r="D58" s="2638" t="s">
        <v>657</v>
      </c>
      <c r="E58" s="2639" t="s">
        <v>690</v>
      </c>
      <c r="F58" s="810" t="str">
        <f ca="1">IF(项目基本情况!B11="企业","",IF(INDIRECT("'数据-取费表'!c"&amp;$G$1)="住宅",5%,IF(F48*F49*F50/12/(1+'数据-取费表'!C42)&gt;20000,12%,7%)))</f>
        <v/>
      </c>
      <c r="I58" s="3169" t="s">
        <v>2359</v>
      </c>
      <c r="J58" s="3103">
        <f ca="1">IF(J55&lt;0.4,0.4,J55)</f>
        <v>0.42299999999999999</v>
      </c>
      <c r="K58" s="3127" t="s">
        <v>2364</v>
      </c>
      <c r="L58" s="1908" t="e">
        <f ca="1">ROUND(POWER(1+L52,L47-L48)*(POWER(1+L52,L48)-1)/(POWER(1+L52,L47)-1),4)</f>
        <v>#DIV/0!</v>
      </c>
      <c r="O58" s="2398" t="s">
        <v>2381</v>
      </c>
      <c r="P58" s="2399" t="s">
        <v>2412</v>
      </c>
      <c r="Q58" s="2400">
        <f ca="1">L60</f>
        <v>0</v>
      </c>
      <c r="R58" s="2403" t="s">
        <v>2414</v>
      </c>
    </row>
    <row r="59" spans="1:18" s="2059" customFormat="1" ht="28.5" customHeight="1" thickBot="1">
      <c r="A59" s="1648" t="s">
        <v>1832</v>
      </c>
      <c r="B59" s="784" t="s">
        <v>660</v>
      </c>
      <c r="C59" s="53">
        <f ca="1">ROUND(C47*F59/1.05,1)</f>
        <v>0</v>
      </c>
      <c r="D59" s="2639" t="s">
        <v>1757</v>
      </c>
      <c r="E59" s="784" t="s">
        <v>1748</v>
      </c>
      <c r="F59" s="809">
        <f t="shared" ref="F59:F65" si="0">F32</f>
        <v>5.5000000000000007E-2</v>
      </c>
      <c r="I59" s="3169" t="s">
        <v>2360</v>
      </c>
      <c r="J59" s="3170">
        <f ca="1">IF(OR(M47="住宅",J51&lt;L48,J56="是"),"——",ROUND(C29*J58,0))</f>
        <v>6109</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8"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1" t="s">
        <v>2361</v>
      </c>
      <c r="J60" s="3172">
        <f ca="1">IF(OR(M47="住宅",J51&lt;L48,J56="是"),"0",ROUND(J59/(1+J52)^J53,0))</f>
        <v>6109</v>
      </c>
      <c r="K60" s="3173" t="s">
        <v>2366</v>
      </c>
      <c r="L60" s="3172">
        <f ca="1">IF(OR(M47="住宅",L48&lt;J51),0,ROUND(L57*(L58/L59-1),0))</f>
        <v>0</v>
      </c>
      <c r="O60" s="2401" t="s">
        <v>2384</v>
      </c>
      <c r="P60" s="2399" t="s">
        <v>2393</v>
      </c>
      <c r="Q60" s="2402">
        <f>L52</f>
        <v>0</v>
      </c>
      <c r="R60" s="2403"/>
    </row>
    <row r="61" spans="1:18" s="2059" customFormat="1" ht="18" customHeight="1" thickBot="1">
      <c r="A61" s="1651" t="s">
        <v>1834</v>
      </c>
      <c r="B61" s="341" t="s">
        <v>668</v>
      </c>
      <c r="C61" s="54">
        <f ca="1">ROUND(F61*F62/10000,1)</f>
        <v>8.4</v>
      </c>
      <c r="D61" s="814" t="s">
        <v>669</v>
      </c>
      <c r="E61" s="784" t="s">
        <v>670</v>
      </c>
      <c r="F61" s="640">
        <f t="shared" si="0"/>
        <v>6</v>
      </c>
      <c r="K61" s="2086"/>
      <c r="O61" s="2401" t="s">
        <v>2386</v>
      </c>
      <c r="P61" s="2399" t="s">
        <v>2394</v>
      </c>
      <c r="Q61" s="2400" t="e">
        <f ca="1">L58</f>
        <v>#DIV/0!</v>
      </c>
      <c r="R61" s="2403" t="s">
        <v>2395</v>
      </c>
    </row>
    <row r="62" spans="1:18" s="2059" customFormat="1" ht="15.75" thickBot="1">
      <c r="A62" s="815"/>
      <c r="B62" s="793"/>
      <c r="C62" s="69"/>
      <c r="D62" s="816"/>
      <c r="E62" s="784" t="s">
        <v>674</v>
      </c>
      <c r="F62" s="785">
        <f t="shared" ca="1" si="0"/>
        <v>13974.21</v>
      </c>
      <c r="I62" s="3174" t="s">
        <v>2367</v>
      </c>
      <c r="J62" s="3175" t="s">
        <v>2368</v>
      </c>
      <c r="K62" s="3175" t="s">
        <v>2369</v>
      </c>
      <c r="L62" s="3175" t="s">
        <v>2350</v>
      </c>
      <c r="M62" s="3176" t="s">
        <v>2942</v>
      </c>
      <c r="O62" s="2401" t="s">
        <v>2388</v>
      </c>
      <c r="P62" s="2399" t="str">
        <f>K59</f>
        <v>建设期及建筑物耐用年限下的土地年期修正系数Kn</v>
      </c>
      <c r="Q62" s="2400" t="e">
        <f ca="1">L59</f>
        <v>#DIV/0!</v>
      </c>
      <c r="R62" s="2403" t="s">
        <v>2397</v>
      </c>
    </row>
    <row r="63" spans="1:18" s="2059" customFormat="1" ht="15.75" thickBot="1">
      <c r="A63" s="1649" t="s">
        <v>1890</v>
      </c>
      <c r="B63" s="784" t="s">
        <v>676</v>
      </c>
      <c r="C63" s="53">
        <f ca="1">ROUND(C56*F63,1)</f>
        <v>216.6</v>
      </c>
      <c r="D63" s="2639" t="s">
        <v>1804</v>
      </c>
      <c r="E63" s="784" t="s">
        <v>1748</v>
      </c>
      <c r="F63" s="817">
        <f t="shared" ca="1" si="0"/>
        <v>1.4999999999999999E-2</v>
      </c>
      <c r="I63" s="3174" t="s">
        <v>2370</v>
      </c>
      <c r="J63" s="3175">
        <v>70</v>
      </c>
      <c r="K63" s="3175">
        <v>50</v>
      </c>
      <c r="L63" s="3175">
        <v>80</v>
      </c>
      <c r="M63" s="3177">
        <v>0.02</v>
      </c>
      <c r="O63" s="2398" t="s">
        <v>2391</v>
      </c>
      <c r="P63" s="2399" t="s">
        <v>2408</v>
      </c>
      <c r="Q63" s="2400">
        <f ca="1">Q57+Q58</f>
        <v>19788</v>
      </c>
      <c r="R63" s="2403" t="s">
        <v>2392</v>
      </c>
    </row>
    <row r="64" spans="1:18" s="2059" customFormat="1" ht="16.5" thickBot="1">
      <c r="A64" s="1649" t="s">
        <v>1891</v>
      </c>
      <c r="B64" s="784" t="s">
        <v>679</v>
      </c>
      <c r="C64" s="53">
        <f ca="1">ROUND(C55*F64,1)</f>
        <v>21.7</v>
      </c>
      <c r="D64" s="2639" t="s">
        <v>680</v>
      </c>
      <c r="E64" s="784" t="s">
        <v>1748</v>
      </c>
      <c r="F64" s="818">
        <f t="shared" ca="1" si="0"/>
        <v>1.5E-3</v>
      </c>
      <c r="I64" s="3174" t="s">
        <v>2371</v>
      </c>
      <c r="J64" s="3175">
        <v>50</v>
      </c>
      <c r="K64" s="3175">
        <v>35</v>
      </c>
      <c r="L64" s="3175">
        <v>60</v>
      </c>
      <c r="M64" s="846">
        <v>0</v>
      </c>
      <c r="O64" s="2404" t="s">
        <v>2415</v>
      </c>
      <c r="P64" s="1592"/>
      <c r="Q64" s="1604"/>
      <c r="R64" s="1592"/>
    </row>
    <row r="65" spans="1:18" s="2059" customFormat="1" ht="15.75" thickBot="1">
      <c r="A65" s="1649" t="s">
        <v>1892</v>
      </c>
      <c r="B65" s="784" t="s">
        <v>666</v>
      </c>
      <c r="C65" s="53">
        <f ca="1">ROUND(C47*F65,1)</f>
        <v>0</v>
      </c>
      <c r="D65" s="2639" t="s">
        <v>683</v>
      </c>
      <c r="E65" s="784" t="s">
        <v>1748</v>
      </c>
      <c r="F65" s="794">
        <f t="shared" ca="1" si="0"/>
        <v>0.01</v>
      </c>
      <c r="I65" s="3174" t="s">
        <v>2372</v>
      </c>
      <c r="J65" s="3175">
        <v>40</v>
      </c>
      <c r="K65" s="3175">
        <v>30</v>
      </c>
      <c r="L65" s="3175">
        <v>50</v>
      </c>
      <c r="M65" s="3177">
        <v>0.02</v>
      </c>
      <c r="O65" s="2395" t="s">
        <v>2375</v>
      </c>
      <c r="P65" s="2396" t="s">
        <v>2376</v>
      </c>
      <c r="Q65" s="2397" t="s">
        <v>2377</v>
      </c>
      <c r="R65" s="2396" t="s">
        <v>2378</v>
      </c>
    </row>
    <row r="66" spans="1:18" s="2059" customFormat="1" ht="24.75" thickBot="1">
      <c r="A66" s="797" t="s">
        <v>1777</v>
      </c>
      <c r="B66" s="3011" t="s">
        <v>2821</v>
      </c>
      <c r="C66" s="799">
        <f ca="1">C47-C57</f>
        <v>-247</v>
      </c>
      <c r="D66" s="2638" t="s">
        <v>700</v>
      </c>
      <c r="E66" s="2637"/>
      <c r="F66" s="820"/>
      <c r="K66" s="2086"/>
      <c r="O66" s="2398" t="s">
        <v>2379</v>
      </c>
      <c r="P66" s="2399" t="s">
        <v>2409</v>
      </c>
      <c r="Q66" s="2400">
        <f ca="1">C40+J29</f>
        <v>19788</v>
      </c>
      <c r="R66" s="2399" t="s">
        <v>2380</v>
      </c>
    </row>
    <row r="67" spans="1:18" s="2059" customFormat="1" ht="20.25" thickBot="1">
      <c r="A67" s="781" t="s">
        <v>1781</v>
      </c>
      <c r="B67" s="2232" t="s">
        <v>2303</v>
      </c>
      <c r="C67" s="783">
        <f ca="1">ROUND(C66*(1-((1+F69)/(1+F67))^F68)/(F67-F69),0)</f>
        <v>-3709</v>
      </c>
      <c r="D67" s="814" t="s">
        <v>704</v>
      </c>
      <c r="E67" s="784" t="s">
        <v>705</v>
      </c>
      <c r="F67" s="794">
        <f ca="1">F40</f>
        <v>5.5E-2</v>
      </c>
      <c r="K67" s="2086"/>
      <c r="O67" s="2398" t="s">
        <v>2381</v>
      </c>
      <c r="P67" s="2399" t="s">
        <v>2412</v>
      </c>
      <c r="Q67" s="2400">
        <f ca="1">L60</f>
        <v>0</v>
      </c>
      <c r="R67" s="2403" t="s">
        <v>2414</v>
      </c>
    </row>
    <row r="68" spans="1:18" ht="21.75" thickBot="1">
      <c r="A68" s="786"/>
      <c r="B68" s="787"/>
      <c r="C68" s="788"/>
      <c r="D68" s="821" t="s">
        <v>1809</v>
      </c>
      <c r="E68" s="784" t="s">
        <v>1785</v>
      </c>
      <c r="F68" s="822">
        <f ca="1">F41</f>
        <v>32.65</v>
      </c>
      <c r="O68" s="2401" t="s">
        <v>2383</v>
      </c>
      <c r="P68" s="2399" t="s">
        <v>2413</v>
      </c>
      <c r="Q68" s="2405">
        <f ca="1">L51</f>
        <v>-4152</v>
      </c>
      <c r="R68" s="2406" t="s">
        <v>2416</v>
      </c>
    </row>
    <row r="69" spans="1:18" ht="20.25" thickBot="1">
      <c r="A69" s="790"/>
      <c r="B69" s="791"/>
      <c r="C69" s="792"/>
      <c r="D69" s="816"/>
      <c r="E69" s="784" t="s">
        <v>710</v>
      </c>
      <c r="F69" s="2371"/>
      <c r="O69" s="2401" t="s">
        <v>2384</v>
      </c>
      <c r="P69" s="2407" t="s">
        <v>2398</v>
      </c>
      <c r="Q69" s="2400">
        <f ca="1">ROUND(Q70-Q71*Q72,0)</f>
        <v>-255</v>
      </c>
      <c r="R69" s="2403"/>
    </row>
    <row r="70" spans="1:18" ht="15.75" thickBot="1">
      <c r="A70" s="823" t="s">
        <v>1788</v>
      </c>
      <c r="B70" s="824" t="s">
        <v>1811</v>
      </c>
      <c r="C70" s="825">
        <f ca="1">ROUND(C67*10000/F70,0)</f>
        <v>-1062</v>
      </c>
      <c r="D70" s="826" t="s">
        <v>1812</v>
      </c>
      <c r="E70" s="827" t="s">
        <v>1813</v>
      </c>
      <c r="F70" s="828">
        <f ca="1">F43</f>
        <v>34935.53</v>
      </c>
      <c r="O70" s="2401" t="s">
        <v>2399</v>
      </c>
      <c r="P70" s="2407" t="s">
        <v>2400</v>
      </c>
      <c r="Q70" s="2400">
        <f ca="1">C39</f>
        <v>973</v>
      </c>
      <c r="R70" s="2399" t="s">
        <v>2380</v>
      </c>
    </row>
    <row r="71" spans="1:18" ht="15.75" thickBot="1">
      <c r="O71" s="2401" t="s">
        <v>2401</v>
      </c>
      <c r="P71" s="2407" t="s">
        <v>2402</v>
      </c>
      <c r="Q71" s="2400">
        <f ca="1">C13</f>
        <v>14442</v>
      </c>
      <c r="R71" s="2399" t="s">
        <v>2380</v>
      </c>
    </row>
    <row r="72" spans="1:18" ht="15.75" thickBot="1">
      <c r="O72" s="2401" t="s">
        <v>2403</v>
      </c>
      <c r="P72" s="2407" t="s">
        <v>2404</v>
      </c>
      <c r="Q72" s="2402">
        <f ca="1">J36</f>
        <v>8.5000000000000006E-2</v>
      </c>
      <c r="R72" s="2403"/>
    </row>
    <row r="73" spans="1:18" ht="15.75" thickBot="1">
      <c r="O73" s="2401" t="s">
        <v>2386</v>
      </c>
      <c r="P73" s="2399" t="s">
        <v>2393</v>
      </c>
      <c r="Q73" s="2402">
        <f>L52</f>
        <v>0</v>
      </c>
      <c r="R73" s="2403"/>
    </row>
    <row r="74" spans="1:18" ht="20.25" thickBot="1">
      <c r="O74" s="2401" t="s">
        <v>2388</v>
      </c>
      <c r="P74" s="2399" t="s">
        <v>2394</v>
      </c>
      <c r="Q74" s="2400" t="e">
        <f ca="1">L58</f>
        <v>#DIV/0!</v>
      </c>
      <c r="R74" s="2403" t="s">
        <v>2395</v>
      </c>
    </row>
    <row r="75" spans="1:18" ht="15.75" thickBot="1">
      <c r="O75" s="2401" t="s">
        <v>2417</v>
      </c>
      <c r="P75" s="2399" t="str">
        <f>K59</f>
        <v>建设期及建筑物耐用年限下的土地年期修正系数Kn</v>
      </c>
      <c r="Q75" s="2400" t="e">
        <f ca="1">L59</f>
        <v>#DIV/0!</v>
      </c>
      <c r="R75" s="2403" t="s">
        <v>2397</v>
      </c>
    </row>
    <row r="76" spans="1:18" ht="15.75" thickBot="1">
      <c r="O76" s="2398" t="s">
        <v>2391</v>
      </c>
      <c r="P76" s="2399" t="s">
        <v>2408</v>
      </c>
      <c r="Q76" s="2400">
        <f ca="1">Q66+Q67</f>
        <v>19788</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43" sqref="A43:XFD43"/>
    </sheetView>
  </sheetViews>
  <sheetFormatPr defaultRowHeight="13.5"/>
  <cols>
    <col min="1" max="1" width="10.5" customWidth="1"/>
    <col min="2" max="2" width="12.875" customWidth="1"/>
    <col min="3" max="3" width="8.75" customWidth="1"/>
  </cols>
  <sheetData>
    <row r="1" spans="1:9" ht="14.25">
      <c r="A1" s="3490" t="s">
        <v>2471</v>
      </c>
      <c r="B1" s="3491"/>
      <c r="C1" s="3492"/>
      <c r="D1" s="3493">
        <f>SUM(I10,I15,I20,I21,I23)</f>
        <v>0</v>
      </c>
      <c r="E1" s="3493"/>
      <c r="F1" s="3493"/>
      <c r="G1" s="3493"/>
      <c r="H1" s="3493"/>
      <c r="I1" s="3494"/>
    </row>
    <row r="2" spans="1:9">
      <c r="A2" s="3480" t="s">
        <v>2472</v>
      </c>
      <c r="B2" s="3481" t="s">
        <v>2473</v>
      </c>
      <c r="C2" s="3481"/>
      <c r="D2" s="2507" t="s">
        <v>2474</v>
      </c>
      <c r="E2" s="2507" t="s">
        <v>2475</v>
      </c>
      <c r="F2" s="2507" t="s">
        <v>2476</v>
      </c>
      <c r="G2" s="2507" t="s">
        <v>2477</v>
      </c>
      <c r="H2" s="2507" t="s">
        <v>2478</v>
      </c>
      <c r="I2" s="2508" t="s">
        <v>2479</v>
      </c>
    </row>
    <row r="3" spans="1:9">
      <c r="A3" s="3480"/>
      <c r="B3" s="3481" t="s">
        <v>2480</v>
      </c>
      <c r="C3" s="3481"/>
      <c r="D3" s="2509"/>
      <c r="E3" s="2507"/>
      <c r="F3" s="2510"/>
      <c r="G3" s="2510"/>
      <c r="H3" s="2511"/>
      <c r="I3" s="2512">
        <f>ROUND(D3*E3*F3*G3*H3/10000,0)</f>
        <v>0</v>
      </c>
    </row>
    <row r="4" spans="1:9">
      <c r="A4" s="3480"/>
      <c r="B4" s="3481" t="s">
        <v>2481</v>
      </c>
      <c r="C4" s="3481"/>
      <c r="D4" s="2509"/>
      <c r="E4" s="2507"/>
      <c r="F4" s="2510"/>
      <c r="G4" s="2510"/>
      <c r="H4" s="2511"/>
      <c r="I4" s="2512">
        <f t="shared" ref="I4:I9" si="0">ROUND(D4*E4*F4*G4*H4/10000,0)</f>
        <v>0</v>
      </c>
    </row>
    <row r="5" spans="1:9">
      <c r="A5" s="3480"/>
      <c r="B5" s="3481" t="s">
        <v>2482</v>
      </c>
      <c r="C5" s="3481"/>
      <c r="D5" s="2509"/>
      <c r="E5" s="2507"/>
      <c r="F5" s="2510"/>
      <c r="G5" s="2510"/>
      <c r="H5" s="2511"/>
      <c r="I5" s="2512">
        <f t="shared" si="0"/>
        <v>0</v>
      </c>
    </row>
    <row r="6" spans="1:9">
      <c r="A6" s="3480"/>
      <c r="B6" s="3481" t="s">
        <v>2483</v>
      </c>
      <c r="C6" s="3481"/>
      <c r="D6" s="2509"/>
      <c r="E6" s="2507"/>
      <c r="F6" s="2510"/>
      <c r="G6" s="2510"/>
      <c r="H6" s="2511"/>
      <c r="I6" s="2512">
        <f t="shared" si="0"/>
        <v>0</v>
      </c>
    </row>
    <row r="7" spans="1:9">
      <c r="A7" s="3480"/>
      <c r="B7" s="3481" t="s">
        <v>2484</v>
      </c>
      <c r="C7" s="3481"/>
      <c r="D7" s="2509"/>
      <c r="E7" s="2507"/>
      <c r="F7" s="2510"/>
      <c r="G7" s="2510"/>
      <c r="H7" s="2511"/>
      <c r="I7" s="2512">
        <f t="shared" si="0"/>
        <v>0</v>
      </c>
    </row>
    <row r="8" spans="1:9">
      <c r="A8" s="3480"/>
      <c r="B8" s="3481" t="s">
        <v>2485</v>
      </c>
      <c r="C8" s="3481"/>
      <c r="D8" s="2509"/>
      <c r="E8" s="2507"/>
      <c r="F8" s="2510"/>
      <c r="G8" s="2510"/>
      <c r="H8" s="2511"/>
      <c r="I8" s="2512">
        <f t="shared" si="0"/>
        <v>0</v>
      </c>
    </row>
    <row r="9" spans="1:9">
      <c r="A9" s="3480"/>
      <c r="B9" s="3481" t="s">
        <v>2486</v>
      </c>
      <c r="C9" s="3481"/>
      <c r="D9" s="2509"/>
      <c r="E9" s="2507"/>
      <c r="F9" s="2510"/>
      <c r="G9" s="2510"/>
      <c r="H9" s="2511"/>
      <c r="I9" s="2512">
        <f t="shared" si="0"/>
        <v>0</v>
      </c>
    </row>
    <row r="10" spans="1:9">
      <c r="A10" s="3480"/>
      <c r="B10" s="3482" t="s">
        <v>2487</v>
      </c>
      <c r="C10" s="3482"/>
      <c r="D10" s="2513">
        <v>527</v>
      </c>
      <c r="E10" s="2513" t="e">
        <f>ROUND(D1*10000/D10/H9,0)</f>
        <v>#DIV/0!</v>
      </c>
      <c r="F10" s="2514"/>
      <c r="G10" s="2514"/>
      <c r="H10" s="2515"/>
      <c r="I10" s="2516">
        <f>SUM(I3:I9)</f>
        <v>0</v>
      </c>
    </row>
    <row r="11" spans="1:9" ht="14.25">
      <c r="A11" s="3480" t="s">
        <v>2488</v>
      </c>
      <c r="B11" s="3481" t="s">
        <v>2489</v>
      </c>
      <c r="C11" s="3481"/>
      <c r="D11" s="2509" t="s">
        <v>2490</v>
      </c>
      <c r="E11" s="2509" t="s">
        <v>2491</v>
      </c>
      <c r="F11" s="2510" t="s">
        <v>2492</v>
      </c>
      <c r="G11" s="2510" t="s">
        <v>2493</v>
      </c>
      <c r="H11" s="2517" t="s">
        <v>2494</v>
      </c>
      <c r="I11" s="2508" t="s">
        <v>2495</v>
      </c>
    </row>
    <row r="12" spans="1:9">
      <c r="A12" s="3480"/>
      <c r="B12" s="3481" t="s">
        <v>2496</v>
      </c>
      <c r="C12" s="3481"/>
      <c r="D12" s="2509"/>
      <c r="E12" s="2509"/>
      <c r="F12" s="2510"/>
      <c r="G12" s="2511"/>
      <c r="H12" s="2518"/>
      <c r="I12" s="2508">
        <f>ROUND(D12*E12*F12*G12/10000,0)</f>
        <v>0</v>
      </c>
    </row>
    <row r="13" spans="1:9">
      <c r="A13" s="3480"/>
      <c r="B13" s="3481" t="s">
        <v>2497</v>
      </c>
      <c r="C13" s="3481"/>
      <c r="D13" s="2509"/>
      <c r="E13" s="2509"/>
      <c r="F13" s="2510"/>
      <c r="G13" s="2511"/>
      <c r="H13" s="2518"/>
      <c r="I13" s="2508">
        <f>ROUND(D13*E13*F13*G13/10000,0)</f>
        <v>0</v>
      </c>
    </row>
    <row r="14" spans="1:9">
      <c r="A14" s="3480"/>
      <c r="B14" s="3481" t="s">
        <v>2498</v>
      </c>
      <c r="C14" s="3481"/>
      <c r="D14" s="2509"/>
      <c r="E14" s="2509"/>
      <c r="F14" s="2510"/>
      <c r="G14" s="2511"/>
      <c r="H14" s="2518"/>
      <c r="I14" s="2508">
        <f>ROUND(D14*E14*F14*G14/10000,0)</f>
        <v>0</v>
      </c>
    </row>
    <row r="15" spans="1:9">
      <c r="A15" s="3480"/>
      <c r="B15" s="3482" t="s">
        <v>2487</v>
      </c>
      <c r="C15" s="3482"/>
      <c r="D15" s="2513"/>
      <c r="E15" s="2513">
        <f>SUM(E12:E14)</f>
        <v>0</v>
      </c>
      <c r="F15" s="2514"/>
      <c r="G15" s="2511"/>
      <c r="H15" s="2518"/>
      <c r="I15" s="2519">
        <f>SUM(I12:I14)</f>
        <v>0</v>
      </c>
    </row>
    <row r="16" spans="1:9" ht="24">
      <c r="A16" s="3480" t="s">
        <v>2499</v>
      </c>
      <c r="B16" s="3481" t="s">
        <v>2500</v>
      </c>
      <c r="C16" s="3481"/>
      <c r="D16" s="2509" t="s">
        <v>2501</v>
      </c>
      <c r="E16" s="2520" t="s">
        <v>2502</v>
      </c>
      <c r="F16" s="2510" t="s">
        <v>2503</v>
      </c>
      <c r="G16" s="2511" t="s">
        <v>2493</v>
      </c>
      <c r="H16" s="2517" t="s">
        <v>2494</v>
      </c>
      <c r="I16" s="2508" t="s">
        <v>2495</v>
      </c>
    </row>
    <row r="17" spans="1:9" ht="14.25">
      <c r="A17" s="3480"/>
      <c r="B17" s="3481" t="s">
        <v>2504</v>
      </c>
      <c r="C17" s="3481"/>
      <c r="D17" s="2509"/>
      <c r="E17" s="2509"/>
      <c r="F17" s="2510"/>
      <c r="G17" s="2511"/>
      <c r="H17" s="2521"/>
      <c r="I17" s="2522">
        <f>ROUND(D17*E17*F17*G17/10000,0)</f>
        <v>0</v>
      </c>
    </row>
    <row r="18" spans="1:9" ht="14.25">
      <c r="A18" s="3480"/>
      <c r="B18" s="3481" t="s">
        <v>2505</v>
      </c>
      <c r="C18" s="3481"/>
      <c r="D18" s="2509"/>
      <c r="E18" s="2509"/>
      <c r="F18" s="2510"/>
      <c r="G18" s="2511"/>
      <c r="H18" s="2521"/>
      <c r="I18" s="2522">
        <f>ROUND(D18*E18*F18*G18/10000,0)</f>
        <v>0</v>
      </c>
    </row>
    <row r="19" spans="1:9" ht="14.25">
      <c r="A19" s="3480"/>
      <c r="B19" s="3481" t="s">
        <v>2506</v>
      </c>
      <c r="C19" s="3481"/>
      <c r="D19" s="2509"/>
      <c r="E19" s="2509"/>
      <c r="F19" s="2510"/>
      <c r="G19" s="2511"/>
      <c r="H19" s="2521"/>
      <c r="I19" s="2522">
        <f>ROUND(D19*E19*F19*G19/10000,0)</f>
        <v>0</v>
      </c>
    </row>
    <row r="20" spans="1:9">
      <c r="A20" s="3480"/>
      <c r="B20" s="3482" t="s">
        <v>2487</v>
      </c>
      <c r="C20" s="3482"/>
      <c r="D20" s="2513">
        <f>SUM(D17:D19)</f>
        <v>0</v>
      </c>
      <c r="E20" s="2513"/>
      <c r="F20" s="2514"/>
      <c r="G20" s="2511"/>
      <c r="H20" s="2518"/>
      <c r="I20" s="2519">
        <f>SUM(I17:I19)</f>
        <v>0</v>
      </c>
    </row>
    <row r="21" spans="1:9">
      <c r="A21" s="3480" t="s">
        <v>2507</v>
      </c>
      <c r="B21" s="3483"/>
      <c r="C21" s="3483"/>
      <c r="D21" s="3483"/>
      <c r="E21" s="3483"/>
      <c r="F21" s="3483"/>
      <c r="G21" s="3483"/>
      <c r="H21" s="2523">
        <v>0.1</v>
      </c>
      <c r="I21" s="2516">
        <f>ROUND(I10*H21,0)</f>
        <v>0</v>
      </c>
    </row>
    <row r="22" spans="1:9" ht="14.25">
      <c r="A22" s="3484" t="s">
        <v>2508</v>
      </c>
      <c r="B22" s="3485"/>
      <c r="C22" s="3486"/>
      <c r="D22" s="2524" t="s">
        <v>2509</v>
      </c>
      <c r="E22" s="2524" t="s">
        <v>2510</v>
      </c>
      <c r="F22" s="2525" t="s">
        <v>2511</v>
      </c>
      <c r="G22" s="2525" t="s">
        <v>2512</v>
      </c>
      <c r="H22" s="2517" t="s">
        <v>2513</v>
      </c>
      <c r="I22" s="2508" t="s">
        <v>2514</v>
      </c>
    </row>
    <row r="23" spans="1:9" ht="14.25" thickBot="1">
      <c r="A23" s="3487"/>
      <c r="B23" s="3488"/>
      <c r="C23" s="3489"/>
      <c r="D23" s="2526"/>
      <c r="E23" s="2526"/>
      <c r="F23" s="2526"/>
      <c r="G23" s="2527"/>
      <c r="H23" s="2528"/>
      <c r="I23" s="2529">
        <f>ROUND(E23*D23*F23*(1-G23)/10000,0)</f>
        <v>0</v>
      </c>
    </row>
    <row r="26" spans="1:9">
      <c r="A26" s="2530" t="s">
        <v>2515</v>
      </c>
      <c r="B26" s="2530"/>
      <c r="C26" s="2530"/>
      <c r="D26" s="2530"/>
      <c r="E26" s="3477">
        <f>C27-C30-C31-C32</f>
        <v>0</v>
      </c>
      <c r="F26" s="3477"/>
      <c r="G26" s="3477"/>
      <c r="H26" s="3044" t="s">
        <v>2842</v>
      </c>
    </row>
    <row r="27" spans="1:9">
      <c r="A27" s="2531">
        <v>1</v>
      </c>
      <c r="B27" s="2532" t="s">
        <v>2516</v>
      </c>
      <c r="C27" s="2532"/>
      <c r="D27" s="2532"/>
      <c r="E27" s="3478"/>
      <c r="F27" s="3478"/>
      <c r="G27" s="3478"/>
    </row>
    <row r="28" spans="1:9">
      <c r="A28" s="2533" t="s">
        <v>2517</v>
      </c>
      <c r="B28" s="2532" t="s">
        <v>2518</v>
      </c>
      <c r="C28" s="2532"/>
      <c r="D28" s="2532"/>
      <c r="E28" s="3478"/>
      <c r="F28" s="3478"/>
      <c r="G28" s="3478"/>
    </row>
    <row r="29" spans="1:9">
      <c r="A29" s="2533" t="s">
        <v>2519</v>
      </c>
      <c r="B29" s="2532" t="s">
        <v>2460</v>
      </c>
      <c r="C29" s="2532"/>
      <c r="D29" s="2532"/>
      <c r="E29" s="2532" t="s">
        <v>2520</v>
      </c>
      <c r="F29" s="2532"/>
      <c r="G29" s="2532"/>
    </row>
    <row r="30" spans="1:9">
      <c r="A30" s="2531">
        <v>2</v>
      </c>
      <c r="B30" s="2532" t="s">
        <v>2521</v>
      </c>
      <c r="C30" s="2532">
        <f>C27*D30</f>
        <v>0</v>
      </c>
      <c r="D30" s="2534">
        <v>0.2</v>
      </c>
      <c r="E30" s="2532" t="s">
        <v>2522</v>
      </c>
      <c r="F30" s="2532"/>
      <c r="G30" s="2532"/>
    </row>
    <row r="31" spans="1:9">
      <c r="A31" s="2531">
        <v>3</v>
      </c>
      <c r="B31" s="2532" t="s">
        <v>2523</v>
      </c>
      <c r="C31" s="2532">
        <f>C25*D31</f>
        <v>0</v>
      </c>
      <c r="D31" s="2534">
        <v>0.15</v>
      </c>
      <c r="E31" s="2532" t="s">
        <v>2524</v>
      </c>
      <c r="F31" s="2532"/>
      <c r="G31" s="2532"/>
    </row>
    <row r="32" spans="1:9">
      <c r="A32" s="2531">
        <v>4</v>
      </c>
      <c r="B32" s="2532" t="s">
        <v>2525</v>
      </c>
      <c r="C32" s="2532">
        <f>C27*D32</f>
        <v>0</v>
      </c>
      <c r="D32" s="2534">
        <v>0.05</v>
      </c>
      <c r="E32" s="3479"/>
      <c r="F32" s="3479"/>
      <c r="G32" s="3479"/>
    </row>
    <row r="33" spans="1:7" hidden="1">
      <c r="A33" s="3474" t="s">
        <v>2526</v>
      </c>
      <c r="B33" s="3475"/>
      <c r="C33" s="3475"/>
      <c r="D33" s="3476"/>
      <c r="E33" s="3477"/>
      <c r="F33" s="3477"/>
      <c r="G33" s="3477"/>
    </row>
    <row r="34" spans="1:7" hidden="1">
      <c r="A34" s="2535">
        <v>1</v>
      </c>
      <c r="B34" s="2532" t="s">
        <v>2527</v>
      </c>
      <c r="C34" s="2532"/>
      <c r="D34" s="2532"/>
      <c r="E34" s="3478"/>
      <c r="F34" s="3478"/>
      <c r="G34" s="3478"/>
    </row>
    <row r="35" spans="1:7" hidden="1">
      <c r="A35" s="2535">
        <v>2</v>
      </c>
      <c r="B35" s="2532" t="s">
        <v>2528</v>
      </c>
      <c r="C35" s="2532"/>
      <c r="D35" s="2532"/>
      <c r="E35" s="3478"/>
      <c r="F35" s="3478"/>
      <c r="G35" s="3478"/>
    </row>
    <row r="36" spans="1:7" hidden="1">
      <c r="A36" s="2535">
        <v>3</v>
      </c>
      <c r="B36" s="2532" t="s">
        <v>2529</v>
      </c>
      <c r="C36" s="2532"/>
      <c r="D36" s="2532"/>
      <c r="E36" s="3478"/>
      <c r="F36" s="3478"/>
      <c r="G36" s="3478"/>
    </row>
    <row r="37" spans="1:7" hidden="1">
      <c r="A37" s="2535">
        <v>4</v>
      </c>
      <c r="B37" s="2532" t="s">
        <v>2530</v>
      </c>
      <c r="C37" s="2532"/>
      <c r="D37" s="2532"/>
      <c r="E37" s="3478"/>
      <c r="F37" s="3478"/>
      <c r="G37" s="3478"/>
    </row>
    <row r="38" spans="1:7" hidden="1">
      <c r="A38" s="3474" t="s">
        <v>2531</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2440</v>
      </c>
      <c r="B8" s="2472" t="s">
        <v>2442</v>
      </c>
      <c r="C8" s="2473"/>
      <c r="D8" s="749"/>
      <c r="E8" s="750"/>
      <c r="F8" s="750"/>
      <c r="G8" s="751"/>
    </row>
    <row r="9" spans="1:25" s="2183" customFormat="1" ht="13.5" customHeight="1">
      <c r="A9" s="2469" t="s">
        <v>2441</v>
      </c>
      <c r="B9" s="2472" t="s">
        <v>2443</v>
      </c>
      <c r="C9" s="2473"/>
      <c r="D9" s="749"/>
      <c r="E9" s="750"/>
      <c r="F9" s="750"/>
      <c r="G9" s="751"/>
    </row>
    <row r="10" spans="1:25" s="2183" customFormat="1" ht="36">
      <c r="A10" s="2469">
        <v>2</v>
      </c>
      <c r="B10" s="748" t="s">
        <v>613</v>
      </c>
      <c r="C10" s="749">
        <f>C11+C14+C15</f>
        <v>0</v>
      </c>
      <c r="D10" s="760">
        <f>'数据-汇总表'!E3</f>
        <v>116451.76</v>
      </c>
      <c r="E10" s="749">
        <f>'数据-取费表'!B31</f>
        <v>200</v>
      </c>
      <c r="F10" s="761"/>
      <c r="G10" s="759" t="s">
        <v>614</v>
      </c>
    </row>
    <row r="11" spans="1:25" s="2183" customFormat="1" ht="13.5" customHeight="1">
      <c r="A11" s="2469" t="s">
        <v>2440</v>
      </c>
      <c r="B11" s="752" t="s">
        <v>610</v>
      </c>
      <c r="C11" s="753">
        <f>'数据-取费表'!B29</f>
        <v>0</v>
      </c>
      <c r="D11" s="754"/>
      <c r="E11" s="753"/>
      <c r="F11" s="755"/>
      <c r="G11" s="2478" t="s">
        <v>2451</v>
      </c>
    </row>
    <row r="12" spans="1:25" s="2183" customFormat="1" ht="13.5" customHeight="1">
      <c r="A12" s="2476" t="s">
        <v>2448</v>
      </c>
      <c r="B12" s="756" t="s">
        <v>611</v>
      </c>
      <c r="C12" s="757">
        <f>ROUND(D12*E12/10000,0)</f>
        <v>734</v>
      </c>
      <c r="D12" s="758">
        <f>'数据-汇总表'!E5</f>
        <v>81516.23</v>
      </c>
      <c r="E12" s="757">
        <f>'数据-取费表'!B27</f>
        <v>90</v>
      </c>
      <c r="F12" s="755"/>
      <c r="G12" s="759"/>
    </row>
    <row r="13" spans="1:25" s="2183" customFormat="1" ht="13.5" customHeight="1">
      <c r="A13" s="2476" t="s">
        <v>2447</v>
      </c>
      <c r="B13" s="756" t="s">
        <v>612</v>
      </c>
      <c r="C13" s="757">
        <f>ROUND(D13*E13/10000,0)</f>
        <v>314</v>
      </c>
      <c r="D13" s="758">
        <f>'数据-汇总表'!E6</f>
        <v>34935.53</v>
      </c>
      <c r="E13" s="757">
        <f>'数据-取费表'!B28</f>
        <v>90</v>
      </c>
      <c r="F13" s="755"/>
      <c r="G13" s="759"/>
    </row>
    <row r="14" spans="1:25" s="2183" customFormat="1" ht="13.5" customHeight="1">
      <c r="A14" s="2469" t="s">
        <v>2441</v>
      </c>
      <c r="B14" s="2475" t="s">
        <v>2444</v>
      </c>
      <c r="C14" s="2473"/>
      <c r="D14" s="758"/>
      <c r="E14" s="757"/>
      <c r="F14" s="2474"/>
      <c r="G14" s="2477" t="s">
        <v>2449</v>
      </c>
    </row>
    <row r="15" spans="1:25" s="2183" customFormat="1" ht="13.5" customHeight="1">
      <c r="A15" s="2469" t="s">
        <v>2446</v>
      </c>
      <c r="B15" s="2475" t="s">
        <v>2445</v>
      </c>
      <c r="C15" s="2473"/>
      <c r="D15" s="758"/>
      <c r="E15" s="757"/>
      <c r="F15" s="2474"/>
      <c r="G15" s="2477" t="s">
        <v>2450</v>
      </c>
    </row>
    <row r="16" spans="1:25" s="2184" customFormat="1" ht="48">
      <c r="A16" s="2469">
        <v>3</v>
      </c>
      <c r="B16" s="748" t="s">
        <v>615</v>
      </c>
      <c r="C16" s="2473"/>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0.90400000000000003</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2"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402" t="s">
        <v>522</v>
      </c>
      <c r="D4" s="3403"/>
      <c r="E4" s="3426" t="s">
        <v>523</v>
      </c>
      <c r="F4" s="3427"/>
      <c r="G4" s="3402" t="s">
        <v>524</v>
      </c>
      <c r="H4" s="3403"/>
      <c r="I4" s="3402" t="s">
        <v>525</v>
      </c>
      <c r="J4" s="3403"/>
      <c r="K4" s="853" t="s">
        <v>526</v>
      </c>
      <c r="L4" s="2133"/>
      <c r="M4" s="2134"/>
      <c r="N4" s="2134"/>
      <c r="O4" s="2134"/>
      <c r="P4" s="3404" t="s">
        <v>527</v>
      </c>
      <c r="Q4" s="3405"/>
      <c r="R4" s="3390" t="s">
        <v>523</v>
      </c>
      <c r="S4" s="3391"/>
      <c r="T4" s="3390" t="s">
        <v>524</v>
      </c>
      <c r="U4" s="3391"/>
      <c r="V4" s="3410" t="s">
        <v>525</v>
      </c>
      <c r="W4" s="3410"/>
      <c r="X4" s="1567"/>
      <c r="Y4" s="3390" t="s">
        <v>527</v>
      </c>
      <c r="Z4" s="3391"/>
      <c r="AA4" s="3385" t="s">
        <v>523</v>
      </c>
      <c r="AB4" s="3385" t="s">
        <v>524</v>
      </c>
      <c r="AC4" s="3385" t="s">
        <v>525</v>
      </c>
    </row>
    <row r="5" spans="1:29" ht="15">
      <c r="A5" s="515"/>
      <c r="B5" s="516"/>
      <c r="C5" s="3413" t="s">
        <v>2927</v>
      </c>
      <c r="D5" s="3414"/>
      <c r="E5" s="3428" t="s">
        <v>2928</v>
      </c>
      <c r="F5" s="3429"/>
      <c r="G5" s="3413" t="s">
        <v>2929</v>
      </c>
      <c r="H5" s="3414"/>
      <c r="I5" s="3413" t="s">
        <v>2930</v>
      </c>
      <c r="J5" s="3414"/>
      <c r="K5" s="854"/>
      <c r="L5" s="2133"/>
      <c r="M5" s="2134"/>
      <c r="N5" s="2134"/>
      <c r="O5" s="2134"/>
      <c r="P5" s="3406"/>
      <c r="Q5" s="3407"/>
      <c r="R5" s="3392"/>
      <c r="S5" s="3393"/>
      <c r="T5" s="3392"/>
      <c r="U5" s="3393"/>
      <c r="V5" s="3410"/>
      <c r="W5" s="3410"/>
      <c r="X5" s="1567"/>
      <c r="Y5" s="3392"/>
      <c r="Z5" s="3393"/>
      <c r="AA5" s="3386"/>
      <c r="AB5" s="3386"/>
      <c r="AC5" s="3386"/>
    </row>
    <row r="6" spans="1:29" ht="15.75" thickBot="1">
      <c r="A6" s="517"/>
      <c r="B6" s="518"/>
      <c r="C6" s="3411" t="s">
        <v>2931</v>
      </c>
      <c r="D6" s="3412"/>
      <c r="E6" s="3430" t="s">
        <v>2931</v>
      </c>
      <c r="F6" s="3431"/>
      <c r="G6" s="3411" t="s">
        <v>2931</v>
      </c>
      <c r="H6" s="3412"/>
      <c r="I6" s="3411" t="s">
        <v>2931</v>
      </c>
      <c r="J6" s="3412"/>
      <c r="K6" s="854" t="s">
        <v>528</v>
      </c>
      <c r="L6" s="2133"/>
      <c r="M6" s="2134"/>
      <c r="N6" s="2134"/>
      <c r="O6" s="2134"/>
      <c r="P6" s="3408"/>
      <c r="Q6" s="3409"/>
      <c r="R6" s="3392"/>
      <c r="S6" s="3393"/>
      <c r="T6" s="3394"/>
      <c r="U6" s="3395"/>
      <c r="V6" s="3410"/>
      <c r="W6" s="3410"/>
      <c r="X6" s="1567"/>
      <c r="Y6" s="3394"/>
      <c r="Z6" s="3395"/>
      <c r="AA6" s="3387"/>
      <c r="AB6" s="3387"/>
      <c r="AC6" s="3387"/>
    </row>
    <row r="7" spans="1:29" s="1220" customFormat="1" ht="15.75" thickBot="1">
      <c r="A7" s="2912"/>
      <c r="B7" s="2919" t="s">
        <v>529</v>
      </c>
      <c r="C7" s="519">
        <f>'数据-取费表'!B2</f>
        <v>43606</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88" t="s">
        <v>530</v>
      </c>
      <c r="Q7" s="3397"/>
      <c r="R7" s="1568" t="s">
        <v>13</v>
      </c>
      <c r="S7" s="1569">
        <f t="shared" ref="S7:S15" si="0">F7</f>
        <v>0</v>
      </c>
      <c r="T7" s="1568" t="s">
        <v>13</v>
      </c>
      <c r="U7" s="1569">
        <f t="shared" ref="U7:U15" si="1">H7</f>
        <v>0</v>
      </c>
      <c r="V7" s="1568" t="s">
        <v>13</v>
      </c>
      <c r="W7" s="1569">
        <f t="shared" ref="W7:W15"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88" t="s">
        <v>533</v>
      </c>
      <c r="Q8" s="3389"/>
      <c r="R8" s="1568" t="s">
        <v>13</v>
      </c>
      <c r="S8" s="1569">
        <f t="shared" si="0"/>
        <v>0</v>
      </c>
      <c r="T8" s="1568" t="s">
        <v>13</v>
      </c>
      <c r="U8" s="1569">
        <f t="shared" si="1"/>
        <v>0</v>
      </c>
      <c r="V8" s="1568" t="s">
        <v>13</v>
      </c>
      <c r="W8" s="1569">
        <f t="shared" si="2"/>
        <v>0</v>
      </c>
      <c r="X8" s="1570"/>
      <c r="Y8" s="3388" t="s">
        <v>533</v>
      </c>
      <c r="Z8" s="3389"/>
      <c r="AA8" s="1571" t="e">
        <f t="shared" ref="AA8:AA46" si="3">D8/F8</f>
        <v>#DIV/0!</v>
      </c>
      <c r="AB8" s="1571" t="e">
        <f t="shared" ref="AB8:AB46" si="4">D8/H8</f>
        <v>#DIV/0!</v>
      </c>
      <c r="AC8" s="1571" t="e">
        <f t="shared" ref="AC8:AC46" si="5">D8/J8</f>
        <v>#DIV/0!</v>
      </c>
    </row>
    <row r="9" spans="1:29" s="1220" customFormat="1" ht="15">
      <c r="A9" s="2914"/>
      <c r="B9" s="2921" t="s">
        <v>2755</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96" t="s">
        <v>535</v>
      </c>
      <c r="Q9" s="1151" t="str">
        <f t="shared" ref="Q9:Q15" si="6">B9</f>
        <v>用途</v>
      </c>
      <c r="R9" s="1568" t="s">
        <v>8</v>
      </c>
      <c r="S9" s="1569">
        <f t="shared" si="0"/>
        <v>100</v>
      </c>
      <c r="T9" s="1568" t="s">
        <v>8</v>
      </c>
      <c r="U9" s="1569">
        <f t="shared" si="1"/>
        <v>100</v>
      </c>
      <c r="V9" s="1568" t="s">
        <v>8</v>
      </c>
      <c r="W9" s="1569">
        <f t="shared" si="2"/>
        <v>100</v>
      </c>
      <c r="X9" s="1570"/>
      <c r="Y9" s="3353"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6"/>
      <c r="B11" s="2920"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96"/>
      <c r="Q11" s="1151" t="str">
        <f t="shared" si="6"/>
        <v>容积率</v>
      </c>
      <c r="R11" s="1568" t="s">
        <v>11</v>
      </c>
      <c r="S11" s="1569" t="e">
        <f t="shared" si="0"/>
        <v>#N/A</v>
      </c>
      <c r="T11" s="1568" t="s">
        <v>11</v>
      </c>
      <c r="U11" s="1569" t="e">
        <f t="shared" si="1"/>
        <v>#N/A</v>
      </c>
      <c r="V11" s="1568" t="s">
        <v>11</v>
      </c>
      <c r="W11" s="1569" t="e">
        <f t="shared" si="2"/>
        <v>#N/A</v>
      </c>
      <c r="X11" s="1570"/>
      <c r="Y11" s="335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6"/>
      <c r="Q12" s="1151">
        <f t="shared" si="6"/>
        <v>111</v>
      </c>
      <c r="R12" s="1568" t="s">
        <v>11</v>
      </c>
      <c r="S12" s="1569">
        <f t="shared" si="0"/>
        <v>100</v>
      </c>
      <c r="T12" s="1568" t="s">
        <v>11</v>
      </c>
      <c r="U12" s="1569">
        <f t="shared" si="1"/>
        <v>100</v>
      </c>
      <c r="V12" s="1568" t="s">
        <v>11</v>
      </c>
      <c r="W12" s="1569">
        <f t="shared" si="2"/>
        <v>100</v>
      </c>
      <c r="X12" s="1570"/>
      <c r="Y12" s="3353"/>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6"/>
      <c r="Q13" s="1151">
        <f t="shared" si="6"/>
        <v>111</v>
      </c>
      <c r="R13" s="1568" t="s">
        <v>11</v>
      </c>
      <c r="S13" s="1569">
        <f t="shared" si="0"/>
        <v>100</v>
      </c>
      <c r="T13" s="1568" t="s">
        <v>11</v>
      </c>
      <c r="U13" s="1569">
        <f t="shared" si="1"/>
        <v>100</v>
      </c>
      <c r="V13" s="1568" t="s">
        <v>11</v>
      </c>
      <c r="W13" s="1569">
        <f t="shared" si="2"/>
        <v>100</v>
      </c>
      <c r="X13" s="1570"/>
      <c r="Y13" s="3353"/>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6"/>
      <c r="Q14" s="1151">
        <f t="shared" si="6"/>
        <v>111</v>
      </c>
      <c r="R14" s="1568" t="s">
        <v>11</v>
      </c>
      <c r="S14" s="1569">
        <f t="shared" si="0"/>
        <v>100</v>
      </c>
      <c r="T14" s="1568" t="s">
        <v>11</v>
      </c>
      <c r="U14" s="1569">
        <f t="shared" si="1"/>
        <v>100</v>
      </c>
      <c r="V14" s="1568" t="s">
        <v>11</v>
      </c>
      <c r="W14" s="1569">
        <f t="shared" si="2"/>
        <v>100</v>
      </c>
      <c r="X14" s="1570"/>
      <c r="Y14" s="3353"/>
      <c r="Z14" s="1150">
        <f t="shared" si="7"/>
        <v>111</v>
      </c>
      <c r="AA14" s="1571">
        <f t="shared" si="3"/>
        <v>1</v>
      </c>
      <c r="AB14" s="1571">
        <f t="shared" si="4"/>
        <v>1</v>
      </c>
      <c r="AC14" s="1571">
        <f t="shared" si="5"/>
        <v>1</v>
      </c>
    </row>
    <row r="15" spans="1:29" ht="99.75">
      <c r="A15" s="2910"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98" t="s">
        <v>540</v>
      </c>
      <c r="Q15" s="1572" t="str">
        <f t="shared" si="6"/>
        <v>居住社区成熟度</v>
      </c>
      <c r="R15" s="1573" t="s">
        <v>11</v>
      </c>
      <c r="S15" s="1574">
        <f t="shared" si="0"/>
        <v>100</v>
      </c>
      <c r="T15" s="1573" t="s">
        <v>11</v>
      </c>
      <c r="U15" s="1574">
        <f t="shared" si="1"/>
        <v>100</v>
      </c>
      <c r="V15" s="1573" t="s">
        <v>11</v>
      </c>
      <c r="W15" s="1574">
        <f t="shared" si="2"/>
        <v>100</v>
      </c>
      <c r="X15" s="1567"/>
      <c r="Y15" s="3398"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99"/>
      <c r="Q17" s="1572" t="str">
        <f>B17</f>
        <v>交通便捷度</v>
      </c>
      <c r="R17" s="1573" t="s">
        <v>11</v>
      </c>
      <c r="S17" s="1574">
        <f>F17</f>
        <v>100</v>
      </c>
      <c r="T17" s="1573" t="s">
        <v>11</v>
      </c>
      <c r="U17" s="1574">
        <f>H17</f>
        <v>100</v>
      </c>
      <c r="V17" s="1573" t="s">
        <v>11</v>
      </c>
      <c r="W17" s="1574">
        <f>J17</f>
        <v>100</v>
      </c>
      <c r="X17" s="1567"/>
      <c r="Y17" s="339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2"/>
      <c r="B19" s="260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99"/>
      <c r="Q19" s="1572" t="str">
        <f>B19</f>
        <v>公共配套设施</v>
      </c>
      <c r="R19" s="1573" t="s">
        <v>11</v>
      </c>
      <c r="S19" s="1574">
        <f>F19</f>
        <v>100</v>
      </c>
      <c r="T19" s="1573" t="s">
        <v>11</v>
      </c>
      <c r="U19" s="1574">
        <f>H19</f>
        <v>100</v>
      </c>
      <c r="V19" s="1573" t="s">
        <v>11</v>
      </c>
      <c r="W19" s="1574">
        <f>J19</f>
        <v>100</v>
      </c>
      <c r="X19" s="1567"/>
      <c r="Y19" s="339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2"/>
      <c r="B21" s="259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99"/>
      <c r="Q21" s="2579" t="str">
        <f>B21</f>
        <v>基础设施水平</v>
      </c>
      <c r="R21" s="1573" t="s">
        <v>11</v>
      </c>
      <c r="S21" s="1574">
        <f>F21</f>
        <v>100</v>
      </c>
      <c r="T21" s="1573" t="s">
        <v>11</v>
      </c>
      <c r="U21" s="1574">
        <f>H21</f>
        <v>100</v>
      </c>
      <c r="V21" s="1573" t="s">
        <v>11</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99"/>
      <c r="L22" s="2142"/>
      <c r="M22" s="2134"/>
      <c r="N22" s="2134"/>
      <c r="O22" s="2141"/>
      <c r="P22" s="3399"/>
      <c r="Q22" s="2579"/>
      <c r="R22" s="1573"/>
      <c r="S22" s="1574"/>
      <c r="T22" s="1573"/>
      <c r="U22" s="1574"/>
      <c r="V22" s="1573"/>
      <c r="W22" s="1574"/>
      <c r="X22" s="2581"/>
      <c r="Y22" s="3399"/>
      <c r="Z22" s="2580"/>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99"/>
      <c r="Q23" s="1572" t="str">
        <f>B23</f>
        <v>自然及人文环境</v>
      </c>
      <c r="R23" s="1573" t="s">
        <v>11</v>
      </c>
      <c r="S23" s="1574">
        <f>F23</f>
        <v>100</v>
      </c>
      <c r="T23" s="1573" t="s">
        <v>11</v>
      </c>
      <c r="U23" s="1574">
        <f>H23</f>
        <v>100</v>
      </c>
      <c r="V23" s="1573" t="s">
        <v>11</v>
      </c>
      <c r="W23" s="1574">
        <f>J23</f>
        <v>100</v>
      </c>
      <c r="X23" s="1567"/>
      <c r="Y23" s="339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9"/>
      <c r="Q25" s="1572" t="str">
        <f t="shared" ref="Q25:Q46" si="11">B25</f>
        <v>楼层-1</v>
      </c>
      <c r="R25" s="1573" t="s">
        <v>11</v>
      </c>
      <c r="S25" s="1574">
        <f>F25</f>
        <v>100</v>
      </c>
      <c r="T25" s="1573" t="s">
        <v>11</v>
      </c>
      <c r="U25" s="1574">
        <f>H25</f>
        <v>100</v>
      </c>
      <c r="V25" s="1573" t="s">
        <v>11</v>
      </c>
      <c r="W25" s="1574">
        <f>J25</f>
        <v>100</v>
      </c>
      <c r="X25" s="1567"/>
      <c r="Y25" s="3399"/>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9"/>
      <c r="Q26" s="1572" t="str">
        <f t="shared" si="11"/>
        <v>朝向</v>
      </c>
      <c r="R26" s="1573" t="s">
        <v>11</v>
      </c>
      <c r="S26" s="1574">
        <f>F26</f>
        <v>100</v>
      </c>
      <c r="T26" s="1573" t="s">
        <v>11</v>
      </c>
      <c r="U26" s="1574">
        <f>H26</f>
        <v>100</v>
      </c>
      <c r="V26" s="1573" t="s">
        <v>11</v>
      </c>
      <c r="W26" s="1574">
        <f>J26</f>
        <v>100</v>
      </c>
      <c r="X26" s="1567"/>
      <c r="Y26" s="3399"/>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9"/>
      <c r="Q27" s="1151" t="str">
        <f t="shared" si="11"/>
        <v>道路级别</v>
      </c>
      <c r="R27" s="1568" t="s">
        <v>11</v>
      </c>
      <c r="S27" s="1569">
        <f>F27</f>
        <v>100</v>
      </c>
      <c r="T27" s="1568" t="s">
        <v>11</v>
      </c>
      <c r="U27" s="1569">
        <f>H27</f>
        <v>100</v>
      </c>
      <c r="V27" s="1568" t="s">
        <v>11</v>
      </c>
      <c r="W27" s="1569">
        <f>J27</f>
        <v>100</v>
      </c>
      <c r="X27" s="1570"/>
      <c r="Y27" s="339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9"/>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9"/>
      <c r="Q29" s="1572">
        <f t="shared" si="11"/>
        <v>111</v>
      </c>
      <c r="R29" s="1573" t="s">
        <v>11</v>
      </c>
      <c r="S29" s="1574">
        <f t="shared" si="12"/>
        <v>100</v>
      </c>
      <c r="T29" s="1573" t="s">
        <v>11</v>
      </c>
      <c r="U29" s="1574">
        <f t="shared" si="13"/>
        <v>100</v>
      </c>
      <c r="V29" s="1573" t="s">
        <v>11</v>
      </c>
      <c r="W29" s="1574">
        <f t="shared" si="14"/>
        <v>100</v>
      </c>
      <c r="X29" s="1567"/>
      <c r="Y29" s="339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9"/>
      <c r="Q30" s="1572">
        <f t="shared" si="11"/>
        <v>111</v>
      </c>
      <c r="R30" s="1573" t="s">
        <v>11</v>
      </c>
      <c r="S30" s="1574">
        <f t="shared" si="12"/>
        <v>100</v>
      </c>
      <c r="T30" s="1573" t="s">
        <v>11</v>
      </c>
      <c r="U30" s="1574">
        <f t="shared" si="13"/>
        <v>100</v>
      </c>
      <c r="V30" s="1573" t="s">
        <v>11</v>
      </c>
      <c r="W30" s="1574">
        <f t="shared" si="14"/>
        <v>100</v>
      </c>
      <c r="X30" s="1567"/>
      <c r="Y30" s="339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9"/>
      <c r="Q31" s="1572">
        <f t="shared" si="11"/>
        <v>111</v>
      </c>
      <c r="R31" s="1573" t="s">
        <v>11</v>
      </c>
      <c r="S31" s="1574">
        <f t="shared" si="12"/>
        <v>100</v>
      </c>
      <c r="T31" s="1573" t="s">
        <v>11</v>
      </c>
      <c r="U31" s="1574">
        <f t="shared" si="13"/>
        <v>100</v>
      </c>
      <c r="V31" s="1573" t="s">
        <v>11</v>
      </c>
      <c r="W31" s="1574">
        <f t="shared" si="14"/>
        <v>100</v>
      </c>
      <c r="X31" s="1567"/>
      <c r="Y31" s="3399"/>
      <c r="Z31" s="1575">
        <f t="shared" si="15"/>
        <v>111</v>
      </c>
      <c r="AA31" s="1576">
        <f t="shared" si="3"/>
        <v>1</v>
      </c>
      <c r="AB31" s="1576">
        <f t="shared" si="4"/>
        <v>1</v>
      </c>
      <c r="AC31" s="1576">
        <f t="shared" si="5"/>
        <v>1</v>
      </c>
    </row>
    <row r="32" spans="1:29" ht="15">
      <c r="A32" s="2907"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00" t="s">
        <v>550</v>
      </c>
      <c r="Q32" s="1572" t="str">
        <f t="shared" si="11"/>
        <v>建筑类型</v>
      </c>
      <c r="R32" s="1573" t="s">
        <v>11</v>
      </c>
      <c r="S32" s="1574">
        <f t="shared" si="12"/>
        <v>100</v>
      </c>
      <c r="T32" s="1573" t="s">
        <v>11</v>
      </c>
      <c r="U32" s="1574">
        <f t="shared" si="13"/>
        <v>100</v>
      </c>
      <c r="V32" s="1573" t="s">
        <v>11</v>
      </c>
      <c r="W32" s="1574">
        <f t="shared" si="14"/>
        <v>100</v>
      </c>
      <c r="X32" s="1567"/>
      <c r="Y32" s="3401"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01"/>
      <c r="Q33" s="1605" t="str">
        <f t="shared" si="11"/>
        <v>项目建筑规模</v>
      </c>
      <c r="R33" s="1577" t="s">
        <v>11</v>
      </c>
      <c r="S33" s="1578" t="e">
        <f t="shared" si="12"/>
        <v>#N/A</v>
      </c>
      <c r="T33" s="1577" t="s">
        <v>11</v>
      </c>
      <c r="U33" s="1578" t="e">
        <f t="shared" si="13"/>
        <v>#N/A</v>
      </c>
      <c r="V33" s="1577" t="s">
        <v>11</v>
      </c>
      <c r="W33" s="1578" t="e">
        <f t="shared" si="14"/>
        <v>#N/A</v>
      </c>
      <c r="X33" s="1579"/>
      <c r="Y33" s="3401"/>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01"/>
      <c r="Q34" s="1572" t="str">
        <f t="shared" si="11"/>
        <v>建筑结构</v>
      </c>
      <c r="R34" s="1573" t="s">
        <v>11</v>
      </c>
      <c r="S34" s="1574">
        <f t="shared" si="12"/>
        <v>100</v>
      </c>
      <c r="T34" s="1573" t="s">
        <v>11</v>
      </c>
      <c r="U34" s="1574">
        <f t="shared" si="13"/>
        <v>100</v>
      </c>
      <c r="V34" s="1573" t="s">
        <v>11</v>
      </c>
      <c r="W34" s="1574">
        <f t="shared" si="14"/>
        <v>100</v>
      </c>
      <c r="X34" s="1567"/>
      <c r="Y34" s="3401"/>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01"/>
      <c r="Q35" s="1572" t="str">
        <f t="shared" si="11"/>
        <v>建筑品质</v>
      </c>
      <c r="R35" s="1573" t="s">
        <v>11</v>
      </c>
      <c r="S35" s="1574">
        <f t="shared" si="12"/>
        <v>100</v>
      </c>
      <c r="T35" s="1573" t="s">
        <v>11</v>
      </c>
      <c r="U35" s="1574">
        <f t="shared" si="13"/>
        <v>100</v>
      </c>
      <c r="V35" s="1573" t="s">
        <v>11</v>
      </c>
      <c r="W35" s="1574">
        <f t="shared" si="14"/>
        <v>100</v>
      </c>
      <c r="X35" s="1567"/>
      <c r="Y35" s="3401"/>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01"/>
      <c r="Q36" s="1572" t="str">
        <f t="shared" si="11"/>
        <v>公共部分装修</v>
      </c>
      <c r="R36" s="1573" t="s">
        <v>11</v>
      </c>
      <c r="S36" s="1574">
        <f t="shared" si="12"/>
        <v>100</v>
      </c>
      <c r="T36" s="1573" t="s">
        <v>11</v>
      </c>
      <c r="U36" s="1574">
        <f t="shared" si="13"/>
        <v>100</v>
      </c>
      <c r="V36" s="1573" t="s">
        <v>11</v>
      </c>
      <c r="W36" s="1574">
        <f t="shared" si="14"/>
        <v>100</v>
      </c>
      <c r="X36" s="1567"/>
      <c r="Y36" s="3401"/>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01"/>
      <c r="Q37" s="1151" t="str">
        <f t="shared" si="11"/>
        <v>成新度</v>
      </c>
      <c r="R37" s="1568" t="s">
        <v>11</v>
      </c>
      <c r="S37" s="1569" t="e">
        <f t="shared" si="12"/>
        <v>#N/A</v>
      </c>
      <c r="T37" s="1568" t="s">
        <v>11</v>
      </c>
      <c r="U37" s="1569" t="e">
        <f t="shared" si="13"/>
        <v>#N/A</v>
      </c>
      <c r="V37" s="1568" t="s">
        <v>11</v>
      </c>
      <c r="W37" s="1569" t="e">
        <f t="shared" si="14"/>
        <v>#N/A</v>
      </c>
      <c r="X37" s="1570"/>
      <c r="Y37" s="3401"/>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01" t="s">
        <v>550</v>
      </c>
      <c r="Q38" s="1572" t="str">
        <f t="shared" si="11"/>
        <v>物业管理</v>
      </c>
      <c r="R38" s="1573" t="s">
        <v>11</v>
      </c>
      <c r="S38" s="1574">
        <f t="shared" si="12"/>
        <v>100</v>
      </c>
      <c r="T38" s="1573" t="s">
        <v>11</v>
      </c>
      <c r="U38" s="1574">
        <f t="shared" si="13"/>
        <v>100</v>
      </c>
      <c r="V38" s="1573" t="s">
        <v>11</v>
      </c>
      <c r="W38" s="1574">
        <f t="shared" si="14"/>
        <v>100</v>
      </c>
      <c r="X38" s="1567"/>
      <c r="Y38" s="3401" t="s">
        <v>550</v>
      </c>
      <c r="Z38" s="1575" t="str">
        <f t="shared" si="15"/>
        <v>物业管理</v>
      </c>
      <c r="AA38" s="1576">
        <f t="shared" si="3"/>
        <v>1</v>
      </c>
      <c r="AB38" s="1576">
        <f t="shared" si="4"/>
        <v>1</v>
      </c>
      <c r="AC38" s="1576">
        <f t="shared" si="5"/>
        <v>1</v>
      </c>
    </row>
    <row r="39" spans="1:29" ht="15">
      <c r="A39" s="594"/>
      <c r="B39" s="1895"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01"/>
      <c r="Q39" s="1572" t="str">
        <f t="shared" si="11"/>
        <v>市政基础设施</v>
      </c>
      <c r="R39" s="1573" t="s">
        <v>11</v>
      </c>
      <c r="S39" s="1574">
        <f t="shared" si="12"/>
        <v>100</v>
      </c>
      <c r="T39" s="1573" t="s">
        <v>11</v>
      </c>
      <c r="U39" s="1574">
        <f t="shared" si="13"/>
        <v>100</v>
      </c>
      <c r="V39" s="1573" t="s">
        <v>11</v>
      </c>
      <c r="W39" s="1574">
        <f t="shared" si="14"/>
        <v>100</v>
      </c>
      <c r="X39" s="1567"/>
      <c r="Y39" s="3401"/>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1"/>
      <c r="Q40" s="1572" t="str">
        <f t="shared" si="11"/>
        <v>房型</v>
      </c>
      <c r="R40" s="1573" t="s">
        <v>11</v>
      </c>
      <c r="S40" s="1574">
        <f t="shared" si="12"/>
        <v>100</v>
      </c>
      <c r="T40" s="1573" t="s">
        <v>11</v>
      </c>
      <c r="U40" s="1574">
        <f t="shared" si="13"/>
        <v>100</v>
      </c>
      <c r="V40" s="1573" t="s">
        <v>11</v>
      </c>
      <c r="W40" s="1574">
        <f t="shared" si="14"/>
        <v>100</v>
      </c>
      <c r="X40" s="1567"/>
      <c r="Y40" s="3401"/>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1"/>
      <c r="Q41" s="1605" t="str">
        <f t="shared" si="11"/>
        <v>单套/主力户型建筑面积</v>
      </c>
      <c r="R41" s="1577" t="s">
        <v>11</v>
      </c>
      <c r="S41" s="1578">
        <f t="shared" si="12"/>
        <v>100</v>
      </c>
      <c r="T41" s="1577" t="s">
        <v>11</v>
      </c>
      <c r="U41" s="1578">
        <f t="shared" si="13"/>
        <v>100</v>
      </c>
      <c r="V41" s="1577" t="s">
        <v>11</v>
      </c>
      <c r="W41" s="1578">
        <f t="shared" si="14"/>
        <v>100</v>
      </c>
      <c r="X41" s="1579"/>
      <c r="Y41" s="3401"/>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01"/>
      <c r="Q42" s="1572" t="str">
        <f t="shared" si="11"/>
        <v>内部装修</v>
      </c>
      <c r="R42" s="1573" t="s">
        <v>11</v>
      </c>
      <c r="S42" s="1574">
        <f t="shared" si="12"/>
        <v>100</v>
      </c>
      <c r="T42" s="1573" t="s">
        <v>11</v>
      </c>
      <c r="U42" s="1574">
        <f t="shared" si="13"/>
        <v>100</v>
      </c>
      <c r="V42" s="1573" t="s">
        <v>11</v>
      </c>
      <c r="W42" s="1574">
        <f t="shared" si="14"/>
        <v>100</v>
      </c>
      <c r="X42" s="1567"/>
      <c r="Y42" s="3401"/>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01"/>
      <c r="Q43" s="1572" t="str">
        <f t="shared" si="11"/>
        <v>内部装修维护情况</v>
      </c>
      <c r="R43" s="1573" t="s">
        <v>11</v>
      </c>
      <c r="S43" s="1574">
        <f t="shared" si="12"/>
        <v>100</v>
      </c>
      <c r="T43" s="1573" t="s">
        <v>11</v>
      </c>
      <c r="U43" s="1574">
        <f t="shared" si="13"/>
        <v>100</v>
      </c>
      <c r="V43" s="1573" t="s">
        <v>11</v>
      </c>
      <c r="W43" s="1574">
        <f t="shared" si="14"/>
        <v>100</v>
      </c>
      <c r="X43" s="1567"/>
      <c r="Y43" s="340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1"/>
      <c r="Q44" s="1151">
        <f t="shared" si="11"/>
        <v>111</v>
      </c>
      <c r="R44" s="1568" t="s">
        <v>11</v>
      </c>
      <c r="S44" s="1569">
        <f t="shared" si="12"/>
        <v>100</v>
      </c>
      <c r="T44" s="1568" t="s">
        <v>11</v>
      </c>
      <c r="U44" s="1569">
        <f t="shared" si="13"/>
        <v>100</v>
      </c>
      <c r="V44" s="1568" t="s">
        <v>11</v>
      </c>
      <c r="W44" s="1569">
        <f t="shared" si="14"/>
        <v>100</v>
      </c>
      <c r="X44" s="1570"/>
      <c r="Y44" s="340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1"/>
      <c r="Q45" s="1572">
        <f t="shared" si="11"/>
        <v>111</v>
      </c>
      <c r="R45" s="1573" t="s">
        <v>11</v>
      </c>
      <c r="S45" s="1574">
        <f t="shared" si="12"/>
        <v>100</v>
      </c>
      <c r="T45" s="1573" t="s">
        <v>11</v>
      </c>
      <c r="U45" s="1574">
        <f t="shared" si="13"/>
        <v>100</v>
      </c>
      <c r="V45" s="1573" t="s">
        <v>11</v>
      </c>
      <c r="W45" s="1574">
        <f t="shared" si="14"/>
        <v>100</v>
      </c>
      <c r="X45" s="1567"/>
      <c r="Y45" s="340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7"/>
      <c r="Q46" s="1572">
        <f t="shared" si="11"/>
        <v>111</v>
      </c>
      <c r="R46" s="1573" t="s">
        <v>10</v>
      </c>
      <c r="S46" s="1574">
        <f t="shared" si="12"/>
        <v>100</v>
      </c>
      <c r="T46" s="1573" t="s">
        <v>10</v>
      </c>
      <c r="U46" s="1574">
        <f t="shared" si="13"/>
        <v>100</v>
      </c>
      <c r="V46" s="1573" t="s">
        <v>10</v>
      </c>
      <c r="W46" s="1574">
        <f t="shared" si="14"/>
        <v>100</v>
      </c>
      <c r="X46" s="1567"/>
      <c r="Y46" s="3497"/>
      <c r="Z46" s="1575">
        <f t="shared" si="15"/>
        <v>111</v>
      </c>
      <c r="AA46" s="1576">
        <f t="shared" si="3"/>
        <v>1</v>
      </c>
      <c r="AB46" s="1576">
        <f t="shared" si="4"/>
        <v>1</v>
      </c>
      <c r="AC46" s="1576">
        <f t="shared" si="5"/>
        <v>1</v>
      </c>
    </row>
    <row r="47" spans="1:29" ht="15">
      <c r="A47" s="607" t="s">
        <v>736</v>
      </c>
      <c r="B47" s="887"/>
      <c r="C47" s="2627" t="s">
        <v>9</v>
      </c>
      <c r="D47" s="2628"/>
      <c r="E47" s="2629"/>
      <c r="F47" s="2630"/>
      <c r="G47" s="2631"/>
      <c r="H47" s="2632"/>
      <c r="I47" s="2629"/>
      <c r="J47" s="2632"/>
      <c r="K47" s="1606"/>
      <c r="L47" s="2144"/>
      <c r="M47" s="2145"/>
      <c r="N47" s="2134"/>
      <c r="O47" s="2145"/>
      <c r="P47" s="3396" t="str">
        <f>A47</f>
        <v>成交单价（元/平方米）</v>
      </c>
      <c r="Q47" s="3396"/>
      <c r="R47" s="3496">
        <f>E47</f>
        <v>0</v>
      </c>
      <c r="S47" s="3496"/>
      <c r="T47" s="3496">
        <f>G47</f>
        <v>0</v>
      </c>
      <c r="U47" s="3496"/>
      <c r="V47" s="3496">
        <f>I47</f>
        <v>0</v>
      </c>
      <c r="W47" s="3496"/>
      <c r="X47" s="1559"/>
      <c r="Y47" s="1581"/>
      <c r="Z47" s="1559"/>
      <c r="AA47" s="1559"/>
      <c r="AB47" s="1559"/>
      <c r="AC47" s="1559"/>
    </row>
    <row r="48" spans="1:29" ht="15.75" thickBot="1">
      <c r="A48" s="615" t="s">
        <v>2759</v>
      </c>
      <c r="B48" s="888"/>
      <c r="C48" s="2633" t="e">
        <f>R49</f>
        <v>#DIV/0!</v>
      </c>
      <c r="D48" s="2634"/>
      <c r="E48" s="2635" t="e">
        <f>R48</f>
        <v>#DIV/0!</v>
      </c>
      <c r="F48" s="2635"/>
      <c r="G48" s="2633" t="e">
        <f>T48</f>
        <v>#DIV/0!</v>
      </c>
      <c r="H48" s="2634"/>
      <c r="I48" s="2635" t="e">
        <f>V48</f>
        <v>#DIV/0!</v>
      </c>
      <c r="J48" s="2634"/>
      <c r="K48" s="1607"/>
      <c r="L48" s="2144"/>
      <c r="M48" s="2145"/>
      <c r="N48" s="2145"/>
      <c r="O48" s="2145"/>
      <c r="P48" s="3396" t="str">
        <f>A48</f>
        <v>比较价格（元/平方米）</v>
      </c>
      <c r="Q48" s="3396"/>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9"/>
      <c r="Y48" s="1559"/>
      <c r="Z48" s="1559"/>
      <c r="AA48" s="1559"/>
      <c r="AB48" s="1559"/>
      <c r="AC48" s="1559"/>
    </row>
    <row r="49" spans="1:29" ht="15.75" thickBot="1">
      <c r="A49" s="621" t="s">
        <v>2933</v>
      </c>
      <c r="B49" s="622"/>
      <c r="C49" s="2636" t="e">
        <f>R49</f>
        <v>#DIV/0!</v>
      </c>
      <c r="D49" s="2636"/>
      <c r="E49" s="2636"/>
      <c r="F49" s="2636"/>
      <c r="G49" s="2636"/>
      <c r="H49" s="2636"/>
      <c r="I49" s="2636"/>
      <c r="J49" s="2636"/>
      <c r="K49" s="1608"/>
      <c r="L49" s="2144"/>
      <c r="M49" s="2145"/>
      <c r="N49" s="2145"/>
      <c r="O49" s="2145"/>
      <c r="P49" s="3417" t="str">
        <f>A49</f>
        <v>估价对象XX用房的比较价格（楼面单价，元/平方米）</v>
      </c>
      <c r="Q49" s="3418"/>
      <c r="R49" s="3495" t="e">
        <f>IF(F1="售价",ROUND(AVERAGE(R48:V48),0),ROUND(AVERAGE(R48:V48),1))</f>
        <v>#DIV/0!</v>
      </c>
      <c r="S49" s="3495"/>
      <c r="T49" s="3495"/>
      <c r="U49" s="3495"/>
      <c r="V49" s="3495"/>
      <c r="W49" s="349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2019-5</v>
      </c>
      <c r="D58" s="2804">
        <f>EDATE(C58,-1)</f>
        <v>43556</v>
      </c>
      <c r="E58" s="2804">
        <f t="shared" ref="E58:O58" si="16">EDATE(D58,-1)</f>
        <v>43525</v>
      </c>
      <c r="F58" s="2804">
        <f t="shared" si="16"/>
        <v>43497</v>
      </c>
      <c r="G58" s="2804">
        <f t="shared" si="16"/>
        <v>43466</v>
      </c>
      <c r="H58" s="2804">
        <f t="shared" si="16"/>
        <v>43435</v>
      </c>
      <c r="I58" s="2804">
        <f t="shared" si="16"/>
        <v>43405</v>
      </c>
      <c r="J58" s="2804">
        <f t="shared" si="16"/>
        <v>43374</v>
      </c>
      <c r="K58" s="2804">
        <f t="shared" si="16"/>
        <v>43344</v>
      </c>
      <c r="L58" s="2804">
        <f t="shared" si="16"/>
        <v>43313</v>
      </c>
      <c r="M58" s="2804">
        <f t="shared" si="16"/>
        <v>43282</v>
      </c>
      <c r="N58" s="2804">
        <f t="shared" si="16"/>
        <v>43252</v>
      </c>
      <c r="O58" s="2804">
        <f t="shared" si="16"/>
        <v>43221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2558</v>
      </c>
      <c r="C82" s="2598" t="s">
        <v>2559</v>
      </c>
      <c r="D82" s="2598" t="s">
        <v>2560</v>
      </c>
      <c r="E82" s="2598" t="s">
        <v>2561</v>
      </c>
      <c r="F82" s="2598" t="s">
        <v>2562</v>
      </c>
      <c r="G82" s="2598" t="s">
        <v>2563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2556</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402" t="s">
        <v>522</v>
      </c>
      <c r="D4" s="3403"/>
      <c r="E4" s="3426" t="s">
        <v>523</v>
      </c>
      <c r="F4" s="3427"/>
      <c r="G4" s="3402" t="s">
        <v>524</v>
      </c>
      <c r="H4" s="3403"/>
      <c r="I4" s="3402" t="s">
        <v>525</v>
      </c>
      <c r="J4" s="3403"/>
      <c r="K4" s="514" t="s">
        <v>526</v>
      </c>
      <c r="L4" s="2133"/>
      <c r="M4" s="2134"/>
      <c r="N4" s="2134"/>
      <c r="O4" s="2134"/>
      <c r="P4" s="3404" t="s">
        <v>527</v>
      </c>
      <c r="Q4" s="3405"/>
      <c r="R4" s="3390" t="s">
        <v>523</v>
      </c>
      <c r="S4" s="3391"/>
      <c r="T4" s="3390" t="s">
        <v>524</v>
      </c>
      <c r="U4" s="3391"/>
      <c r="V4" s="3410" t="s">
        <v>525</v>
      </c>
      <c r="W4" s="3410"/>
      <c r="X4" s="1567"/>
      <c r="Y4" s="3390" t="s">
        <v>527</v>
      </c>
      <c r="Z4" s="3391"/>
      <c r="AA4" s="3385" t="s">
        <v>523</v>
      </c>
      <c r="AB4" s="3410" t="s">
        <v>524</v>
      </c>
      <c r="AC4" s="3385" t="s">
        <v>525</v>
      </c>
    </row>
    <row r="5" spans="1:29" ht="15">
      <c r="A5" s="515"/>
      <c r="B5" s="516"/>
      <c r="C5" s="3413" t="s">
        <v>2927</v>
      </c>
      <c r="D5" s="3414"/>
      <c r="E5" s="3428" t="s">
        <v>2928</v>
      </c>
      <c r="F5" s="3429"/>
      <c r="G5" s="3413" t="s">
        <v>2929</v>
      </c>
      <c r="H5" s="3414"/>
      <c r="I5" s="3413" t="s">
        <v>2930</v>
      </c>
      <c r="J5" s="3414"/>
      <c r="K5" s="514"/>
      <c r="L5" s="2133"/>
      <c r="M5" s="2134"/>
      <c r="N5" s="2134"/>
      <c r="O5" s="2134"/>
      <c r="P5" s="3406"/>
      <c r="Q5" s="3407"/>
      <c r="R5" s="3392"/>
      <c r="S5" s="3393"/>
      <c r="T5" s="3392"/>
      <c r="U5" s="3393"/>
      <c r="V5" s="3410"/>
      <c r="W5" s="3410"/>
      <c r="X5" s="1567"/>
      <c r="Y5" s="3392"/>
      <c r="Z5" s="3393"/>
      <c r="AA5" s="3386"/>
      <c r="AB5" s="3410"/>
      <c r="AC5" s="3386"/>
    </row>
    <row r="6" spans="1:29" ht="15.75" thickBot="1">
      <c r="A6" s="517"/>
      <c r="B6" s="518"/>
      <c r="C6" s="3411" t="s">
        <v>2931</v>
      </c>
      <c r="D6" s="3412"/>
      <c r="E6" s="3430" t="s">
        <v>2931</v>
      </c>
      <c r="F6" s="3431"/>
      <c r="G6" s="3411" t="s">
        <v>2931</v>
      </c>
      <c r="H6" s="3412"/>
      <c r="I6" s="3411" t="s">
        <v>2931</v>
      </c>
      <c r="J6" s="3412"/>
      <c r="K6" s="514" t="s">
        <v>528</v>
      </c>
      <c r="L6" s="2133"/>
      <c r="M6" s="2134"/>
      <c r="N6" s="2134"/>
      <c r="O6" s="2134"/>
      <c r="P6" s="3408"/>
      <c r="Q6" s="3409"/>
      <c r="R6" s="3392"/>
      <c r="S6" s="3393"/>
      <c r="T6" s="3394"/>
      <c r="U6" s="3395"/>
      <c r="V6" s="3410"/>
      <c r="W6" s="3410"/>
      <c r="X6" s="1567"/>
      <c r="Y6" s="3394"/>
      <c r="Z6" s="3395"/>
      <c r="AA6" s="3387"/>
      <c r="AB6" s="3410"/>
      <c r="AC6" s="3387"/>
    </row>
    <row r="7" spans="1:29" s="1220" customFormat="1" ht="15.75" thickBot="1">
      <c r="A7" s="2912"/>
      <c r="B7" s="2919" t="s">
        <v>529</v>
      </c>
      <c r="C7" s="519">
        <f>'数据-取费表'!B2</f>
        <v>43606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88" t="s">
        <v>530</v>
      </c>
      <c r="Q7" s="3397"/>
      <c r="R7" s="1568" t="s">
        <v>8</v>
      </c>
      <c r="S7" s="1569">
        <f t="shared" ref="S7:S15" si="0">F7</f>
        <v>0</v>
      </c>
      <c r="T7" s="1568" t="s">
        <v>8</v>
      </c>
      <c r="U7" s="1569">
        <f t="shared" ref="U7:U15" si="1">H7</f>
        <v>0</v>
      </c>
      <c r="V7" s="1568" t="s">
        <v>8</v>
      </c>
      <c r="W7" s="1569">
        <f t="shared" ref="W7:W15"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88" t="s">
        <v>533</v>
      </c>
      <c r="Q8" s="3389"/>
      <c r="R8" s="1568" t="s">
        <v>8</v>
      </c>
      <c r="S8" s="1569">
        <f t="shared" si="0"/>
        <v>0</v>
      </c>
      <c r="T8" s="1568" t="s">
        <v>8</v>
      </c>
      <c r="U8" s="1569">
        <f t="shared" si="1"/>
        <v>0</v>
      </c>
      <c r="V8" s="1568" t="s">
        <v>8</v>
      </c>
      <c r="W8" s="1569">
        <f t="shared" si="2"/>
        <v>0</v>
      </c>
      <c r="X8" s="1570"/>
      <c r="Y8" s="3388" t="s">
        <v>533</v>
      </c>
      <c r="Z8" s="3389"/>
      <c r="AA8" s="1571" t="e">
        <f t="shared" ref="AA8:AA46" si="3">D8/F8</f>
        <v>#DIV/0!</v>
      </c>
      <c r="AB8" s="1571" t="e">
        <f t="shared" ref="AB8:AB46" si="4">D8/H8</f>
        <v>#DIV/0!</v>
      </c>
      <c r="AC8" s="1571" t="e">
        <f t="shared" ref="AC8:AC46" si="5">D8/J8</f>
        <v>#DIV/0!</v>
      </c>
    </row>
    <row r="9" spans="1:29" s="1220" customFormat="1" ht="15">
      <c r="A9" s="2914"/>
      <c r="B9" s="2921"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96" t="s">
        <v>535</v>
      </c>
      <c r="Q9" s="1151" t="str">
        <f t="shared" ref="Q9:Q15" si="6">B9</f>
        <v>用途</v>
      </c>
      <c r="R9" s="1568" t="s">
        <v>8</v>
      </c>
      <c r="S9" s="1569">
        <f t="shared" si="0"/>
        <v>100</v>
      </c>
      <c r="T9" s="1568" t="s">
        <v>8</v>
      </c>
      <c r="U9" s="1569">
        <f t="shared" si="1"/>
        <v>100</v>
      </c>
      <c r="V9" s="1568" t="s">
        <v>8</v>
      </c>
      <c r="W9" s="1569">
        <f t="shared" si="2"/>
        <v>100</v>
      </c>
      <c r="X9" s="1570"/>
      <c r="Y9" s="3353"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96"/>
      <c r="Q11" s="1151" t="str">
        <f t="shared" si="6"/>
        <v>容积率</v>
      </c>
      <c r="R11" s="1568" t="s">
        <v>8</v>
      </c>
      <c r="S11" s="1569" t="e">
        <f t="shared" si="0"/>
        <v>#N/A</v>
      </c>
      <c r="T11" s="1568" t="s">
        <v>8</v>
      </c>
      <c r="U11" s="1569" t="e">
        <f t="shared" si="1"/>
        <v>#N/A</v>
      </c>
      <c r="V11" s="1568" t="s">
        <v>8</v>
      </c>
      <c r="W11" s="1569" t="e">
        <f t="shared" si="2"/>
        <v>#N/A</v>
      </c>
      <c r="X11" s="1570"/>
      <c r="Y11" s="335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96"/>
      <c r="Q12" s="1151">
        <f t="shared" si="6"/>
        <v>111</v>
      </c>
      <c r="R12" s="1568" t="s">
        <v>8</v>
      </c>
      <c r="S12" s="1569">
        <f t="shared" si="0"/>
        <v>100</v>
      </c>
      <c r="T12" s="1568" t="s">
        <v>8</v>
      </c>
      <c r="U12" s="1569">
        <f t="shared" si="1"/>
        <v>100</v>
      </c>
      <c r="V12" s="1568" t="s">
        <v>8</v>
      </c>
      <c r="W12" s="1569">
        <f t="shared" si="2"/>
        <v>100</v>
      </c>
      <c r="X12" s="1570"/>
      <c r="Y12" s="3353"/>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96"/>
      <c r="Q13" s="1151">
        <f t="shared" si="6"/>
        <v>111</v>
      </c>
      <c r="R13" s="1568" t="s">
        <v>8</v>
      </c>
      <c r="S13" s="1569">
        <f t="shared" si="0"/>
        <v>100</v>
      </c>
      <c r="T13" s="1568" t="s">
        <v>8</v>
      </c>
      <c r="U13" s="1569">
        <f t="shared" si="1"/>
        <v>100</v>
      </c>
      <c r="V13" s="1568" t="s">
        <v>8</v>
      </c>
      <c r="W13" s="1569">
        <f t="shared" si="2"/>
        <v>100</v>
      </c>
      <c r="X13" s="1570"/>
      <c r="Y13" s="3353"/>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96"/>
      <c r="Q14" s="1151">
        <f t="shared" si="6"/>
        <v>111</v>
      </c>
      <c r="R14" s="1568" t="s">
        <v>8</v>
      </c>
      <c r="S14" s="1569">
        <f t="shared" si="0"/>
        <v>100</v>
      </c>
      <c r="T14" s="1568" t="s">
        <v>8</v>
      </c>
      <c r="U14" s="1569">
        <f t="shared" si="1"/>
        <v>100</v>
      </c>
      <c r="V14" s="1568" t="s">
        <v>8</v>
      </c>
      <c r="W14" s="1569">
        <f t="shared" si="2"/>
        <v>100</v>
      </c>
      <c r="X14" s="1570"/>
      <c r="Y14" s="3353"/>
      <c r="Z14" s="1150">
        <f t="shared" si="7"/>
        <v>111</v>
      </c>
      <c r="AA14" s="1571">
        <f t="shared" si="3"/>
        <v>1</v>
      </c>
      <c r="AB14" s="1571">
        <f t="shared" si="4"/>
        <v>1</v>
      </c>
      <c r="AC14" s="1571">
        <f t="shared" si="5"/>
        <v>1</v>
      </c>
    </row>
    <row r="15" spans="1:29" ht="71.25">
      <c r="A15" s="2910"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8" t="s">
        <v>540</v>
      </c>
      <c r="Q15" s="1572" t="str">
        <f t="shared" si="6"/>
        <v>商业繁华度</v>
      </c>
      <c r="R15" s="1573" t="s">
        <v>8</v>
      </c>
      <c r="S15" s="1574">
        <f t="shared" si="0"/>
        <v>100</v>
      </c>
      <c r="T15" s="1573" t="s">
        <v>8</v>
      </c>
      <c r="U15" s="1574">
        <f t="shared" si="1"/>
        <v>100</v>
      </c>
      <c r="V15" s="1573" t="s">
        <v>8</v>
      </c>
      <c r="W15" s="1574">
        <f t="shared" si="2"/>
        <v>100</v>
      </c>
      <c r="X15" s="1567"/>
      <c r="Y15" s="3398"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2"/>
      <c r="B19" s="260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2"/>
      <c r="B21" s="259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9"/>
      <c r="Q21" s="2579" t="str">
        <f>B21</f>
        <v>基础设施水平</v>
      </c>
      <c r="R21" s="1573" t="s">
        <v>8</v>
      </c>
      <c r="S21" s="1574">
        <f>F21</f>
        <v>100</v>
      </c>
      <c r="T21" s="1573" t="s">
        <v>8</v>
      </c>
      <c r="U21" s="1574">
        <f>H21</f>
        <v>100</v>
      </c>
      <c r="V21" s="1573" t="s">
        <v>8</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2"/>
      <c r="L22" s="2142"/>
      <c r="M22" s="2134"/>
      <c r="N22" s="2134"/>
      <c r="O22" s="2141"/>
      <c r="P22" s="3399"/>
      <c r="Q22" s="2579"/>
      <c r="R22" s="1573"/>
      <c r="S22" s="1574"/>
      <c r="T22" s="1573"/>
      <c r="U22" s="1574"/>
      <c r="V22" s="1573"/>
      <c r="W22" s="1574"/>
      <c r="X22" s="2581"/>
      <c r="Y22" s="3399"/>
      <c r="Z22" s="2580"/>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9"/>
      <c r="Q23" s="1572" t="str">
        <f>B23</f>
        <v>自然及人文环境</v>
      </c>
      <c r="R23" s="1573" t="s">
        <v>8</v>
      </c>
      <c r="S23" s="1574">
        <f>F23</f>
        <v>100</v>
      </c>
      <c r="T23" s="1573" t="s">
        <v>8</v>
      </c>
      <c r="U23" s="1574">
        <f>H23</f>
        <v>100</v>
      </c>
      <c r="V23" s="1573" t="s">
        <v>8</v>
      </c>
      <c r="W23" s="1574">
        <f>J23</f>
        <v>100</v>
      </c>
      <c r="X23" s="1567"/>
      <c r="Y23" s="339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9"/>
      <c r="Q25" s="1572" t="str">
        <f t="shared" ref="Q25:Q46" si="11">B25</f>
        <v>临街状况</v>
      </c>
      <c r="R25" s="1573" t="s">
        <v>8</v>
      </c>
      <c r="S25" s="1574">
        <f>F25</f>
        <v>100</v>
      </c>
      <c r="T25" s="1573" t="s">
        <v>8</v>
      </c>
      <c r="U25" s="1574">
        <f>H25</f>
        <v>100</v>
      </c>
      <c r="V25" s="1573" t="s">
        <v>8</v>
      </c>
      <c r="W25" s="1574">
        <f>J25</f>
        <v>100</v>
      </c>
      <c r="X25" s="1567"/>
      <c r="Y25" s="3399"/>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9"/>
      <c r="Q26" s="1572" t="str">
        <f t="shared" si="11"/>
        <v>平面位置/可视性</v>
      </c>
      <c r="R26" s="1573" t="s">
        <v>8</v>
      </c>
      <c r="S26" s="1574">
        <f>F26</f>
        <v>100</v>
      </c>
      <c r="T26" s="1573" t="s">
        <v>8</v>
      </c>
      <c r="U26" s="1574">
        <f>H26</f>
        <v>100</v>
      </c>
      <c r="V26" s="1573" t="s">
        <v>8</v>
      </c>
      <c r="W26" s="1574">
        <f>J26</f>
        <v>100</v>
      </c>
      <c r="X26" s="1567"/>
      <c r="Y26" s="3399"/>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9"/>
      <c r="Q27" s="1151" t="str">
        <f t="shared" si="11"/>
        <v>人流量</v>
      </c>
      <c r="R27" s="1568" t="s">
        <v>8</v>
      </c>
      <c r="S27" s="1569">
        <f>F27</f>
        <v>100</v>
      </c>
      <c r="T27" s="1568" t="s">
        <v>8</v>
      </c>
      <c r="U27" s="1569">
        <f>H27</f>
        <v>100</v>
      </c>
      <c r="V27" s="1568" t="s">
        <v>8</v>
      </c>
      <c r="W27" s="1569">
        <f>J27</f>
        <v>100</v>
      </c>
      <c r="X27" s="1570"/>
      <c r="Y27" s="3399"/>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9"/>
      <c r="Q29" s="1572">
        <f t="shared" si="11"/>
        <v>111</v>
      </c>
      <c r="R29" s="1573" t="s">
        <v>8</v>
      </c>
      <c r="S29" s="1574">
        <f t="shared" si="12"/>
        <v>100</v>
      </c>
      <c r="T29" s="1573" t="s">
        <v>8</v>
      </c>
      <c r="U29" s="1574">
        <f t="shared" si="13"/>
        <v>100</v>
      </c>
      <c r="V29" s="1573" t="s">
        <v>8</v>
      </c>
      <c r="W29" s="1574">
        <f t="shared" si="14"/>
        <v>100</v>
      </c>
      <c r="X29" s="1567"/>
      <c r="Y29" s="339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9"/>
      <c r="Q30" s="1572">
        <f t="shared" si="11"/>
        <v>111</v>
      </c>
      <c r="R30" s="1573" t="s">
        <v>8</v>
      </c>
      <c r="S30" s="1574">
        <f t="shared" si="12"/>
        <v>100</v>
      </c>
      <c r="T30" s="1573" t="s">
        <v>8</v>
      </c>
      <c r="U30" s="1574">
        <f t="shared" si="13"/>
        <v>100</v>
      </c>
      <c r="V30" s="1573" t="s">
        <v>8</v>
      </c>
      <c r="W30" s="1574">
        <f t="shared" si="14"/>
        <v>100</v>
      </c>
      <c r="X30" s="1567"/>
      <c r="Y30" s="339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9"/>
      <c r="Q31" s="1572">
        <f t="shared" si="11"/>
        <v>111</v>
      </c>
      <c r="R31" s="1573" t="s">
        <v>8</v>
      </c>
      <c r="S31" s="1574">
        <f t="shared" si="12"/>
        <v>100</v>
      </c>
      <c r="T31" s="1573" t="s">
        <v>8</v>
      </c>
      <c r="U31" s="1574">
        <f t="shared" si="13"/>
        <v>100</v>
      </c>
      <c r="V31" s="1573" t="s">
        <v>8</v>
      </c>
      <c r="W31" s="1574">
        <f t="shared" si="14"/>
        <v>100</v>
      </c>
      <c r="X31" s="1567"/>
      <c r="Y31" s="3399"/>
      <c r="Z31" s="1575">
        <f t="shared" si="15"/>
        <v>111</v>
      </c>
      <c r="AA31" s="1576">
        <f t="shared" si="3"/>
        <v>1</v>
      </c>
      <c r="AB31" s="1576">
        <f t="shared" si="4"/>
        <v>1</v>
      </c>
      <c r="AC31" s="1576">
        <f t="shared" si="5"/>
        <v>1</v>
      </c>
    </row>
    <row r="32" spans="1:29" ht="15">
      <c r="A32" s="2907"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0" t="s">
        <v>550</v>
      </c>
      <c r="Q32" s="1572" t="str">
        <f t="shared" si="11"/>
        <v>商业类型</v>
      </c>
      <c r="R32" s="1573" t="s">
        <v>8</v>
      </c>
      <c r="S32" s="1574">
        <f t="shared" si="12"/>
        <v>100</v>
      </c>
      <c r="T32" s="1573" t="s">
        <v>8</v>
      </c>
      <c r="U32" s="1574">
        <f t="shared" si="13"/>
        <v>100</v>
      </c>
      <c r="V32" s="1573" t="s">
        <v>8</v>
      </c>
      <c r="W32" s="1574">
        <f t="shared" si="14"/>
        <v>100</v>
      </c>
      <c r="X32" s="1567"/>
      <c r="Y32" s="3401"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1"/>
      <c r="Q33" s="1605" t="str">
        <f t="shared" si="11"/>
        <v>项目建筑规模</v>
      </c>
      <c r="R33" s="1577" t="s">
        <v>8</v>
      </c>
      <c r="S33" s="1578" t="e">
        <f t="shared" si="12"/>
        <v>#N/A</v>
      </c>
      <c r="T33" s="1577" t="s">
        <v>8</v>
      </c>
      <c r="U33" s="1578" t="e">
        <f t="shared" si="13"/>
        <v>#N/A</v>
      </c>
      <c r="V33" s="1577" t="s">
        <v>8</v>
      </c>
      <c r="W33" s="1578" t="e">
        <f t="shared" si="14"/>
        <v>#N/A</v>
      </c>
      <c r="X33" s="1579"/>
      <c r="Y33" s="3401"/>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1"/>
      <c r="Q34" s="1572" t="str">
        <f t="shared" si="11"/>
        <v>建筑结构</v>
      </c>
      <c r="R34" s="1573" t="s">
        <v>8</v>
      </c>
      <c r="S34" s="1574">
        <f t="shared" si="12"/>
        <v>100</v>
      </c>
      <c r="T34" s="1573" t="s">
        <v>8</v>
      </c>
      <c r="U34" s="1574">
        <f t="shared" si="13"/>
        <v>100</v>
      </c>
      <c r="V34" s="1573" t="s">
        <v>8</v>
      </c>
      <c r="W34" s="1574">
        <f t="shared" si="14"/>
        <v>100</v>
      </c>
      <c r="X34" s="1567"/>
      <c r="Y34" s="3401"/>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1"/>
      <c r="Q35" s="1572" t="str">
        <f t="shared" si="11"/>
        <v>公共部分装修</v>
      </c>
      <c r="R35" s="1573" t="s">
        <v>8</v>
      </c>
      <c r="S35" s="1574">
        <f t="shared" si="12"/>
        <v>100</v>
      </c>
      <c r="T35" s="1573" t="s">
        <v>8</v>
      </c>
      <c r="U35" s="1574">
        <f t="shared" si="13"/>
        <v>100</v>
      </c>
      <c r="V35" s="1573" t="s">
        <v>8</v>
      </c>
      <c r="W35" s="1574">
        <f t="shared" si="14"/>
        <v>100</v>
      </c>
      <c r="X35" s="1567"/>
      <c r="Y35" s="3401"/>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1"/>
      <c r="Q36" s="1572" t="str">
        <f t="shared" si="11"/>
        <v>成新度</v>
      </c>
      <c r="R36" s="1573" t="s">
        <v>8</v>
      </c>
      <c r="S36" s="1574" t="e">
        <f t="shared" si="12"/>
        <v>#N/A</v>
      </c>
      <c r="T36" s="1573" t="s">
        <v>8</v>
      </c>
      <c r="U36" s="1574" t="e">
        <f t="shared" si="13"/>
        <v>#N/A</v>
      </c>
      <c r="V36" s="1573" t="s">
        <v>8</v>
      </c>
      <c r="W36" s="1574" t="e">
        <f t="shared" si="14"/>
        <v>#N/A</v>
      </c>
      <c r="X36" s="1567"/>
      <c r="Y36" s="3401"/>
      <c r="Z36" s="1575" t="str">
        <f t="shared" si="15"/>
        <v>成新度</v>
      </c>
      <c r="AA36" s="1576" t="e">
        <f t="shared" si="3"/>
        <v>#N/A</v>
      </c>
      <c r="AB36" s="1576" t="e">
        <f t="shared" si="4"/>
        <v>#N/A</v>
      </c>
      <c r="AC36" s="1576" t="e">
        <f t="shared" si="5"/>
        <v>#N/A</v>
      </c>
    </row>
    <row r="37" spans="1:29" s="1220" customFormat="1" ht="15">
      <c r="A37" s="600"/>
      <c r="B37" s="1895"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1"/>
      <c r="Q37" s="1151" t="str">
        <f t="shared" si="11"/>
        <v>市政基础设施</v>
      </c>
      <c r="R37" s="1568" t="s">
        <v>8</v>
      </c>
      <c r="S37" s="1569">
        <f t="shared" si="12"/>
        <v>100</v>
      </c>
      <c r="T37" s="1568" t="s">
        <v>8</v>
      </c>
      <c r="U37" s="1569">
        <f t="shared" si="13"/>
        <v>100</v>
      </c>
      <c r="V37" s="1568" t="s">
        <v>8</v>
      </c>
      <c r="W37" s="1569">
        <f t="shared" si="14"/>
        <v>100</v>
      </c>
      <c r="X37" s="1570"/>
      <c r="Y37" s="3401"/>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1" t="s">
        <v>766</v>
      </c>
      <c r="Q38" s="1572" t="str">
        <f t="shared" si="11"/>
        <v>业态</v>
      </c>
      <c r="R38" s="1573" t="s">
        <v>8</v>
      </c>
      <c r="S38" s="1574">
        <f t="shared" si="12"/>
        <v>100</v>
      </c>
      <c r="T38" s="1573" t="s">
        <v>8</v>
      </c>
      <c r="U38" s="1574">
        <f t="shared" si="13"/>
        <v>100</v>
      </c>
      <c r="V38" s="1573" t="s">
        <v>8</v>
      </c>
      <c r="W38" s="1574">
        <f t="shared" si="14"/>
        <v>100</v>
      </c>
      <c r="X38" s="1567"/>
      <c r="Y38" s="3401"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1"/>
      <c r="Q39" s="1572" t="str">
        <f t="shared" si="11"/>
        <v>层高</v>
      </c>
      <c r="R39" s="1573" t="s">
        <v>8</v>
      </c>
      <c r="S39" s="1574">
        <f t="shared" si="12"/>
        <v>100</v>
      </c>
      <c r="T39" s="1573" t="s">
        <v>8</v>
      </c>
      <c r="U39" s="1574">
        <f t="shared" si="13"/>
        <v>100</v>
      </c>
      <c r="V39" s="1573" t="s">
        <v>8</v>
      </c>
      <c r="W39" s="1574">
        <f t="shared" si="14"/>
        <v>100</v>
      </c>
      <c r="X39" s="1567"/>
      <c r="Y39" s="3401"/>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1"/>
      <c r="Q40" s="1572" t="str">
        <f t="shared" si="11"/>
        <v>单套建筑面积</v>
      </c>
      <c r="R40" s="1573" t="s">
        <v>8</v>
      </c>
      <c r="S40" s="1574">
        <f t="shared" si="12"/>
        <v>100</v>
      </c>
      <c r="T40" s="1573" t="s">
        <v>8</v>
      </c>
      <c r="U40" s="1574">
        <f t="shared" si="13"/>
        <v>100</v>
      </c>
      <c r="V40" s="1573" t="s">
        <v>8</v>
      </c>
      <c r="W40" s="1574">
        <f t="shared" si="14"/>
        <v>100</v>
      </c>
      <c r="X40" s="1567"/>
      <c r="Y40" s="3401"/>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1"/>
      <c r="Q41" s="1605" t="str">
        <f t="shared" si="11"/>
        <v>进深比</v>
      </c>
      <c r="R41" s="1577" t="s">
        <v>8</v>
      </c>
      <c r="S41" s="1578">
        <f t="shared" si="12"/>
        <v>100</v>
      </c>
      <c r="T41" s="1577" t="s">
        <v>8</v>
      </c>
      <c r="U41" s="1578">
        <f t="shared" si="13"/>
        <v>100</v>
      </c>
      <c r="V41" s="1577" t="s">
        <v>8</v>
      </c>
      <c r="W41" s="1578">
        <f t="shared" si="14"/>
        <v>100</v>
      </c>
      <c r="X41" s="1579"/>
      <c r="Y41" s="3401"/>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1"/>
      <c r="Q42" s="1572" t="str">
        <f t="shared" si="11"/>
        <v>内部装修</v>
      </c>
      <c r="R42" s="1573" t="s">
        <v>8</v>
      </c>
      <c r="S42" s="1574">
        <f t="shared" si="12"/>
        <v>100</v>
      </c>
      <c r="T42" s="1573" t="s">
        <v>8</v>
      </c>
      <c r="U42" s="1574">
        <f t="shared" si="13"/>
        <v>100</v>
      </c>
      <c r="V42" s="1573" t="s">
        <v>8</v>
      </c>
      <c r="W42" s="1574">
        <f t="shared" si="14"/>
        <v>100</v>
      </c>
      <c r="X42" s="1567"/>
      <c r="Y42" s="3401"/>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1"/>
      <c r="Q43" s="1572" t="str">
        <f t="shared" si="11"/>
        <v>内部装修维护情况</v>
      </c>
      <c r="R43" s="1573" t="s">
        <v>8</v>
      </c>
      <c r="S43" s="1574">
        <f t="shared" si="12"/>
        <v>100</v>
      </c>
      <c r="T43" s="1573" t="s">
        <v>8</v>
      </c>
      <c r="U43" s="1574">
        <f t="shared" si="13"/>
        <v>100</v>
      </c>
      <c r="V43" s="1573" t="s">
        <v>8</v>
      </c>
      <c r="W43" s="1574">
        <f t="shared" si="14"/>
        <v>100</v>
      </c>
      <c r="X43" s="1567"/>
      <c r="Y43" s="340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1"/>
      <c r="Q44" s="1151">
        <f t="shared" si="11"/>
        <v>111</v>
      </c>
      <c r="R44" s="1568" t="s">
        <v>8</v>
      </c>
      <c r="S44" s="1569">
        <f t="shared" si="12"/>
        <v>100</v>
      </c>
      <c r="T44" s="1568" t="s">
        <v>8</v>
      </c>
      <c r="U44" s="1569">
        <f t="shared" si="13"/>
        <v>100</v>
      </c>
      <c r="V44" s="1568" t="s">
        <v>8</v>
      </c>
      <c r="W44" s="1569">
        <f t="shared" si="14"/>
        <v>100</v>
      </c>
      <c r="X44" s="1570"/>
      <c r="Y44" s="340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1"/>
      <c r="Q45" s="1572">
        <f t="shared" si="11"/>
        <v>111</v>
      </c>
      <c r="R45" s="1573" t="s">
        <v>8</v>
      </c>
      <c r="S45" s="1574">
        <f t="shared" si="12"/>
        <v>100</v>
      </c>
      <c r="T45" s="1573" t="s">
        <v>8</v>
      </c>
      <c r="U45" s="1574">
        <f t="shared" si="13"/>
        <v>100</v>
      </c>
      <c r="V45" s="1573" t="s">
        <v>8</v>
      </c>
      <c r="W45" s="1574">
        <f t="shared" si="14"/>
        <v>100</v>
      </c>
      <c r="X45" s="1567"/>
      <c r="Y45" s="340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7"/>
      <c r="Q46" s="1572">
        <f t="shared" si="11"/>
        <v>111</v>
      </c>
      <c r="R46" s="1573" t="s">
        <v>8</v>
      </c>
      <c r="S46" s="1574">
        <f t="shared" si="12"/>
        <v>100</v>
      </c>
      <c r="T46" s="1573" t="s">
        <v>8</v>
      </c>
      <c r="U46" s="1574">
        <f t="shared" si="13"/>
        <v>100</v>
      </c>
      <c r="V46" s="1573" t="s">
        <v>8</v>
      </c>
      <c r="W46" s="1574">
        <f t="shared" si="14"/>
        <v>100</v>
      </c>
      <c r="X46" s="1567"/>
      <c r="Y46" s="3497"/>
      <c r="Z46" s="1575">
        <f t="shared" si="15"/>
        <v>111</v>
      </c>
      <c r="AA46" s="1576">
        <f t="shared" si="3"/>
        <v>1</v>
      </c>
      <c r="AB46" s="1576">
        <f t="shared" si="4"/>
        <v>1</v>
      </c>
      <c r="AC46" s="1576">
        <f t="shared" si="5"/>
        <v>1</v>
      </c>
    </row>
    <row r="47" spans="1:29" ht="15">
      <c r="A47" s="607" t="s">
        <v>736</v>
      </c>
      <c r="B47" s="887"/>
      <c r="C47" s="2627" t="s">
        <v>1</v>
      </c>
      <c r="D47" s="2628"/>
      <c r="E47" s="2629"/>
      <c r="F47" s="2630"/>
      <c r="G47" s="2631"/>
      <c r="H47" s="2632"/>
      <c r="I47" s="2629"/>
      <c r="J47" s="2632"/>
      <c r="K47" s="1611"/>
      <c r="L47" s="2144"/>
      <c r="M47" s="2145"/>
      <c r="N47" s="2134"/>
      <c r="O47" s="2145"/>
      <c r="P47" s="3396" t="str">
        <f>A47</f>
        <v>成交单价（元/平方米）</v>
      </c>
      <c r="Q47" s="3396"/>
      <c r="R47" s="3496">
        <f>E47</f>
        <v>0</v>
      </c>
      <c r="S47" s="3496"/>
      <c r="T47" s="3496">
        <f>G47</f>
        <v>0</v>
      </c>
      <c r="U47" s="3496"/>
      <c r="V47" s="3496">
        <f>I47</f>
        <v>0</v>
      </c>
      <c r="W47" s="3496"/>
      <c r="X47" s="1559"/>
      <c r="Y47" s="1581"/>
      <c r="Z47" s="1559"/>
      <c r="AA47" s="1559"/>
      <c r="AB47" s="1559"/>
      <c r="AC47" s="1559"/>
    </row>
    <row r="48" spans="1:29" ht="15.75" thickBot="1">
      <c r="A48" s="615" t="s">
        <v>2759</v>
      </c>
      <c r="B48" s="888"/>
      <c r="C48" s="2633" t="e">
        <f>R49</f>
        <v>#DIV/0!</v>
      </c>
      <c r="D48" s="2634"/>
      <c r="E48" s="2635" t="e">
        <f>R48</f>
        <v>#DIV/0!</v>
      </c>
      <c r="F48" s="2635"/>
      <c r="G48" s="2633" t="e">
        <f>T48</f>
        <v>#DIV/0!</v>
      </c>
      <c r="H48" s="2634"/>
      <c r="I48" s="2635" t="e">
        <f>V48</f>
        <v>#DIV/0!</v>
      </c>
      <c r="J48" s="2634"/>
      <c r="K48" s="1612"/>
      <c r="L48" s="2144"/>
      <c r="M48" s="2145"/>
      <c r="N48" s="2134"/>
      <c r="O48" s="2145"/>
      <c r="P48" s="3396" t="str">
        <f>A48</f>
        <v>比较价格（元/平方米）</v>
      </c>
      <c r="Q48" s="3396"/>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9"/>
      <c r="Y48" s="1559"/>
      <c r="Z48" s="1559"/>
      <c r="AA48" s="1559"/>
      <c r="AB48" s="1559"/>
      <c r="AC48" s="1559"/>
    </row>
    <row r="49" spans="1:29" ht="15.75" thickBot="1">
      <c r="A49" s="621" t="s">
        <v>2933</v>
      </c>
      <c r="B49" s="622"/>
      <c r="C49" s="2636" t="e">
        <f>R49</f>
        <v>#DIV/0!</v>
      </c>
      <c r="D49" s="2636"/>
      <c r="E49" s="2636"/>
      <c r="F49" s="2636"/>
      <c r="G49" s="2636"/>
      <c r="H49" s="2636"/>
      <c r="I49" s="2636"/>
      <c r="J49" s="2636"/>
      <c r="K49" s="1613"/>
      <c r="L49" s="2144"/>
      <c r="M49" s="2145"/>
      <c r="N49" s="2134"/>
      <c r="O49" s="2145"/>
      <c r="P49" s="3417" t="str">
        <f>A49</f>
        <v>估价对象XX用房的比较价格（楼面单价，元/平方米）</v>
      </c>
      <c r="Q49" s="3418"/>
      <c r="R49" s="3495" t="e">
        <f>IF(F1="售价",ROUND(AVERAGE(R48:V48),0),ROUND(AVERAGE(R48:V48),1))</f>
        <v>#DIV/0!</v>
      </c>
      <c r="S49" s="3495"/>
      <c r="T49" s="3495"/>
      <c r="U49" s="3495"/>
      <c r="V49" s="3495"/>
      <c r="W49" s="349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2019-5</v>
      </c>
      <c r="D58" s="2804">
        <f>EDATE(C58,-1)</f>
        <v>43556</v>
      </c>
      <c r="E58" s="2804">
        <f t="shared" ref="E58:O58" si="16">EDATE(D58,-1)</f>
        <v>43525</v>
      </c>
      <c r="F58" s="2804">
        <f t="shared" si="16"/>
        <v>43497</v>
      </c>
      <c r="G58" s="2804">
        <f t="shared" si="16"/>
        <v>43466</v>
      </c>
      <c r="H58" s="2804">
        <f t="shared" si="16"/>
        <v>43435</v>
      </c>
      <c r="I58" s="2804">
        <f t="shared" si="16"/>
        <v>43405</v>
      </c>
      <c r="J58" s="2804">
        <f t="shared" si="16"/>
        <v>43374</v>
      </c>
      <c r="K58" s="2804">
        <f t="shared" si="16"/>
        <v>43344</v>
      </c>
      <c r="L58" s="2804">
        <f t="shared" si="16"/>
        <v>43313</v>
      </c>
      <c r="M58" s="2804">
        <f t="shared" si="16"/>
        <v>43282</v>
      </c>
      <c r="N58" s="2804">
        <f t="shared" si="16"/>
        <v>43252</v>
      </c>
      <c r="O58" s="2804">
        <f t="shared" si="16"/>
        <v>43221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2558</v>
      </c>
      <c r="C82" s="2598" t="s">
        <v>2559</v>
      </c>
      <c r="D82" s="2598" t="s">
        <v>2560</v>
      </c>
      <c r="E82" s="2598" t="s">
        <v>2561</v>
      </c>
      <c r="F82" s="2598" t="s">
        <v>2562</v>
      </c>
      <c r="G82" s="2598" t="s">
        <v>2563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402" t="s">
        <v>522</v>
      </c>
      <c r="D4" s="3403"/>
      <c r="E4" s="3426" t="s">
        <v>523</v>
      </c>
      <c r="F4" s="3427"/>
      <c r="G4" s="3402" t="s">
        <v>524</v>
      </c>
      <c r="H4" s="3403"/>
      <c r="I4" s="3402" t="s">
        <v>525</v>
      </c>
      <c r="J4" s="3403"/>
      <c r="K4" s="514" t="s">
        <v>526</v>
      </c>
      <c r="L4" s="2133"/>
      <c r="M4" s="2134"/>
      <c r="N4" s="2134"/>
      <c r="O4" s="2134"/>
      <c r="P4" s="3498" t="s">
        <v>527</v>
      </c>
      <c r="Q4" s="3405"/>
      <c r="R4" s="3390" t="s">
        <v>523</v>
      </c>
      <c r="S4" s="3391"/>
      <c r="T4" s="3390" t="s">
        <v>524</v>
      </c>
      <c r="U4" s="3391"/>
      <c r="V4" s="3410" t="s">
        <v>525</v>
      </c>
      <c r="W4" s="3410"/>
      <c r="X4" s="1567"/>
      <c r="Y4" s="3390" t="s">
        <v>527</v>
      </c>
      <c r="Z4" s="3391"/>
      <c r="AA4" s="3385" t="s">
        <v>523</v>
      </c>
      <c r="AB4" s="3385" t="s">
        <v>524</v>
      </c>
      <c r="AC4" s="3385" t="s">
        <v>525</v>
      </c>
    </row>
    <row r="5" spans="1:29" ht="15">
      <c r="A5" s="515"/>
      <c r="B5" s="516"/>
      <c r="C5" s="3413" t="s">
        <v>2927</v>
      </c>
      <c r="D5" s="3414"/>
      <c r="E5" s="3428" t="s">
        <v>2928</v>
      </c>
      <c r="F5" s="3429"/>
      <c r="G5" s="3413" t="s">
        <v>2929</v>
      </c>
      <c r="H5" s="3414"/>
      <c r="I5" s="3413" t="s">
        <v>2930</v>
      </c>
      <c r="J5" s="3414"/>
      <c r="K5" s="514"/>
      <c r="L5" s="2133"/>
      <c r="M5" s="2134"/>
      <c r="N5" s="2134"/>
      <c r="O5" s="2134"/>
      <c r="P5" s="3499"/>
      <c r="Q5" s="3407"/>
      <c r="R5" s="3392"/>
      <c r="S5" s="3393"/>
      <c r="T5" s="3392"/>
      <c r="U5" s="3393"/>
      <c r="V5" s="3410"/>
      <c r="W5" s="3410"/>
      <c r="X5" s="1567"/>
      <c r="Y5" s="3392"/>
      <c r="Z5" s="3393"/>
      <c r="AA5" s="3386"/>
      <c r="AB5" s="3386"/>
      <c r="AC5" s="3386"/>
    </row>
    <row r="6" spans="1:29" ht="15.75" thickBot="1">
      <c r="A6" s="517"/>
      <c r="B6" s="518"/>
      <c r="C6" s="3411" t="s">
        <v>2931</v>
      </c>
      <c r="D6" s="3412"/>
      <c r="E6" s="3430" t="s">
        <v>2931</v>
      </c>
      <c r="F6" s="3431"/>
      <c r="G6" s="3411" t="s">
        <v>2931</v>
      </c>
      <c r="H6" s="3412"/>
      <c r="I6" s="3411" t="s">
        <v>2931</v>
      </c>
      <c r="J6" s="3412"/>
      <c r="K6" s="514" t="s">
        <v>528</v>
      </c>
      <c r="L6" s="2133"/>
      <c r="M6" s="2134"/>
      <c r="N6" s="2134"/>
      <c r="O6" s="2134"/>
      <c r="P6" s="3500"/>
      <c r="Q6" s="3409"/>
      <c r="R6" s="3392"/>
      <c r="S6" s="3393"/>
      <c r="T6" s="3394"/>
      <c r="U6" s="3395"/>
      <c r="V6" s="3410"/>
      <c r="W6" s="3410"/>
      <c r="X6" s="1567"/>
      <c r="Y6" s="3394"/>
      <c r="Z6" s="3395"/>
      <c r="AA6" s="3387"/>
      <c r="AB6" s="3387"/>
      <c r="AC6" s="3387"/>
    </row>
    <row r="7" spans="1:29" s="1220" customFormat="1" ht="15.75" thickBot="1">
      <c r="A7" s="2912"/>
      <c r="B7" s="2919" t="s">
        <v>529</v>
      </c>
      <c r="C7" s="519">
        <f>'数据-取费表'!B2</f>
        <v>43606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7" t="s">
        <v>530</v>
      </c>
      <c r="Q7" s="3397"/>
      <c r="R7" s="1568" t="s">
        <v>8</v>
      </c>
      <c r="S7" s="1569">
        <f t="shared" ref="S7:S15" si="0">F7</f>
        <v>0</v>
      </c>
      <c r="T7" s="1568" t="s">
        <v>8</v>
      </c>
      <c r="U7" s="1569">
        <f t="shared" ref="U7:U15" si="1">H7</f>
        <v>0</v>
      </c>
      <c r="V7" s="1568" t="s">
        <v>8</v>
      </c>
      <c r="W7" s="1569">
        <f t="shared" ref="W7:W15"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7" t="s">
        <v>533</v>
      </c>
      <c r="Q8" s="3389"/>
      <c r="R8" s="1568" t="s">
        <v>8</v>
      </c>
      <c r="S8" s="1569">
        <f t="shared" si="0"/>
        <v>0</v>
      </c>
      <c r="T8" s="1568" t="s">
        <v>8</v>
      </c>
      <c r="U8" s="1569">
        <f t="shared" si="1"/>
        <v>0</v>
      </c>
      <c r="V8" s="1568" t="s">
        <v>8</v>
      </c>
      <c r="W8" s="1569">
        <f t="shared" si="2"/>
        <v>0</v>
      </c>
      <c r="X8" s="1570"/>
      <c r="Y8" s="3388" t="s">
        <v>533</v>
      </c>
      <c r="Z8" s="3389"/>
      <c r="AA8" s="1571" t="e">
        <f t="shared" ref="AA8:AA47" si="3">D8/F8</f>
        <v>#DIV/0!</v>
      </c>
      <c r="AB8" s="1571" t="e">
        <f t="shared" ref="AB8:AB47" si="4">D8/H8</f>
        <v>#DIV/0!</v>
      </c>
      <c r="AC8" s="1571" t="e">
        <f t="shared" ref="AC8:AC47" si="5">D8/J8</f>
        <v>#DIV/0!</v>
      </c>
    </row>
    <row r="9" spans="1:29" s="1220" customFormat="1" ht="15">
      <c r="A9" s="2914"/>
      <c r="B9" s="2921"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96" t="s">
        <v>535</v>
      </c>
      <c r="Q9" s="1151" t="str">
        <f t="shared" ref="Q9:Q15" si="6">B9</f>
        <v>用途</v>
      </c>
      <c r="R9" s="1568" t="s">
        <v>8</v>
      </c>
      <c r="S9" s="1569">
        <f t="shared" si="0"/>
        <v>100</v>
      </c>
      <c r="T9" s="1568" t="s">
        <v>8</v>
      </c>
      <c r="U9" s="1569">
        <f t="shared" si="1"/>
        <v>100</v>
      </c>
      <c r="V9" s="1568" t="s">
        <v>8</v>
      </c>
      <c r="W9" s="1569">
        <f t="shared" si="2"/>
        <v>100</v>
      </c>
      <c r="X9" s="1570"/>
      <c r="Y9" s="3353"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96"/>
      <c r="Q11" s="1151" t="str">
        <f t="shared" si="6"/>
        <v>容积率</v>
      </c>
      <c r="R11" s="1568" t="s">
        <v>8</v>
      </c>
      <c r="S11" s="1569" t="e">
        <f t="shared" si="0"/>
        <v>#N/A</v>
      </c>
      <c r="T11" s="1568" t="s">
        <v>8</v>
      </c>
      <c r="U11" s="1569" t="e">
        <f t="shared" si="1"/>
        <v>#N/A</v>
      </c>
      <c r="V11" s="1568" t="s">
        <v>8</v>
      </c>
      <c r="W11" s="1569" t="e">
        <f t="shared" si="2"/>
        <v>#N/A</v>
      </c>
      <c r="X11" s="1570"/>
      <c r="Y11" s="335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96"/>
      <c r="Q12" s="1151">
        <f t="shared" si="6"/>
        <v>111</v>
      </c>
      <c r="R12" s="1568" t="s">
        <v>8</v>
      </c>
      <c r="S12" s="1569">
        <f t="shared" si="0"/>
        <v>100</v>
      </c>
      <c r="T12" s="1568" t="s">
        <v>8</v>
      </c>
      <c r="U12" s="1569">
        <f t="shared" si="1"/>
        <v>100</v>
      </c>
      <c r="V12" s="1568" t="s">
        <v>8</v>
      </c>
      <c r="W12" s="1569">
        <f t="shared" si="2"/>
        <v>100</v>
      </c>
      <c r="X12" s="1570"/>
      <c r="Y12" s="3353"/>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96"/>
      <c r="Q13" s="1151">
        <f t="shared" si="6"/>
        <v>111</v>
      </c>
      <c r="R13" s="1568" t="s">
        <v>8</v>
      </c>
      <c r="S13" s="1569">
        <f t="shared" si="0"/>
        <v>100</v>
      </c>
      <c r="T13" s="1568" t="s">
        <v>8</v>
      </c>
      <c r="U13" s="1569">
        <f t="shared" si="1"/>
        <v>100</v>
      </c>
      <c r="V13" s="1568" t="s">
        <v>8</v>
      </c>
      <c r="W13" s="1569">
        <f t="shared" si="2"/>
        <v>100</v>
      </c>
      <c r="X13" s="1570"/>
      <c r="Y13" s="3353"/>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96"/>
      <c r="Q14" s="1151">
        <f t="shared" si="6"/>
        <v>111</v>
      </c>
      <c r="R14" s="1568" t="s">
        <v>8</v>
      </c>
      <c r="S14" s="1569">
        <f t="shared" si="0"/>
        <v>100</v>
      </c>
      <c r="T14" s="1568" t="s">
        <v>8</v>
      </c>
      <c r="U14" s="1569">
        <f t="shared" si="1"/>
        <v>100</v>
      </c>
      <c r="V14" s="1568" t="s">
        <v>8</v>
      </c>
      <c r="W14" s="1569">
        <f t="shared" si="2"/>
        <v>100</v>
      </c>
      <c r="X14" s="1570"/>
      <c r="Y14" s="3353"/>
      <c r="Z14" s="1150">
        <f t="shared" si="7"/>
        <v>111</v>
      </c>
      <c r="AA14" s="1571">
        <f t="shared" si="3"/>
        <v>1</v>
      </c>
      <c r="AB14" s="1571">
        <f t="shared" si="4"/>
        <v>1</v>
      </c>
      <c r="AC14" s="1571">
        <f t="shared" si="5"/>
        <v>1</v>
      </c>
    </row>
    <row r="15" spans="1:29" ht="71.25">
      <c r="A15" s="2910"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8" t="s">
        <v>540</v>
      </c>
      <c r="Q15" s="1572" t="str">
        <f t="shared" si="6"/>
        <v>办公集聚程度</v>
      </c>
      <c r="R15" s="1573" t="s">
        <v>8</v>
      </c>
      <c r="S15" s="1574">
        <f t="shared" si="0"/>
        <v>100</v>
      </c>
      <c r="T15" s="1573" t="s">
        <v>8</v>
      </c>
      <c r="U15" s="1574">
        <f t="shared" si="1"/>
        <v>100</v>
      </c>
      <c r="V15" s="1573" t="s">
        <v>8</v>
      </c>
      <c r="W15" s="1574">
        <f t="shared" si="2"/>
        <v>100</v>
      </c>
      <c r="X15" s="1567"/>
      <c r="Y15" s="3398"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99"/>
      <c r="Q16" s="1572"/>
      <c r="R16" s="1573"/>
      <c r="S16" s="1574"/>
      <c r="T16" s="1573"/>
      <c r="U16" s="1574"/>
      <c r="V16" s="1573"/>
      <c r="W16" s="1574"/>
      <c r="X16" s="1567"/>
      <c r="Y16" s="3399"/>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99"/>
      <c r="Q18" s="1572"/>
      <c r="R18" s="1573"/>
      <c r="S18" s="1574"/>
      <c r="T18" s="1573"/>
      <c r="U18" s="1574"/>
      <c r="V18" s="1573"/>
      <c r="W18" s="1574"/>
      <c r="X18" s="1567"/>
      <c r="Y18" s="3399"/>
      <c r="Z18" s="1575"/>
      <c r="AA18" s="1576">
        <v>1</v>
      </c>
      <c r="AB18" s="1576">
        <v>1</v>
      </c>
      <c r="AC18" s="1576">
        <v>1</v>
      </c>
    </row>
    <row r="19" spans="1:29" ht="42.75">
      <c r="A19" s="532"/>
      <c r="B19" s="2603"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99"/>
      <c r="Q20" s="1572"/>
      <c r="R20" s="1573"/>
      <c r="S20" s="1574"/>
      <c r="T20" s="1573"/>
      <c r="U20" s="1574"/>
      <c r="V20" s="1573"/>
      <c r="W20" s="1574"/>
      <c r="X20" s="1567"/>
      <c r="Y20" s="3399"/>
      <c r="Z20" s="1575"/>
      <c r="AA20" s="1576">
        <v>1</v>
      </c>
      <c r="AB20" s="1576">
        <v>1</v>
      </c>
      <c r="AC20" s="1576">
        <v>1</v>
      </c>
    </row>
    <row r="21" spans="1:29" ht="28.5">
      <c r="A21" s="532"/>
      <c r="B21" s="2591"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9"/>
      <c r="Q21" s="2579" t="str">
        <f>B21</f>
        <v>基础设施水平</v>
      </c>
      <c r="R21" s="1573" t="s">
        <v>8</v>
      </c>
      <c r="S21" s="1574">
        <f>F21</f>
        <v>100</v>
      </c>
      <c r="T21" s="1573" t="s">
        <v>8</v>
      </c>
      <c r="U21" s="1574">
        <f>H21</f>
        <v>100</v>
      </c>
      <c r="V21" s="1573" t="s">
        <v>8</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399"/>
      <c r="Q22" s="2579"/>
      <c r="R22" s="1573"/>
      <c r="S22" s="1574"/>
      <c r="T22" s="1573"/>
      <c r="U22" s="1574"/>
      <c r="V22" s="1573"/>
      <c r="W22" s="1574"/>
      <c r="X22" s="2581"/>
      <c r="Y22" s="3399"/>
      <c r="Z22" s="2580"/>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9"/>
      <c r="Q23" s="1572" t="str">
        <f>B23</f>
        <v>环境质量</v>
      </c>
      <c r="R23" s="1573" t="s">
        <v>8</v>
      </c>
      <c r="S23" s="1574">
        <f>F23</f>
        <v>100</v>
      </c>
      <c r="T23" s="1573" t="s">
        <v>8</v>
      </c>
      <c r="U23" s="1574">
        <f>H23</f>
        <v>100</v>
      </c>
      <c r="V23" s="1573" t="s">
        <v>8</v>
      </c>
      <c r="W23" s="1574">
        <f>J23</f>
        <v>100</v>
      </c>
      <c r="X23" s="1567"/>
      <c r="Y23" s="339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99"/>
      <c r="Q24" s="1572"/>
      <c r="R24" s="1573"/>
      <c r="S24" s="1574"/>
      <c r="T24" s="1573"/>
      <c r="U24" s="1574"/>
      <c r="V24" s="1573"/>
      <c r="W24" s="1574"/>
      <c r="X24" s="1567"/>
      <c r="Y24" s="3399"/>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9"/>
      <c r="Q25" s="1572" t="str">
        <f>B25</f>
        <v>毗邻道路的类型与等级</v>
      </c>
      <c r="R25" s="1573" t="s">
        <v>8</v>
      </c>
      <c r="S25" s="1574">
        <f>F25</f>
        <v>100</v>
      </c>
      <c r="T25" s="1573" t="s">
        <v>8</v>
      </c>
      <c r="U25" s="1574">
        <f>H25</f>
        <v>100</v>
      </c>
      <c r="V25" s="1573" t="s">
        <v>8</v>
      </c>
      <c r="W25" s="1574">
        <f>J25</f>
        <v>100</v>
      </c>
      <c r="X25" s="1567"/>
      <c r="Y25" s="339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99"/>
      <c r="Q26" s="1572"/>
      <c r="R26" s="1573"/>
      <c r="S26" s="1574"/>
      <c r="T26" s="1573"/>
      <c r="U26" s="1574"/>
      <c r="V26" s="1573"/>
      <c r="W26" s="1574"/>
      <c r="X26" s="1567"/>
      <c r="Y26" s="3399"/>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9"/>
      <c r="Q27" s="1572" t="str">
        <f t="shared" ref="Q27:Q47" si="11">B27</f>
        <v>楼层</v>
      </c>
      <c r="R27" s="1573" t="s">
        <v>8</v>
      </c>
      <c r="S27" s="1574">
        <f>F27</f>
        <v>100</v>
      </c>
      <c r="T27" s="1573" t="s">
        <v>8</v>
      </c>
      <c r="U27" s="1574">
        <f>H27</f>
        <v>100</v>
      </c>
      <c r="V27" s="1573" t="s">
        <v>8</v>
      </c>
      <c r="W27" s="1574">
        <f>J27</f>
        <v>100</v>
      </c>
      <c r="X27" s="1567"/>
      <c r="Y27" s="3399"/>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9"/>
      <c r="Q28" s="1151" t="str">
        <f t="shared" si="11"/>
        <v>朝向</v>
      </c>
      <c r="R28" s="1568" t="s">
        <v>8</v>
      </c>
      <c r="S28" s="1569">
        <f>F28</f>
        <v>100</v>
      </c>
      <c r="T28" s="1568" t="s">
        <v>8</v>
      </c>
      <c r="U28" s="1569">
        <f>H28</f>
        <v>100</v>
      </c>
      <c r="V28" s="1568" t="s">
        <v>8</v>
      </c>
      <c r="W28" s="1569">
        <f>J28</f>
        <v>100</v>
      </c>
      <c r="X28" s="1570"/>
      <c r="Y28" s="339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9"/>
      <c r="Q29" s="1572">
        <f t="shared" si="11"/>
        <v>111</v>
      </c>
      <c r="R29" s="1573" t="s">
        <v>8</v>
      </c>
      <c r="S29" s="1574">
        <f t="shared" ref="S29:S47" si="12">F29</f>
        <v>100</v>
      </c>
      <c r="T29" s="1573" t="s">
        <v>8</v>
      </c>
      <c r="U29" s="1574">
        <f t="shared" ref="U29:U47" si="13">H29</f>
        <v>100</v>
      </c>
      <c r="V29" s="1573" t="s">
        <v>8</v>
      </c>
      <c r="W29" s="1574">
        <f t="shared" ref="W29:W47" si="14">J29</f>
        <v>100</v>
      </c>
      <c r="X29" s="1567"/>
      <c r="Y29" s="339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9"/>
      <c r="Q30" s="1572">
        <f t="shared" si="11"/>
        <v>111</v>
      </c>
      <c r="R30" s="1573" t="s">
        <v>8</v>
      </c>
      <c r="S30" s="1574">
        <f t="shared" si="12"/>
        <v>100</v>
      </c>
      <c r="T30" s="1573" t="s">
        <v>8</v>
      </c>
      <c r="U30" s="1574">
        <f t="shared" si="13"/>
        <v>100</v>
      </c>
      <c r="V30" s="1573" t="s">
        <v>8</v>
      </c>
      <c r="W30" s="1574">
        <f t="shared" si="14"/>
        <v>100</v>
      </c>
      <c r="X30" s="1567"/>
      <c r="Y30" s="339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9"/>
      <c r="Q31" s="1572">
        <f t="shared" si="11"/>
        <v>111</v>
      </c>
      <c r="R31" s="1573" t="s">
        <v>8</v>
      </c>
      <c r="S31" s="1574">
        <f t="shared" si="12"/>
        <v>100</v>
      </c>
      <c r="T31" s="1573" t="s">
        <v>8</v>
      </c>
      <c r="U31" s="1574">
        <f t="shared" si="13"/>
        <v>100</v>
      </c>
      <c r="V31" s="1573" t="s">
        <v>8</v>
      </c>
      <c r="W31" s="1574">
        <f t="shared" si="14"/>
        <v>100</v>
      </c>
      <c r="X31" s="1567"/>
      <c r="Y31" s="339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9"/>
      <c r="Q32" s="1572">
        <f t="shared" si="11"/>
        <v>111</v>
      </c>
      <c r="R32" s="1573" t="s">
        <v>8</v>
      </c>
      <c r="S32" s="1574">
        <f t="shared" si="12"/>
        <v>100</v>
      </c>
      <c r="T32" s="1573" t="s">
        <v>8</v>
      </c>
      <c r="U32" s="1574">
        <f t="shared" si="13"/>
        <v>100</v>
      </c>
      <c r="V32" s="1573" t="s">
        <v>8</v>
      </c>
      <c r="W32" s="1574">
        <f t="shared" si="14"/>
        <v>100</v>
      </c>
      <c r="X32" s="1567"/>
      <c r="Y32" s="3399"/>
      <c r="Z32" s="1575">
        <f t="shared" si="15"/>
        <v>111</v>
      </c>
      <c r="AA32" s="1576">
        <f t="shared" si="3"/>
        <v>1</v>
      </c>
      <c r="AB32" s="1576">
        <f t="shared" si="4"/>
        <v>1</v>
      </c>
      <c r="AC32" s="1576">
        <f t="shared" si="5"/>
        <v>1</v>
      </c>
    </row>
    <row r="33" spans="1:29" ht="15">
      <c r="A33" s="2907"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0" t="s">
        <v>550</v>
      </c>
      <c r="Q33" s="1572" t="str">
        <f t="shared" si="11"/>
        <v>建筑类型</v>
      </c>
      <c r="R33" s="1573" t="s">
        <v>8</v>
      </c>
      <c r="S33" s="1574">
        <f t="shared" si="12"/>
        <v>100</v>
      </c>
      <c r="T33" s="1573" t="s">
        <v>8</v>
      </c>
      <c r="U33" s="1574">
        <f t="shared" si="13"/>
        <v>100</v>
      </c>
      <c r="V33" s="1573" t="s">
        <v>8</v>
      </c>
      <c r="W33" s="1574">
        <f t="shared" si="14"/>
        <v>100</v>
      </c>
      <c r="X33" s="1567"/>
      <c r="Y33" s="3401"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1"/>
      <c r="Q34" s="1605" t="str">
        <f t="shared" si="11"/>
        <v>项目建筑规模</v>
      </c>
      <c r="R34" s="1577" t="s">
        <v>8</v>
      </c>
      <c r="S34" s="1578" t="e">
        <f t="shared" si="12"/>
        <v>#N/A</v>
      </c>
      <c r="T34" s="1577" t="s">
        <v>8</v>
      </c>
      <c r="U34" s="1578" t="e">
        <f t="shared" si="13"/>
        <v>#N/A</v>
      </c>
      <c r="V34" s="1577" t="s">
        <v>8</v>
      </c>
      <c r="W34" s="1578" t="e">
        <f t="shared" si="14"/>
        <v>#N/A</v>
      </c>
      <c r="X34" s="1579"/>
      <c r="Y34" s="3401"/>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1"/>
      <c r="Q35" s="1572" t="str">
        <f t="shared" si="11"/>
        <v>建筑结构</v>
      </c>
      <c r="R35" s="1573" t="s">
        <v>8</v>
      </c>
      <c r="S35" s="1574">
        <f t="shared" si="12"/>
        <v>100</v>
      </c>
      <c r="T35" s="1573" t="s">
        <v>8</v>
      </c>
      <c r="U35" s="1574">
        <f t="shared" si="13"/>
        <v>100</v>
      </c>
      <c r="V35" s="1573" t="s">
        <v>8</v>
      </c>
      <c r="W35" s="1574">
        <f t="shared" si="14"/>
        <v>100</v>
      </c>
      <c r="X35" s="1567"/>
      <c r="Y35" s="3401"/>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1"/>
      <c r="Q36" s="1572" t="str">
        <f t="shared" si="11"/>
        <v>公共部分装修</v>
      </c>
      <c r="R36" s="1573" t="s">
        <v>8</v>
      </c>
      <c r="S36" s="1574">
        <f t="shared" si="12"/>
        <v>100</v>
      </c>
      <c r="T36" s="1573" t="s">
        <v>8</v>
      </c>
      <c r="U36" s="1574">
        <f t="shared" si="13"/>
        <v>100</v>
      </c>
      <c r="V36" s="1573" t="s">
        <v>8</v>
      </c>
      <c r="W36" s="1574">
        <f t="shared" si="14"/>
        <v>100</v>
      </c>
      <c r="X36" s="1567"/>
      <c r="Y36" s="3401"/>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1"/>
      <c r="Q37" s="1572" t="str">
        <f t="shared" si="11"/>
        <v>成新度</v>
      </c>
      <c r="R37" s="1573" t="s">
        <v>8</v>
      </c>
      <c r="S37" s="1574" t="e">
        <f t="shared" si="12"/>
        <v>#N/A</v>
      </c>
      <c r="T37" s="1573" t="s">
        <v>8</v>
      </c>
      <c r="U37" s="1574" t="e">
        <f t="shared" si="13"/>
        <v>#N/A</v>
      </c>
      <c r="V37" s="1573" t="s">
        <v>8</v>
      </c>
      <c r="W37" s="1574" t="e">
        <f t="shared" si="14"/>
        <v>#N/A</v>
      </c>
      <c r="X37" s="1567"/>
      <c r="Y37" s="3401"/>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1"/>
      <c r="Q38" s="1151" t="str">
        <f t="shared" si="11"/>
        <v>写字楼等级</v>
      </c>
      <c r="R38" s="1568" t="s">
        <v>8</v>
      </c>
      <c r="S38" s="1569">
        <f t="shared" si="12"/>
        <v>100</v>
      </c>
      <c r="T38" s="1568" t="s">
        <v>8</v>
      </c>
      <c r="U38" s="1569">
        <f t="shared" si="13"/>
        <v>100</v>
      </c>
      <c r="V38" s="1568" t="s">
        <v>8</v>
      </c>
      <c r="W38" s="1569">
        <f t="shared" si="14"/>
        <v>100</v>
      </c>
      <c r="X38" s="1570"/>
      <c r="Y38" s="3401"/>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1" t="s">
        <v>550</v>
      </c>
      <c r="Q39" s="1572" t="str">
        <f t="shared" si="11"/>
        <v>物业管理</v>
      </c>
      <c r="R39" s="1573" t="s">
        <v>8</v>
      </c>
      <c r="S39" s="1574">
        <f t="shared" si="12"/>
        <v>100</v>
      </c>
      <c r="T39" s="1573" t="s">
        <v>8</v>
      </c>
      <c r="U39" s="1574">
        <f t="shared" si="13"/>
        <v>100</v>
      </c>
      <c r="V39" s="1573" t="s">
        <v>8</v>
      </c>
      <c r="W39" s="1574">
        <f t="shared" si="14"/>
        <v>100</v>
      </c>
      <c r="X39" s="1567"/>
      <c r="Y39" s="3401" t="s">
        <v>550</v>
      </c>
      <c r="Z39" s="1575" t="str">
        <f t="shared" si="15"/>
        <v>物业管理</v>
      </c>
      <c r="AA39" s="1576">
        <f t="shared" si="3"/>
        <v>1</v>
      </c>
      <c r="AB39" s="1576">
        <f t="shared" si="4"/>
        <v>1</v>
      </c>
      <c r="AC39" s="1576">
        <f t="shared" si="5"/>
        <v>1</v>
      </c>
    </row>
    <row r="40" spans="1:29" ht="15">
      <c r="A40" s="594"/>
      <c r="B40" s="1895"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1"/>
      <c r="Q40" s="1572" t="str">
        <f t="shared" si="11"/>
        <v>市政基础设施</v>
      </c>
      <c r="R40" s="1573" t="s">
        <v>8</v>
      </c>
      <c r="S40" s="1574">
        <f t="shared" si="12"/>
        <v>100</v>
      </c>
      <c r="T40" s="1573" t="s">
        <v>8</v>
      </c>
      <c r="U40" s="1574">
        <f t="shared" si="13"/>
        <v>100</v>
      </c>
      <c r="V40" s="1573" t="s">
        <v>8</v>
      </c>
      <c r="W40" s="1574">
        <f t="shared" si="14"/>
        <v>100</v>
      </c>
      <c r="X40" s="1567"/>
      <c r="Y40" s="3401"/>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1"/>
      <c r="Q41" s="1572" t="str">
        <f t="shared" si="11"/>
        <v>层高</v>
      </c>
      <c r="R41" s="1573" t="s">
        <v>8</v>
      </c>
      <c r="S41" s="1574">
        <f t="shared" si="12"/>
        <v>100</v>
      </c>
      <c r="T41" s="1573" t="s">
        <v>8</v>
      </c>
      <c r="U41" s="1574">
        <f t="shared" si="13"/>
        <v>100</v>
      </c>
      <c r="V41" s="1573" t="s">
        <v>8</v>
      </c>
      <c r="W41" s="1574">
        <f t="shared" si="14"/>
        <v>100</v>
      </c>
      <c r="X41" s="1567"/>
      <c r="Y41" s="3401"/>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1"/>
      <c r="Q42" s="1605" t="str">
        <f t="shared" si="11"/>
        <v>单套建筑面积</v>
      </c>
      <c r="R42" s="1577" t="s">
        <v>8</v>
      </c>
      <c r="S42" s="1578">
        <f t="shared" si="12"/>
        <v>100</v>
      </c>
      <c r="T42" s="1577" t="s">
        <v>8</v>
      </c>
      <c r="U42" s="1578">
        <f t="shared" si="13"/>
        <v>100</v>
      </c>
      <c r="V42" s="1577" t="s">
        <v>8</v>
      </c>
      <c r="W42" s="1578">
        <f t="shared" si="14"/>
        <v>100</v>
      </c>
      <c r="X42" s="1579"/>
      <c r="Y42" s="3401"/>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1"/>
      <c r="Q43" s="1572" t="str">
        <f t="shared" si="11"/>
        <v>内部装修</v>
      </c>
      <c r="R43" s="1573" t="s">
        <v>8</v>
      </c>
      <c r="S43" s="1574">
        <f t="shared" si="12"/>
        <v>100</v>
      </c>
      <c r="T43" s="1573" t="s">
        <v>8</v>
      </c>
      <c r="U43" s="1574">
        <f t="shared" si="13"/>
        <v>100</v>
      </c>
      <c r="V43" s="1573" t="s">
        <v>8</v>
      </c>
      <c r="W43" s="1574">
        <f t="shared" si="14"/>
        <v>100</v>
      </c>
      <c r="X43" s="1567"/>
      <c r="Y43" s="3401"/>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1"/>
      <c r="Q44" s="1572" t="str">
        <f t="shared" si="11"/>
        <v>内部装修维护情况</v>
      </c>
      <c r="R44" s="1573" t="s">
        <v>8</v>
      </c>
      <c r="S44" s="1574">
        <f t="shared" si="12"/>
        <v>100</v>
      </c>
      <c r="T44" s="1573" t="s">
        <v>8</v>
      </c>
      <c r="U44" s="1574">
        <f t="shared" si="13"/>
        <v>100</v>
      </c>
      <c r="V44" s="1573" t="s">
        <v>8</v>
      </c>
      <c r="W44" s="1574">
        <f t="shared" si="14"/>
        <v>100</v>
      </c>
      <c r="X44" s="1567"/>
      <c r="Y44" s="340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1"/>
      <c r="Q45" s="1151">
        <f t="shared" si="11"/>
        <v>111</v>
      </c>
      <c r="R45" s="1568" t="s">
        <v>8</v>
      </c>
      <c r="S45" s="1569">
        <f t="shared" si="12"/>
        <v>100</v>
      </c>
      <c r="T45" s="1568" t="s">
        <v>8</v>
      </c>
      <c r="U45" s="1569">
        <f t="shared" si="13"/>
        <v>100</v>
      </c>
      <c r="V45" s="1568" t="s">
        <v>8</v>
      </c>
      <c r="W45" s="1569">
        <f t="shared" si="14"/>
        <v>100</v>
      </c>
      <c r="X45" s="1570"/>
      <c r="Y45" s="340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1"/>
      <c r="Q46" s="1572">
        <f t="shared" si="11"/>
        <v>111</v>
      </c>
      <c r="R46" s="1573" t="s">
        <v>8</v>
      </c>
      <c r="S46" s="1574">
        <f t="shared" si="12"/>
        <v>100</v>
      </c>
      <c r="T46" s="1573" t="s">
        <v>8</v>
      </c>
      <c r="U46" s="1574">
        <f t="shared" si="13"/>
        <v>100</v>
      </c>
      <c r="V46" s="1573" t="s">
        <v>8</v>
      </c>
      <c r="W46" s="1574">
        <f t="shared" si="14"/>
        <v>100</v>
      </c>
      <c r="X46" s="1567"/>
      <c r="Y46" s="340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7"/>
      <c r="Q47" s="1572">
        <f t="shared" si="11"/>
        <v>111</v>
      </c>
      <c r="R47" s="1573" t="s">
        <v>8</v>
      </c>
      <c r="S47" s="1574">
        <f t="shared" si="12"/>
        <v>100</v>
      </c>
      <c r="T47" s="1573" t="s">
        <v>8</v>
      </c>
      <c r="U47" s="1574">
        <f t="shared" si="13"/>
        <v>100</v>
      </c>
      <c r="V47" s="1573" t="s">
        <v>8</v>
      </c>
      <c r="W47" s="1574">
        <f t="shared" si="14"/>
        <v>100</v>
      </c>
      <c r="X47" s="1567"/>
      <c r="Y47" s="3497"/>
      <c r="Z47" s="1575">
        <f t="shared" si="15"/>
        <v>111</v>
      </c>
      <c r="AA47" s="1576">
        <f t="shared" si="3"/>
        <v>1</v>
      </c>
      <c r="AB47" s="1576">
        <f t="shared" si="4"/>
        <v>1</v>
      </c>
      <c r="AC47" s="1576">
        <f t="shared" si="5"/>
        <v>1</v>
      </c>
    </row>
    <row r="48" spans="1:29" ht="15">
      <c r="A48" s="607" t="s">
        <v>736</v>
      </c>
      <c r="B48" s="887"/>
      <c r="C48" s="2627" t="s">
        <v>1</v>
      </c>
      <c r="D48" s="2628"/>
      <c r="E48" s="2629"/>
      <c r="F48" s="2630"/>
      <c r="G48" s="2631"/>
      <c r="H48" s="2632"/>
      <c r="I48" s="2629"/>
      <c r="J48" s="2632"/>
      <c r="K48" s="1611"/>
      <c r="L48" s="2144"/>
      <c r="M48" s="2134"/>
      <c r="N48" s="2134"/>
      <c r="O48" s="2134"/>
      <c r="P48" s="3418" t="str">
        <f>A48</f>
        <v>成交单价（元/平方米）</v>
      </c>
      <c r="Q48" s="3396"/>
      <c r="R48" s="3496">
        <f>E48</f>
        <v>0</v>
      </c>
      <c r="S48" s="3496"/>
      <c r="T48" s="3496">
        <f>G48</f>
        <v>0</v>
      </c>
      <c r="U48" s="3496"/>
      <c r="V48" s="3496">
        <f>I48</f>
        <v>0</v>
      </c>
      <c r="W48" s="3496"/>
      <c r="X48" s="1559"/>
      <c r="Y48" s="1581"/>
      <c r="Z48" s="1559"/>
      <c r="AA48" s="1559"/>
      <c r="AB48" s="1559"/>
      <c r="AC48" s="1559"/>
    </row>
    <row r="49" spans="1:29" ht="15.75" thickBot="1">
      <c r="A49" s="615" t="s">
        <v>2759</v>
      </c>
      <c r="B49" s="888"/>
      <c r="C49" s="2633" t="e">
        <f>R50</f>
        <v>#DIV/0!</v>
      </c>
      <c r="D49" s="2634"/>
      <c r="E49" s="2635" t="e">
        <f>R49</f>
        <v>#DIV/0!</v>
      </c>
      <c r="F49" s="2635"/>
      <c r="G49" s="2633" t="e">
        <f>T49</f>
        <v>#DIV/0!</v>
      </c>
      <c r="H49" s="2634"/>
      <c r="I49" s="2635" t="e">
        <f>V49</f>
        <v>#DIV/0!</v>
      </c>
      <c r="J49" s="2634"/>
      <c r="K49" s="1612"/>
      <c r="L49" s="2144"/>
      <c r="M49" s="2134"/>
      <c r="N49" s="2134"/>
      <c r="O49" s="2134"/>
      <c r="P49" s="3418" t="str">
        <f>A49</f>
        <v>比较价格（元/平方米）</v>
      </c>
      <c r="Q49" s="3396"/>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59"/>
      <c r="Y49" s="1559"/>
      <c r="Z49" s="1559"/>
      <c r="AA49" s="1559"/>
      <c r="AB49" s="1559"/>
      <c r="AC49" s="1559"/>
    </row>
    <row r="50" spans="1:29" ht="15.75" thickBot="1">
      <c r="A50" s="621" t="s">
        <v>2933</v>
      </c>
      <c r="B50" s="622"/>
      <c r="C50" s="2636" t="e">
        <f>R50</f>
        <v>#DIV/0!</v>
      </c>
      <c r="D50" s="2636"/>
      <c r="E50" s="2636"/>
      <c r="F50" s="2636"/>
      <c r="G50" s="2636"/>
      <c r="H50" s="2636"/>
      <c r="I50" s="2636"/>
      <c r="J50" s="2636"/>
      <c r="K50" s="1613"/>
      <c r="L50" s="2144"/>
      <c r="M50" s="2134"/>
      <c r="N50" s="2134"/>
      <c r="O50" s="2134"/>
      <c r="P50" s="3501" t="str">
        <f>A50</f>
        <v>估价对象XX用房的比较价格（楼面单价，元/平方米）</v>
      </c>
      <c r="Q50" s="3418"/>
      <c r="R50" s="3495" t="e">
        <f>IF(F1="售价",ROUND(AVERAGE(R49:V49),0),ROUND(AVERAGE(R49:V49),1))</f>
        <v>#DIV/0!</v>
      </c>
      <c r="S50" s="3495"/>
      <c r="T50" s="3495"/>
      <c r="U50" s="3495"/>
      <c r="V50" s="3495"/>
      <c r="W50" s="3495"/>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2019-5</v>
      </c>
      <c r="D59" s="2804">
        <f>EDATE(C59,-1)</f>
        <v>43556</v>
      </c>
      <c r="E59" s="2804">
        <f t="shared" ref="E59:O59" si="16">EDATE(D59,-1)</f>
        <v>43525</v>
      </c>
      <c r="F59" s="2804">
        <f t="shared" si="16"/>
        <v>43497</v>
      </c>
      <c r="G59" s="2804">
        <f t="shared" si="16"/>
        <v>43466</v>
      </c>
      <c r="H59" s="2804">
        <f t="shared" si="16"/>
        <v>43435</v>
      </c>
      <c r="I59" s="2804">
        <f t="shared" si="16"/>
        <v>43405</v>
      </c>
      <c r="J59" s="2804">
        <f t="shared" si="16"/>
        <v>43374</v>
      </c>
      <c r="K59" s="2804">
        <f t="shared" si="16"/>
        <v>43344</v>
      </c>
      <c r="L59" s="2804">
        <f t="shared" si="16"/>
        <v>43313</v>
      </c>
      <c r="M59" s="2804">
        <f t="shared" si="16"/>
        <v>43282</v>
      </c>
      <c r="N59" s="2804">
        <f t="shared" si="16"/>
        <v>43252</v>
      </c>
      <c r="O59" s="2804">
        <f t="shared" si="16"/>
        <v>43221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2557</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2558</v>
      </c>
      <c r="C83" s="2598" t="s">
        <v>2559</v>
      </c>
      <c r="D83" s="2598" t="s">
        <v>2560</v>
      </c>
      <c r="E83" s="2598" t="s">
        <v>2561</v>
      </c>
      <c r="F83" s="2598" t="s">
        <v>2562</v>
      </c>
      <c r="G83" s="2598" t="s">
        <v>2563</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402" t="s">
        <v>522</v>
      </c>
      <c r="D4" s="3403"/>
      <c r="E4" s="3426" t="s">
        <v>523</v>
      </c>
      <c r="F4" s="3427"/>
      <c r="G4" s="3402" t="s">
        <v>524</v>
      </c>
      <c r="H4" s="3403"/>
      <c r="I4" s="3402" t="s">
        <v>525</v>
      </c>
      <c r="J4" s="3403"/>
      <c r="K4" s="514" t="s">
        <v>526</v>
      </c>
      <c r="L4" s="2133"/>
      <c r="M4" s="2134"/>
      <c r="N4" s="2134"/>
      <c r="O4" s="2134"/>
      <c r="P4" s="3404" t="s">
        <v>527</v>
      </c>
      <c r="Q4" s="3405"/>
      <c r="R4" s="3390" t="s">
        <v>523</v>
      </c>
      <c r="S4" s="3391"/>
      <c r="T4" s="3390" t="s">
        <v>524</v>
      </c>
      <c r="U4" s="3391"/>
      <c r="V4" s="3410" t="s">
        <v>525</v>
      </c>
      <c r="W4" s="3410"/>
      <c r="X4" s="1567"/>
      <c r="Y4" s="3390" t="s">
        <v>527</v>
      </c>
      <c r="Z4" s="3391"/>
      <c r="AA4" s="3385" t="s">
        <v>523</v>
      </c>
      <c r="AB4" s="3386" t="s">
        <v>524</v>
      </c>
      <c r="AC4" s="3385" t="s">
        <v>525</v>
      </c>
    </row>
    <row r="5" spans="1:29" ht="15">
      <c r="A5" s="515"/>
      <c r="B5" s="516"/>
      <c r="C5" s="3413" t="s">
        <v>2927</v>
      </c>
      <c r="D5" s="3414"/>
      <c r="E5" s="3428" t="s">
        <v>2928</v>
      </c>
      <c r="F5" s="3429"/>
      <c r="G5" s="3413" t="s">
        <v>2929</v>
      </c>
      <c r="H5" s="3414"/>
      <c r="I5" s="3413" t="s">
        <v>2930</v>
      </c>
      <c r="J5" s="3414"/>
      <c r="K5" s="514"/>
      <c r="L5" s="2133"/>
      <c r="M5" s="2134"/>
      <c r="N5" s="2134"/>
      <c r="O5" s="2134"/>
      <c r="P5" s="3406"/>
      <c r="Q5" s="3407"/>
      <c r="R5" s="3392"/>
      <c r="S5" s="3393"/>
      <c r="T5" s="3392"/>
      <c r="U5" s="3393"/>
      <c r="V5" s="3410"/>
      <c r="W5" s="3410"/>
      <c r="X5" s="1567"/>
      <c r="Y5" s="3392"/>
      <c r="Z5" s="3393"/>
      <c r="AA5" s="3386"/>
      <c r="AB5" s="3386"/>
      <c r="AC5" s="3386"/>
    </row>
    <row r="6" spans="1:29" ht="15.75" thickBot="1">
      <c r="A6" s="517"/>
      <c r="B6" s="518"/>
      <c r="C6" s="3411" t="s">
        <v>2931</v>
      </c>
      <c r="D6" s="3412"/>
      <c r="E6" s="3430" t="s">
        <v>2931</v>
      </c>
      <c r="F6" s="3431"/>
      <c r="G6" s="3411" t="s">
        <v>2931</v>
      </c>
      <c r="H6" s="3412"/>
      <c r="I6" s="3411" t="s">
        <v>2931</v>
      </c>
      <c r="J6" s="3412"/>
      <c r="K6" s="514" t="s">
        <v>528</v>
      </c>
      <c r="L6" s="2133"/>
      <c r="M6" s="2134"/>
      <c r="N6" s="2134"/>
      <c r="O6" s="2134"/>
      <c r="P6" s="3408"/>
      <c r="Q6" s="3409"/>
      <c r="R6" s="3392"/>
      <c r="S6" s="3393"/>
      <c r="T6" s="3394"/>
      <c r="U6" s="3395"/>
      <c r="V6" s="3410"/>
      <c r="W6" s="3410"/>
      <c r="X6" s="1567"/>
      <c r="Y6" s="3394"/>
      <c r="Z6" s="3395"/>
      <c r="AA6" s="3387"/>
      <c r="AB6" s="3387"/>
      <c r="AC6" s="3387"/>
    </row>
    <row r="7" spans="1:29" s="1220" customFormat="1" ht="15.75" thickBot="1">
      <c r="A7" s="2912"/>
      <c r="B7" s="2919" t="s">
        <v>529</v>
      </c>
      <c r="C7" s="519">
        <f>'数据-取费表'!B2</f>
        <v>43606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8" t="s">
        <v>530</v>
      </c>
      <c r="Q7" s="3397"/>
      <c r="R7" s="1568" t="s">
        <v>8</v>
      </c>
      <c r="S7" s="1569">
        <f t="shared" ref="S7:S15" si="0">F7</f>
        <v>0</v>
      </c>
      <c r="T7" s="1568" t="s">
        <v>8</v>
      </c>
      <c r="U7" s="1569">
        <f t="shared" ref="U7:U15" si="1">H7</f>
        <v>0</v>
      </c>
      <c r="V7" s="1568" t="s">
        <v>8</v>
      </c>
      <c r="W7" s="1569">
        <f t="shared" ref="W7:W15"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8" t="s">
        <v>533</v>
      </c>
      <c r="Q8" s="3389"/>
      <c r="R8" s="1568" t="s">
        <v>8</v>
      </c>
      <c r="S8" s="1569">
        <f t="shared" si="0"/>
        <v>0</v>
      </c>
      <c r="T8" s="1568" t="s">
        <v>8</v>
      </c>
      <c r="U8" s="1569">
        <f t="shared" si="1"/>
        <v>0</v>
      </c>
      <c r="V8" s="1568" t="s">
        <v>8</v>
      </c>
      <c r="W8" s="1569">
        <f t="shared" si="2"/>
        <v>0</v>
      </c>
      <c r="X8" s="1570"/>
      <c r="Y8" s="3388" t="s">
        <v>533</v>
      </c>
      <c r="Z8" s="3389"/>
      <c r="AA8" s="1571" t="e">
        <f t="shared" ref="AA8:AA40" si="3">D8/F8</f>
        <v>#DIV/0!</v>
      </c>
      <c r="AB8" s="1571" t="e">
        <f t="shared" ref="AB8:AB40" si="4">D8/H8</f>
        <v>#DIV/0!</v>
      </c>
      <c r="AC8" s="1571" t="e">
        <f t="shared" ref="AC8:AC40" si="5">D8/J8</f>
        <v>#DIV/0!</v>
      </c>
    </row>
    <row r="9" spans="1:29" s="1220" customFormat="1" ht="15">
      <c r="A9" s="2914"/>
      <c r="B9" s="2921"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96" t="s">
        <v>535</v>
      </c>
      <c r="Q9" s="1151" t="str">
        <f t="shared" ref="Q9:Q15" si="6">B9</f>
        <v>用途</v>
      </c>
      <c r="R9" s="1568" t="s">
        <v>8</v>
      </c>
      <c r="S9" s="1569">
        <f t="shared" si="0"/>
        <v>100</v>
      </c>
      <c r="T9" s="1568" t="s">
        <v>8</v>
      </c>
      <c r="U9" s="1569">
        <f t="shared" si="1"/>
        <v>100</v>
      </c>
      <c r="V9" s="1568" t="s">
        <v>8</v>
      </c>
      <c r="W9" s="1569">
        <f t="shared" si="2"/>
        <v>100</v>
      </c>
      <c r="X9" s="1570"/>
      <c r="Y9" s="3353"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6"/>
      <c r="Q11" s="1151" t="str">
        <f t="shared" si="6"/>
        <v>容积率</v>
      </c>
      <c r="R11" s="1568" t="s">
        <v>8</v>
      </c>
      <c r="S11" s="1569" t="e">
        <f t="shared" si="0"/>
        <v>#N/A</v>
      </c>
      <c r="T11" s="1568" t="s">
        <v>8</v>
      </c>
      <c r="U11" s="1569" t="e">
        <f t="shared" si="1"/>
        <v>#N/A</v>
      </c>
      <c r="V11" s="1568" t="s">
        <v>8</v>
      </c>
      <c r="W11" s="1569" t="e">
        <f t="shared" si="2"/>
        <v>#N/A</v>
      </c>
      <c r="X11" s="1570"/>
      <c r="Y11" s="335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96"/>
      <c r="Q12" s="1151">
        <f t="shared" si="6"/>
        <v>111</v>
      </c>
      <c r="R12" s="1568" t="s">
        <v>8</v>
      </c>
      <c r="S12" s="1569">
        <f t="shared" si="0"/>
        <v>100</v>
      </c>
      <c r="T12" s="1568" t="s">
        <v>8</v>
      </c>
      <c r="U12" s="1569">
        <f t="shared" si="1"/>
        <v>100</v>
      </c>
      <c r="V12" s="1568" t="s">
        <v>8</v>
      </c>
      <c r="W12" s="1569">
        <f t="shared" si="2"/>
        <v>100</v>
      </c>
      <c r="X12" s="1570"/>
      <c r="Y12" s="3353"/>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96"/>
      <c r="Q13" s="1151">
        <f t="shared" si="6"/>
        <v>111</v>
      </c>
      <c r="R13" s="1568" t="s">
        <v>8</v>
      </c>
      <c r="S13" s="1569">
        <f t="shared" si="0"/>
        <v>100</v>
      </c>
      <c r="T13" s="1568" t="s">
        <v>8</v>
      </c>
      <c r="U13" s="1569">
        <f t="shared" si="1"/>
        <v>100</v>
      </c>
      <c r="V13" s="1568" t="s">
        <v>8</v>
      </c>
      <c r="W13" s="1569">
        <f t="shared" si="2"/>
        <v>100</v>
      </c>
      <c r="X13" s="1570"/>
      <c r="Y13" s="3353"/>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96"/>
      <c r="Q14" s="1151">
        <f t="shared" si="6"/>
        <v>111</v>
      </c>
      <c r="R14" s="1568" t="s">
        <v>8</v>
      </c>
      <c r="S14" s="1569">
        <f t="shared" si="0"/>
        <v>100</v>
      </c>
      <c r="T14" s="1568" t="s">
        <v>8</v>
      </c>
      <c r="U14" s="1569">
        <f t="shared" si="1"/>
        <v>100</v>
      </c>
      <c r="V14" s="1568" t="s">
        <v>8</v>
      </c>
      <c r="W14" s="1569">
        <f t="shared" si="2"/>
        <v>100</v>
      </c>
      <c r="X14" s="1570"/>
      <c r="Y14" s="3353"/>
      <c r="Z14" s="1150">
        <f t="shared" si="7"/>
        <v>111</v>
      </c>
      <c r="AA14" s="1571">
        <f t="shared" si="3"/>
        <v>1</v>
      </c>
      <c r="AB14" s="1571">
        <f t="shared" si="4"/>
        <v>1</v>
      </c>
      <c r="AC14" s="1571">
        <f t="shared" si="5"/>
        <v>1</v>
      </c>
    </row>
    <row r="15" spans="1:29" ht="57">
      <c r="A15" s="2910"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8" t="s">
        <v>540</v>
      </c>
      <c r="Q15" s="1572" t="str">
        <f t="shared" si="6"/>
        <v>产业集聚程度</v>
      </c>
      <c r="R15" s="1573" t="s">
        <v>8</v>
      </c>
      <c r="S15" s="1574">
        <f t="shared" si="0"/>
        <v>100</v>
      </c>
      <c r="T15" s="1573" t="s">
        <v>8</v>
      </c>
      <c r="U15" s="1574">
        <f t="shared" si="1"/>
        <v>100</v>
      </c>
      <c r="V15" s="1573" t="s">
        <v>8</v>
      </c>
      <c r="W15" s="1574">
        <f t="shared" si="2"/>
        <v>100</v>
      </c>
      <c r="X15" s="1567"/>
      <c r="Y15" s="339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2"/>
      <c r="B19" s="2603"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2"/>
      <c r="B21" s="2591"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9"/>
      <c r="Q21" s="2579" t="str">
        <f>B21</f>
        <v>基础设施水平</v>
      </c>
      <c r="R21" s="1573" t="s">
        <v>8</v>
      </c>
      <c r="S21" s="1574">
        <f>F21</f>
        <v>100</v>
      </c>
      <c r="T21" s="1573" t="s">
        <v>8</v>
      </c>
      <c r="U21" s="1574">
        <f>H21</f>
        <v>100</v>
      </c>
      <c r="V21" s="1573" t="s">
        <v>8</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399"/>
      <c r="Q22" s="2579"/>
      <c r="R22" s="1573"/>
      <c r="S22" s="1574"/>
      <c r="T22" s="1573"/>
      <c r="U22" s="1574"/>
      <c r="V22" s="1573"/>
      <c r="W22" s="1574"/>
      <c r="X22" s="2581"/>
      <c r="Y22" s="3399"/>
      <c r="Z22" s="2580"/>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9"/>
      <c r="Q23" s="1572" t="str">
        <f>B23</f>
        <v>环境质量</v>
      </c>
      <c r="R23" s="1573" t="s">
        <v>8</v>
      </c>
      <c r="S23" s="1574">
        <f>F23</f>
        <v>100</v>
      </c>
      <c r="T23" s="1573" t="s">
        <v>8</v>
      </c>
      <c r="U23" s="1574">
        <f>H23</f>
        <v>100</v>
      </c>
      <c r="V23" s="1573" t="s">
        <v>8</v>
      </c>
      <c r="W23" s="1574">
        <f>J23</f>
        <v>100</v>
      </c>
      <c r="X23" s="1567"/>
      <c r="Y23" s="339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9"/>
      <c r="Q25" s="1572">
        <f>B25</f>
        <v>111</v>
      </c>
      <c r="R25" s="1573" t="s">
        <v>8</v>
      </c>
      <c r="S25" s="1574">
        <f>F25</f>
        <v>100</v>
      </c>
      <c r="T25" s="1573" t="s">
        <v>8</v>
      </c>
      <c r="U25" s="1574">
        <f>H25</f>
        <v>100</v>
      </c>
      <c r="V25" s="1573" t="s">
        <v>8</v>
      </c>
      <c r="W25" s="1574">
        <f>J25</f>
        <v>100</v>
      </c>
      <c r="X25" s="1567"/>
      <c r="Y25" s="339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9"/>
      <c r="Q26" s="1572">
        <f t="shared" ref="Q26:Q40" si="11">B26</f>
        <v>111</v>
      </c>
      <c r="R26" s="1573" t="s">
        <v>8</v>
      </c>
      <c r="S26" s="1574">
        <f>F26</f>
        <v>100</v>
      </c>
      <c r="T26" s="1573" t="s">
        <v>8</v>
      </c>
      <c r="U26" s="1574">
        <f>H26</f>
        <v>100</v>
      </c>
      <c r="V26" s="1573" t="s">
        <v>8</v>
      </c>
      <c r="W26" s="1574">
        <f>J26</f>
        <v>100</v>
      </c>
      <c r="X26" s="1567"/>
      <c r="Y26" s="339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9"/>
      <c r="Q27" s="1151">
        <f t="shared" si="11"/>
        <v>111</v>
      </c>
      <c r="R27" s="1568" t="s">
        <v>8</v>
      </c>
      <c r="S27" s="1569">
        <f>F27</f>
        <v>100</v>
      </c>
      <c r="T27" s="1568" t="s">
        <v>8</v>
      </c>
      <c r="U27" s="1569">
        <f>H27</f>
        <v>100</v>
      </c>
      <c r="V27" s="1568" t="s">
        <v>8</v>
      </c>
      <c r="W27" s="1569">
        <f>J27</f>
        <v>100</v>
      </c>
      <c r="X27" s="1570"/>
      <c r="Y27" s="339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9"/>
      <c r="Q28" s="1572">
        <f t="shared" si="11"/>
        <v>111</v>
      </c>
      <c r="R28" s="1573" t="s">
        <v>8</v>
      </c>
      <c r="S28" s="1574">
        <f t="shared" ref="S28:S40" si="12">F28</f>
        <v>100</v>
      </c>
      <c r="T28" s="1573" t="s">
        <v>8</v>
      </c>
      <c r="U28" s="1574">
        <f t="shared" ref="U28:U40" si="13">H28</f>
        <v>100</v>
      </c>
      <c r="V28" s="1573" t="s">
        <v>8</v>
      </c>
      <c r="W28" s="1574">
        <f t="shared" ref="W28:W40" si="14">J28</f>
        <v>100</v>
      </c>
      <c r="X28" s="1567"/>
      <c r="Y28" s="3399"/>
      <c r="Z28" s="1575">
        <f t="shared" ref="Z28:Z40" si="15">Q28</f>
        <v>111</v>
      </c>
      <c r="AA28" s="1576">
        <f t="shared" si="3"/>
        <v>1</v>
      </c>
      <c r="AB28" s="1576">
        <f t="shared" si="4"/>
        <v>1</v>
      </c>
      <c r="AC28" s="1576">
        <f t="shared" si="5"/>
        <v>1</v>
      </c>
    </row>
    <row r="29" spans="1:29" ht="15">
      <c r="A29" s="2907"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0" t="s">
        <v>550</v>
      </c>
      <c r="Q29" s="1572" t="str">
        <f t="shared" si="11"/>
        <v>建筑类型</v>
      </c>
      <c r="R29" s="1573" t="s">
        <v>8</v>
      </c>
      <c r="S29" s="1574">
        <f t="shared" si="12"/>
        <v>100</v>
      </c>
      <c r="T29" s="1573" t="s">
        <v>8</v>
      </c>
      <c r="U29" s="1574">
        <f t="shared" si="13"/>
        <v>100</v>
      </c>
      <c r="V29" s="1573" t="s">
        <v>8</v>
      </c>
      <c r="W29" s="1574">
        <f t="shared" si="14"/>
        <v>100</v>
      </c>
      <c r="X29" s="1567"/>
      <c r="Y29" s="3401"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1"/>
      <c r="Q30" s="1605" t="str">
        <f t="shared" si="11"/>
        <v>项目建筑规模</v>
      </c>
      <c r="R30" s="1577" t="s">
        <v>8</v>
      </c>
      <c r="S30" s="1578" t="e">
        <f t="shared" si="12"/>
        <v>#N/A</v>
      </c>
      <c r="T30" s="1577" t="s">
        <v>8</v>
      </c>
      <c r="U30" s="1578" t="e">
        <f t="shared" si="13"/>
        <v>#N/A</v>
      </c>
      <c r="V30" s="1577" t="s">
        <v>8</v>
      </c>
      <c r="W30" s="1578" t="e">
        <f t="shared" si="14"/>
        <v>#N/A</v>
      </c>
      <c r="X30" s="1579"/>
      <c r="Y30" s="340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1"/>
      <c r="Q31" s="1572" t="str">
        <f t="shared" si="11"/>
        <v>建筑结构</v>
      </c>
      <c r="R31" s="1573" t="s">
        <v>8</v>
      </c>
      <c r="S31" s="1574">
        <f t="shared" si="12"/>
        <v>100</v>
      </c>
      <c r="T31" s="1573" t="s">
        <v>8</v>
      </c>
      <c r="U31" s="1574">
        <f t="shared" si="13"/>
        <v>100</v>
      </c>
      <c r="V31" s="1573" t="s">
        <v>8</v>
      </c>
      <c r="W31" s="1574">
        <f t="shared" si="14"/>
        <v>100</v>
      </c>
      <c r="X31" s="1567"/>
      <c r="Y31" s="340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1"/>
      <c r="Q32" s="1572" t="str">
        <f t="shared" si="11"/>
        <v>公共部分装修</v>
      </c>
      <c r="R32" s="1573" t="s">
        <v>8</v>
      </c>
      <c r="S32" s="1574">
        <f t="shared" si="12"/>
        <v>100</v>
      </c>
      <c r="T32" s="1573" t="s">
        <v>8</v>
      </c>
      <c r="U32" s="1574">
        <f t="shared" si="13"/>
        <v>100</v>
      </c>
      <c r="V32" s="1573" t="s">
        <v>8</v>
      </c>
      <c r="W32" s="1574">
        <f t="shared" si="14"/>
        <v>100</v>
      </c>
      <c r="X32" s="1567"/>
      <c r="Y32" s="3401"/>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1"/>
      <c r="Q33" s="1572" t="str">
        <f t="shared" si="11"/>
        <v>成新度</v>
      </c>
      <c r="R33" s="1573" t="s">
        <v>8</v>
      </c>
      <c r="S33" s="1574" t="e">
        <f t="shared" si="12"/>
        <v>#N/A</v>
      </c>
      <c r="T33" s="1573" t="s">
        <v>8</v>
      </c>
      <c r="U33" s="1574" t="e">
        <f t="shared" si="13"/>
        <v>#N/A</v>
      </c>
      <c r="V33" s="1573" t="s">
        <v>8</v>
      </c>
      <c r="W33" s="1574" t="e">
        <f t="shared" si="14"/>
        <v>#N/A</v>
      </c>
      <c r="X33" s="1567"/>
      <c r="Y33" s="3401"/>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1"/>
      <c r="Q34" s="1151" t="str">
        <f t="shared" si="11"/>
        <v>物业管理</v>
      </c>
      <c r="R34" s="1568" t="s">
        <v>8</v>
      </c>
      <c r="S34" s="1569">
        <f t="shared" si="12"/>
        <v>100</v>
      </c>
      <c r="T34" s="1568" t="s">
        <v>8</v>
      </c>
      <c r="U34" s="1569">
        <f t="shared" si="13"/>
        <v>100</v>
      </c>
      <c r="V34" s="1568" t="s">
        <v>8</v>
      </c>
      <c r="W34" s="1569">
        <f t="shared" si="14"/>
        <v>100</v>
      </c>
      <c r="X34" s="1570"/>
      <c r="Y34" s="3401"/>
      <c r="Z34" s="1150" t="str">
        <f t="shared" si="15"/>
        <v>物业管理</v>
      </c>
      <c r="AA34" s="1571">
        <f t="shared" si="3"/>
        <v>1</v>
      </c>
      <c r="AB34" s="1571">
        <f t="shared" si="4"/>
        <v>1</v>
      </c>
      <c r="AC34" s="1571">
        <f t="shared" si="5"/>
        <v>1</v>
      </c>
    </row>
    <row r="35" spans="1:29" ht="15">
      <c r="A35" s="594"/>
      <c r="B35" s="1895"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1" t="s">
        <v>550</v>
      </c>
      <c r="Q35" s="1572" t="str">
        <f t="shared" si="11"/>
        <v>市政基础设施</v>
      </c>
      <c r="R35" s="1573" t="s">
        <v>8</v>
      </c>
      <c r="S35" s="1574">
        <f t="shared" si="12"/>
        <v>100</v>
      </c>
      <c r="T35" s="1573" t="s">
        <v>8</v>
      </c>
      <c r="U35" s="1574">
        <f t="shared" si="13"/>
        <v>100</v>
      </c>
      <c r="V35" s="1573" t="s">
        <v>8</v>
      </c>
      <c r="W35" s="1574">
        <f t="shared" si="14"/>
        <v>100</v>
      </c>
      <c r="X35" s="1567"/>
      <c r="Y35" s="340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1"/>
      <c r="Q36" s="1572" t="str">
        <f t="shared" si="11"/>
        <v>内部装修</v>
      </c>
      <c r="R36" s="1573" t="s">
        <v>8</v>
      </c>
      <c r="S36" s="1574">
        <f t="shared" si="12"/>
        <v>100</v>
      </c>
      <c r="T36" s="1573" t="s">
        <v>8</v>
      </c>
      <c r="U36" s="1574">
        <f t="shared" si="13"/>
        <v>100</v>
      </c>
      <c r="V36" s="1573" t="s">
        <v>8</v>
      </c>
      <c r="W36" s="1574">
        <f t="shared" si="14"/>
        <v>100</v>
      </c>
      <c r="X36" s="1567"/>
      <c r="Y36" s="340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1"/>
      <c r="Q37" s="1572" t="str">
        <f t="shared" si="11"/>
        <v>内部装修状况</v>
      </c>
      <c r="R37" s="1573" t="s">
        <v>8</v>
      </c>
      <c r="S37" s="1574">
        <f t="shared" si="12"/>
        <v>100</v>
      </c>
      <c r="T37" s="1573" t="s">
        <v>8</v>
      </c>
      <c r="U37" s="1574">
        <f t="shared" si="13"/>
        <v>100</v>
      </c>
      <c r="V37" s="1573" t="s">
        <v>8</v>
      </c>
      <c r="W37" s="1574">
        <f t="shared" si="14"/>
        <v>100</v>
      </c>
      <c r="X37" s="1567"/>
      <c r="Y37" s="340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1"/>
      <c r="Q38" s="1605">
        <f t="shared" si="11"/>
        <v>111</v>
      </c>
      <c r="R38" s="1577" t="s">
        <v>8</v>
      </c>
      <c r="S38" s="1578">
        <f t="shared" si="12"/>
        <v>100</v>
      </c>
      <c r="T38" s="1577" t="s">
        <v>8</v>
      </c>
      <c r="U38" s="1578">
        <f t="shared" si="13"/>
        <v>100</v>
      </c>
      <c r="V38" s="1577" t="s">
        <v>8</v>
      </c>
      <c r="W38" s="1578">
        <f t="shared" si="14"/>
        <v>100</v>
      </c>
      <c r="X38" s="1579"/>
      <c r="Y38" s="340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1"/>
      <c r="Q39" s="1572">
        <f t="shared" si="11"/>
        <v>111</v>
      </c>
      <c r="R39" s="1573" t="s">
        <v>8</v>
      </c>
      <c r="S39" s="1574">
        <f t="shared" si="12"/>
        <v>100</v>
      </c>
      <c r="T39" s="1573" t="s">
        <v>8</v>
      </c>
      <c r="U39" s="1574">
        <f t="shared" si="13"/>
        <v>100</v>
      </c>
      <c r="V39" s="1573" t="s">
        <v>8</v>
      </c>
      <c r="W39" s="1574">
        <f t="shared" si="14"/>
        <v>100</v>
      </c>
      <c r="X39" s="1567"/>
      <c r="Y39" s="340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7"/>
      <c r="Q40" s="1572">
        <f t="shared" si="11"/>
        <v>111</v>
      </c>
      <c r="R40" s="1573" t="s">
        <v>8</v>
      </c>
      <c r="S40" s="1574">
        <f t="shared" si="12"/>
        <v>100</v>
      </c>
      <c r="T40" s="1573" t="s">
        <v>8</v>
      </c>
      <c r="U40" s="1574">
        <f t="shared" si="13"/>
        <v>100</v>
      </c>
      <c r="V40" s="1573" t="s">
        <v>8</v>
      </c>
      <c r="W40" s="1574">
        <f t="shared" si="14"/>
        <v>100</v>
      </c>
      <c r="X40" s="1567"/>
      <c r="Y40" s="3497"/>
      <c r="Z40" s="1575">
        <f t="shared" si="15"/>
        <v>111</v>
      </c>
      <c r="AA40" s="1576">
        <f t="shared" si="3"/>
        <v>1</v>
      </c>
      <c r="AB40" s="1576">
        <f t="shared" si="4"/>
        <v>1</v>
      </c>
      <c r="AC40" s="1576">
        <f t="shared" si="5"/>
        <v>1</v>
      </c>
    </row>
    <row r="41" spans="1:29" ht="15">
      <c r="A41" s="607" t="s">
        <v>736</v>
      </c>
      <c r="B41" s="887"/>
      <c r="C41" s="2627" t="s">
        <v>1</v>
      </c>
      <c r="D41" s="2628"/>
      <c r="E41" s="2629"/>
      <c r="F41" s="2630"/>
      <c r="G41" s="2631"/>
      <c r="H41" s="2632"/>
      <c r="I41" s="2629"/>
      <c r="J41" s="2632"/>
      <c r="K41" s="1611"/>
      <c r="L41" s="2144"/>
      <c r="M41" s="2145"/>
      <c r="N41" s="2134"/>
      <c r="O41" s="2145"/>
      <c r="P41" s="3396" t="str">
        <f>A41</f>
        <v>成交单价（元/平方米）</v>
      </c>
      <c r="Q41" s="3396"/>
      <c r="R41" s="3496">
        <f>E41</f>
        <v>0</v>
      </c>
      <c r="S41" s="3496"/>
      <c r="T41" s="3496">
        <f>G41</f>
        <v>0</v>
      </c>
      <c r="U41" s="3496"/>
      <c r="V41" s="3496">
        <f>I41</f>
        <v>0</v>
      </c>
      <c r="W41" s="3496"/>
      <c r="X41" s="1559"/>
      <c r="Y41" s="1581"/>
      <c r="Z41" s="1559"/>
      <c r="AA41" s="1559"/>
      <c r="AB41" s="1559"/>
      <c r="AC41" s="1559"/>
    </row>
    <row r="42" spans="1:29" ht="15.75" thickBot="1">
      <c r="A42" s="615" t="s">
        <v>2759</v>
      </c>
      <c r="B42" s="888"/>
      <c r="C42" s="2633" t="e">
        <f>R43</f>
        <v>#DIV/0!</v>
      </c>
      <c r="D42" s="2634"/>
      <c r="E42" s="2635" t="e">
        <f>R42</f>
        <v>#DIV/0!</v>
      </c>
      <c r="F42" s="2635"/>
      <c r="G42" s="2633" t="e">
        <f>T42</f>
        <v>#DIV/0!</v>
      </c>
      <c r="H42" s="2634"/>
      <c r="I42" s="2635" t="e">
        <f>V42</f>
        <v>#DIV/0!</v>
      </c>
      <c r="J42" s="2634"/>
      <c r="K42" s="1612"/>
      <c r="L42" s="2144"/>
      <c r="M42" s="2145"/>
      <c r="N42" s="2134"/>
      <c r="O42" s="2145"/>
      <c r="P42" s="3396" t="str">
        <f>A42</f>
        <v>比较价格（元/平方米）</v>
      </c>
      <c r="Q42" s="3396"/>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59"/>
      <c r="Y42" s="1559"/>
      <c r="Z42" s="1559"/>
      <c r="AA42" s="1559"/>
      <c r="AB42" s="1559"/>
      <c r="AC42" s="1559"/>
    </row>
    <row r="43" spans="1:29" ht="15.75" thickBot="1">
      <c r="A43" s="621" t="s">
        <v>2933</v>
      </c>
      <c r="B43" s="622"/>
      <c r="C43" s="2636" t="e">
        <f>R43</f>
        <v>#DIV/0!</v>
      </c>
      <c r="D43" s="2636"/>
      <c r="E43" s="2636"/>
      <c r="F43" s="2636"/>
      <c r="G43" s="2636"/>
      <c r="H43" s="2636"/>
      <c r="I43" s="2636"/>
      <c r="J43" s="2636"/>
      <c r="K43" s="1613"/>
      <c r="L43" s="2144"/>
      <c r="M43" s="2145"/>
      <c r="N43" s="2145"/>
      <c r="O43" s="2145"/>
      <c r="P43" s="3417" t="str">
        <f>A43</f>
        <v>估价对象XX用房的比较价格（楼面单价，元/平方米）</v>
      </c>
      <c r="Q43" s="3418"/>
      <c r="R43" s="3495" t="e">
        <f>IF(F1="售价",ROUND(AVERAGE(R42:V42),0),ROUND(AVERAGE(R42:V42),1))</f>
        <v>#DIV/0!</v>
      </c>
      <c r="S43" s="3495"/>
      <c r="T43" s="3495"/>
      <c r="U43" s="3495"/>
      <c r="V43" s="3495"/>
      <c r="W43" s="3495"/>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2019-5</v>
      </c>
      <c r="D52" s="2804">
        <f>EDATE(C52,-1)</f>
        <v>43556</v>
      </c>
      <c r="E52" s="2804">
        <f t="shared" ref="E52:O52" si="16">EDATE(D52,-1)</f>
        <v>43525</v>
      </c>
      <c r="F52" s="2804">
        <f t="shared" si="16"/>
        <v>43497</v>
      </c>
      <c r="G52" s="2804">
        <f t="shared" si="16"/>
        <v>43466</v>
      </c>
      <c r="H52" s="2804">
        <f t="shared" si="16"/>
        <v>43435</v>
      </c>
      <c r="I52" s="2804">
        <f t="shared" si="16"/>
        <v>43405</v>
      </c>
      <c r="J52" s="2804">
        <f t="shared" si="16"/>
        <v>43374</v>
      </c>
      <c r="K52" s="2804">
        <f t="shared" si="16"/>
        <v>43344</v>
      </c>
      <c r="L52" s="2804">
        <f t="shared" si="16"/>
        <v>43313</v>
      </c>
      <c r="M52" s="2804">
        <f t="shared" si="16"/>
        <v>43282</v>
      </c>
      <c r="N52" s="2804">
        <f t="shared" si="16"/>
        <v>43252</v>
      </c>
      <c r="O52" s="2804">
        <f t="shared" si="16"/>
        <v>43221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2557</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2558</v>
      </c>
      <c r="C76" s="2598" t="s">
        <v>2559</v>
      </c>
      <c r="D76" s="2598" t="s">
        <v>2560</v>
      </c>
      <c r="E76" s="2598" t="s">
        <v>2561</v>
      </c>
      <c r="F76" s="2598" t="s">
        <v>2562</v>
      </c>
      <c r="G76" s="2598" t="s">
        <v>2563</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02" t="s">
        <v>798</v>
      </c>
      <c r="D4" s="3403"/>
      <c r="E4" s="3402" t="s">
        <v>799</v>
      </c>
      <c r="F4" s="3403"/>
      <c r="G4" s="3402" t="s">
        <v>800</v>
      </c>
      <c r="H4" s="3403"/>
      <c r="I4" s="3402" t="s">
        <v>801</v>
      </c>
      <c r="J4" s="3403"/>
      <c r="K4" s="514" t="s">
        <v>802</v>
      </c>
      <c r="L4" s="2133"/>
      <c r="M4" s="2134"/>
      <c r="N4" s="2134"/>
      <c r="O4" s="2134"/>
      <c r="P4" s="3404" t="s">
        <v>803</v>
      </c>
      <c r="Q4" s="3405"/>
      <c r="R4" s="3390" t="s">
        <v>799</v>
      </c>
      <c r="S4" s="3391"/>
      <c r="T4" s="3390" t="s">
        <v>800</v>
      </c>
      <c r="U4" s="3391"/>
      <c r="V4" s="3410" t="s">
        <v>801</v>
      </c>
      <c r="W4" s="3410"/>
      <c r="X4" s="1567"/>
      <c r="Y4" s="3390" t="s">
        <v>803</v>
      </c>
      <c r="Z4" s="3391"/>
      <c r="AA4" s="3385" t="s">
        <v>799</v>
      </c>
      <c r="AB4" s="3386" t="s">
        <v>800</v>
      </c>
      <c r="AC4" s="3385" t="s">
        <v>801</v>
      </c>
    </row>
    <row r="5" spans="1:29" ht="15">
      <c r="A5" s="515"/>
      <c r="B5" s="516"/>
      <c r="C5" s="3413" t="s">
        <v>2927</v>
      </c>
      <c r="D5" s="3414"/>
      <c r="E5" s="3413" t="s">
        <v>2928</v>
      </c>
      <c r="F5" s="3414"/>
      <c r="G5" s="3413" t="s">
        <v>2929</v>
      </c>
      <c r="H5" s="3414"/>
      <c r="I5" s="3413" t="s">
        <v>2930</v>
      </c>
      <c r="J5" s="3414"/>
      <c r="K5" s="514"/>
      <c r="L5" s="2133"/>
      <c r="M5" s="2134"/>
      <c r="N5" s="2134"/>
      <c r="O5" s="2134"/>
      <c r="P5" s="3406"/>
      <c r="Q5" s="3407"/>
      <c r="R5" s="3392"/>
      <c r="S5" s="3393"/>
      <c r="T5" s="3392"/>
      <c r="U5" s="3393"/>
      <c r="V5" s="3410"/>
      <c r="W5" s="3410"/>
      <c r="X5" s="1567"/>
      <c r="Y5" s="3392"/>
      <c r="Z5" s="3393"/>
      <c r="AA5" s="3386"/>
      <c r="AB5" s="3386"/>
      <c r="AC5" s="3386"/>
    </row>
    <row r="6" spans="1:29" ht="15.75" thickBot="1">
      <c r="A6" s="517"/>
      <c r="B6" s="518"/>
      <c r="C6" s="3411" t="s">
        <v>2931</v>
      </c>
      <c r="D6" s="3412"/>
      <c r="E6" s="3415" t="s">
        <v>2931</v>
      </c>
      <c r="F6" s="3416"/>
      <c r="G6" s="3411" t="s">
        <v>2931</v>
      </c>
      <c r="H6" s="3412"/>
      <c r="I6" s="3411" t="s">
        <v>2931</v>
      </c>
      <c r="J6" s="3412"/>
      <c r="K6" s="514" t="s">
        <v>528</v>
      </c>
      <c r="L6" s="2133"/>
      <c r="M6" s="2134"/>
      <c r="N6" s="2134"/>
      <c r="O6" s="2134"/>
      <c r="P6" s="3408"/>
      <c r="Q6" s="3409"/>
      <c r="R6" s="3392"/>
      <c r="S6" s="3393"/>
      <c r="T6" s="3394"/>
      <c r="U6" s="3395"/>
      <c r="V6" s="3410"/>
      <c r="W6" s="3410"/>
      <c r="X6" s="1567"/>
      <c r="Y6" s="3394"/>
      <c r="Z6" s="3395"/>
      <c r="AA6" s="3387"/>
      <c r="AB6" s="3387"/>
      <c r="AC6" s="3387"/>
    </row>
    <row r="7" spans="1:29" s="1220" customFormat="1" ht="15.75" thickBot="1">
      <c r="A7" s="2912"/>
      <c r="B7" s="2919" t="s">
        <v>529</v>
      </c>
      <c r="C7" s="519">
        <f>'数据-取费表'!B2</f>
        <v>43606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88" t="s">
        <v>530</v>
      </c>
      <c r="Q7" s="3397"/>
      <c r="R7" s="1568" t="s">
        <v>8</v>
      </c>
      <c r="S7" s="1569">
        <f t="shared" ref="S7:S14" si="0">F7</f>
        <v>0</v>
      </c>
      <c r="T7" s="1568" t="s">
        <v>8</v>
      </c>
      <c r="U7" s="1569">
        <f t="shared" ref="U7:U14" si="1">H7</f>
        <v>0</v>
      </c>
      <c r="V7" s="1568" t="s">
        <v>8</v>
      </c>
      <c r="W7" s="1569">
        <f t="shared" ref="W7:W14"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88" t="s">
        <v>533</v>
      </c>
      <c r="Q8" s="3389"/>
      <c r="R8" s="1568" t="s">
        <v>8</v>
      </c>
      <c r="S8" s="1569">
        <f t="shared" si="0"/>
        <v>0</v>
      </c>
      <c r="T8" s="1568" t="s">
        <v>8</v>
      </c>
      <c r="U8" s="1569">
        <f t="shared" si="1"/>
        <v>0</v>
      </c>
      <c r="V8" s="1568" t="s">
        <v>8</v>
      </c>
      <c r="W8" s="1569">
        <f t="shared" si="2"/>
        <v>0</v>
      </c>
      <c r="X8" s="1570"/>
      <c r="Y8" s="3388" t="s">
        <v>533</v>
      </c>
      <c r="Z8" s="3389"/>
      <c r="AA8" s="1571" t="e">
        <f t="shared" ref="AA8:AA36" si="3">D8/F8</f>
        <v>#DIV/0!</v>
      </c>
      <c r="AB8" s="1571" t="e">
        <f t="shared" ref="AB8:AB36" si="4">D8/H8</f>
        <v>#DIV/0!</v>
      </c>
      <c r="AC8" s="1571" t="e">
        <f t="shared" ref="AC8:AC36" si="5">D8/J8</f>
        <v>#DIV/0!</v>
      </c>
    </row>
    <row r="9" spans="1:29" s="1220" customFormat="1" ht="15">
      <c r="A9" s="2914"/>
      <c r="B9" s="2921"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96" t="s">
        <v>535</v>
      </c>
      <c r="Q9" s="1151" t="str">
        <f t="shared" ref="Q9:Q14" si="6">B9</f>
        <v>用途</v>
      </c>
      <c r="R9" s="1568" t="s">
        <v>8</v>
      </c>
      <c r="S9" s="1569">
        <f t="shared" si="0"/>
        <v>100</v>
      </c>
      <c r="T9" s="1568" t="s">
        <v>8</v>
      </c>
      <c r="U9" s="1569">
        <f t="shared" si="1"/>
        <v>100</v>
      </c>
      <c r="V9" s="1568" t="s">
        <v>8</v>
      </c>
      <c r="W9" s="1569">
        <f t="shared" si="2"/>
        <v>100</v>
      </c>
      <c r="X9" s="1570"/>
      <c r="Y9" s="3353"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6"/>
      <c r="Q11" s="1151">
        <f t="shared" si="6"/>
        <v>111</v>
      </c>
      <c r="R11" s="1568" t="s">
        <v>8</v>
      </c>
      <c r="S11" s="1569">
        <f t="shared" si="0"/>
        <v>100</v>
      </c>
      <c r="T11" s="1568" t="s">
        <v>8</v>
      </c>
      <c r="U11" s="1569">
        <f t="shared" si="1"/>
        <v>100</v>
      </c>
      <c r="V11" s="1568" t="s">
        <v>8</v>
      </c>
      <c r="W11" s="1569">
        <f t="shared" si="2"/>
        <v>100</v>
      </c>
      <c r="X11" s="1570"/>
      <c r="Y11" s="3353"/>
      <c r="Z11" s="1150">
        <f t="shared" si="7"/>
        <v>111</v>
      </c>
      <c r="AA11" s="1571">
        <f t="shared" si="3"/>
        <v>1</v>
      </c>
      <c r="AB11" s="1571">
        <f t="shared" si="4"/>
        <v>1</v>
      </c>
      <c r="AC11" s="1571">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6"/>
      <c r="Q12" s="1151">
        <f t="shared" si="6"/>
        <v>111</v>
      </c>
      <c r="R12" s="1568" t="s">
        <v>8</v>
      </c>
      <c r="S12" s="1569">
        <f t="shared" si="0"/>
        <v>100</v>
      </c>
      <c r="T12" s="1568" t="s">
        <v>8</v>
      </c>
      <c r="U12" s="1569">
        <f t="shared" si="1"/>
        <v>100</v>
      </c>
      <c r="V12" s="1568" t="s">
        <v>8</v>
      </c>
      <c r="W12" s="1569">
        <f t="shared" si="2"/>
        <v>100</v>
      </c>
      <c r="X12" s="1570"/>
      <c r="Y12" s="3353"/>
      <c r="Z12" s="1150">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6"/>
      <c r="Q13" s="1151">
        <f t="shared" si="6"/>
        <v>111</v>
      </c>
      <c r="R13" s="1568" t="s">
        <v>8</v>
      </c>
      <c r="S13" s="1569">
        <f t="shared" si="0"/>
        <v>100</v>
      </c>
      <c r="T13" s="1568" t="s">
        <v>8</v>
      </c>
      <c r="U13" s="1569">
        <f t="shared" si="1"/>
        <v>100</v>
      </c>
      <c r="V13" s="1568" t="s">
        <v>8</v>
      </c>
      <c r="W13" s="1569">
        <f t="shared" si="2"/>
        <v>100</v>
      </c>
      <c r="X13" s="1570"/>
      <c r="Y13" s="3353"/>
      <c r="Z13" s="1150">
        <f t="shared" si="7"/>
        <v>111</v>
      </c>
      <c r="AA13" s="1571">
        <f t="shared" si="3"/>
        <v>1</v>
      </c>
      <c r="AB13" s="1571">
        <f t="shared" si="4"/>
        <v>1</v>
      </c>
      <c r="AC13" s="1571">
        <f t="shared" si="5"/>
        <v>1</v>
      </c>
    </row>
    <row r="14" spans="1:29" ht="85.5">
      <c r="A14" s="2910"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8" t="s">
        <v>540</v>
      </c>
      <c r="Q14" s="1572" t="str">
        <f t="shared" si="6"/>
        <v>交通便捷度</v>
      </c>
      <c r="R14" s="1573" t="s">
        <v>8</v>
      </c>
      <c r="S14" s="1574">
        <f t="shared" si="0"/>
        <v>100</v>
      </c>
      <c r="T14" s="1573" t="s">
        <v>8</v>
      </c>
      <c r="U14" s="1574">
        <f t="shared" si="1"/>
        <v>100</v>
      </c>
      <c r="V14" s="1573" t="s">
        <v>8</v>
      </c>
      <c r="W14" s="1574">
        <f t="shared" si="2"/>
        <v>100</v>
      </c>
      <c r="X14" s="1567"/>
      <c r="Y14" s="3398"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399"/>
      <c r="Q15" s="1572"/>
      <c r="R15" s="1573"/>
      <c r="S15" s="1574"/>
      <c r="T15" s="1573"/>
      <c r="U15" s="1574"/>
      <c r="V15" s="1573"/>
      <c r="W15" s="1574"/>
      <c r="X15" s="1567"/>
      <c r="Y15" s="3399"/>
      <c r="Z15" s="1575"/>
      <c r="AA15" s="1576">
        <v>1</v>
      </c>
      <c r="AB15" s="1576">
        <v>1</v>
      </c>
      <c r="AC15" s="1576">
        <v>1</v>
      </c>
    </row>
    <row r="16" spans="1:29" ht="42.75">
      <c r="A16" s="515"/>
      <c r="B16" s="2603"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9"/>
      <c r="Q16" s="1572" t="str">
        <f>B16</f>
        <v>公共配套设施</v>
      </c>
      <c r="R16" s="1573" t="s">
        <v>8</v>
      </c>
      <c r="S16" s="1574">
        <f>F16</f>
        <v>100</v>
      </c>
      <c r="T16" s="1573" t="s">
        <v>8</v>
      </c>
      <c r="U16" s="1574">
        <f>H16</f>
        <v>100</v>
      </c>
      <c r="V16" s="1573" t="s">
        <v>8</v>
      </c>
      <c r="W16" s="1574">
        <f>J16</f>
        <v>100</v>
      </c>
      <c r="X16" s="1567"/>
      <c r="Y16" s="339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399"/>
      <c r="Q17" s="1572"/>
      <c r="R17" s="1573"/>
      <c r="S17" s="1574"/>
      <c r="T17" s="1573"/>
      <c r="U17" s="1574"/>
      <c r="V17" s="1573"/>
      <c r="W17" s="1574"/>
      <c r="X17" s="1567"/>
      <c r="Y17" s="3399"/>
      <c r="Z17" s="1575"/>
      <c r="AA17" s="1576">
        <v>1</v>
      </c>
      <c r="AB17" s="1576">
        <v>1</v>
      </c>
      <c r="AC17" s="1576">
        <v>1</v>
      </c>
    </row>
    <row r="18" spans="1:29" ht="28.5">
      <c r="A18" s="515"/>
      <c r="B18" s="2591"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9"/>
      <c r="Q18" s="2579" t="str">
        <f>B18</f>
        <v>基础设施水平</v>
      </c>
      <c r="R18" s="1573" t="s">
        <v>8</v>
      </c>
      <c r="S18" s="1574">
        <f>F18</f>
        <v>100</v>
      </c>
      <c r="T18" s="1573" t="s">
        <v>8</v>
      </c>
      <c r="U18" s="1574">
        <f>H18</f>
        <v>100</v>
      </c>
      <c r="V18" s="1573" t="s">
        <v>8</v>
      </c>
      <c r="W18" s="1574">
        <f>J18</f>
        <v>100</v>
      </c>
      <c r="X18" s="2581"/>
      <c r="Y18" s="3399"/>
      <c r="Z18" s="2580"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2"/>
      <c r="L19" s="2142"/>
      <c r="M19" s="2134"/>
      <c r="N19" s="2134"/>
      <c r="O19" s="2141"/>
      <c r="P19" s="3399"/>
      <c r="Q19" s="2579"/>
      <c r="R19" s="1573"/>
      <c r="S19" s="1574"/>
      <c r="T19" s="1573"/>
      <c r="U19" s="1574"/>
      <c r="V19" s="1573"/>
      <c r="W19" s="1574"/>
      <c r="X19" s="2581"/>
      <c r="Y19" s="3399"/>
      <c r="Z19" s="2580"/>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9"/>
      <c r="Q20" s="1572" t="str">
        <f>B20</f>
        <v>自然及人文环境</v>
      </c>
      <c r="R20" s="1573" t="s">
        <v>8</v>
      </c>
      <c r="S20" s="1574">
        <f>F20</f>
        <v>100</v>
      </c>
      <c r="T20" s="1573" t="s">
        <v>8</v>
      </c>
      <c r="U20" s="1574">
        <f>H20</f>
        <v>100</v>
      </c>
      <c r="V20" s="1573" t="s">
        <v>8</v>
      </c>
      <c r="W20" s="1574">
        <f>J20</f>
        <v>100</v>
      </c>
      <c r="X20" s="1567"/>
      <c r="Y20" s="339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399"/>
      <c r="Q21" s="1572"/>
      <c r="R21" s="1573"/>
      <c r="S21" s="1574"/>
      <c r="T21" s="1573"/>
      <c r="U21" s="1574"/>
      <c r="V21" s="1573"/>
      <c r="W21" s="1574"/>
      <c r="X21" s="1567"/>
      <c r="Y21" s="3399"/>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9"/>
      <c r="Q22" s="1572" t="str">
        <f>B22</f>
        <v>楼层</v>
      </c>
      <c r="R22" s="1573" t="s">
        <v>8</v>
      </c>
      <c r="S22" s="1574">
        <f>F22</f>
        <v>100</v>
      </c>
      <c r="T22" s="1573" t="s">
        <v>8</v>
      </c>
      <c r="U22" s="1574">
        <f>H22</f>
        <v>100</v>
      </c>
      <c r="V22" s="1573" t="s">
        <v>8</v>
      </c>
      <c r="W22" s="1574">
        <f>J22</f>
        <v>100</v>
      </c>
      <c r="X22" s="1567"/>
      <c r="Y22" s="3399"/>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9"/>
      <c r="Q23" s="1572">
        <f>B23</f>
        <v>111</v>
      </c>
      <c r="R23" s="1573" t="s">
        <v>8</v>
      </c>
      <c r="S23" s="1574">
        <f>F23</f>
        <v>100</v>
      </c>
      <c r="T23" s="1573" t="s">
        <v>8</v>
      </c>
      <c r="U23" s="1574">
        <f>H23</f>
        <v>100</v>
      </c>
      <c r="V23" s="1573" t="s">
        <v>8</v>
      </c>
      <c r="W23" s="1574">
        <f>J23</f>
        <v>100</v>
      </c>
      <c r="X23" s="1567"/>
      <c r="Y23" s="3399"/>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9"/>
      <c r="Q24" s="1572">
        <f t="shared" ref="Q24:Q36" si="11">B24</f>
        <v>111</v>
      </c>
      <c r="R24" s="1573" t="s">
        <v>8</v>
      </c>
      <c r="S24" s="1574">
        <f>F24</f>
        <v>100</v>
      </c>
      <c r="T24" s="1573" t="s">
        <v>8</v>
      </c>
      <c r="U24" s="1574">
        <f>H24</f>
        <v>100</v>
      </c>
      <c r="V24" s="1573" t="s">
        <v>8</v>
      </c>
      <c r="W24" s="1574">
        <f>J24</f>
        <v>100</v>
      </c>
      <c r="X24" s="1567"/>
      <c r="Y24" s="3399"/>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9"/>
      <c r="Q25" s="1151">
        <f t="shared" si="11"/>
        <v>111</v>
      </c>
      <c r="R25" s="1568" t="s">
        <v>8</v>
      </c>
      <c r="S25" s="1569">
        <f>F25</f>
        <v>100</v>
      </c>
      <c r="T25" s="1568" t="s">
        <v>8</v>
      </c>
      <c r="U25" s="1569">
        <f>H25</f>
        <v>100</v>
      </c>
      <c r="V25" s="1568" t="s">
        <v>8</v>
      </c>
      <c r="W25" s="1569">
        <f>J25</f>
        <v>100</v>
      </c>
      <c r="X25" s="1570"/>
      <c r="Y25" s="3399"/>
      <c r="Z25" s="1150">
        <f>Q25</f>
        <v>111</v>
      </c>
      <c r="AA25" s="1576">
        <f>D25/F25</f>
        <v>1</v>
      </c>
      <c r="AB25" s="1576">
        <f>D25/H25</f>
        <v>1</v>
      </c>
      <c r="AC25" s="1576">
        <f>D25/J25</f>
        <v>1</v>
      </c>
    </row>
    <row r="26" spans="1:29" ht="15">
      <c r="A26" s="2907"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1"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1"/>
      <c r="Q27" s="1605" t="str">
        <f t="shared" si="11"/>
        <v>项目停车位配比</v>
      </c>
      <c r="R27" s="1577" t="s">
        <v>8</v>
      </c>
      <c r="S27" s="1578">
        <f t="shared" si="12"/>
        <v>100</v>
      </c>
      <c r="T27" s="1577" t="s">
        <v>8</v>
      </c>
      <c r="U27" s="1578">
        <f t="shared" si="13"/>
        <v>100</v>
      </c>
      <c r="V27" s="1577" t="s">
        <v>8</v>
      </c>
      <c r="W27" s="1578">
        <f t="shared" si="14"/>
        <v>100</v>
      </c>
      <c r="X27" s="1579"/>
      <c r="Y27" s="3401"/>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1"/>
      <c r="Q28" s="1572" t="str">
        <f t="shared" si="11"/>
        <v>公共部分装修</v>
      </c>
      <c r="R28" s="1573" t="s">
        <v>8</v>
      </c>
      <c r="S28" s="1574">
        <f t="shared" si="12"/>
        <v>100</v>
      </c>
      <c r="T28" s="1573" t="s">
        <v>8</v>
      </c>
      <c r="U28" s="1574">
        <f t="shared" si="13"/>
        <v>100</v>
      </c>
      <c r="V28" s="1573" t="s">
        <v>8</v>
      </c>
      <c r="W28" s="1574">
        <f t="shared" si="14"/>
        <v>100</v>
      </c>
      <c r="X28" s="1567"/>
      <c r="Y28" s="3401"/>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01"/>
      <c r="Q29" s="1572" t="str">
        <f t="shared" si="11"/>
        <v>成新率</v>
      </c>
      <c r="R29" s="1573" t="s">
        <v>8</v>
      </c>
      <c r="S29" s="1574" t="e">
        <f t="shared" si="12"/>
        <v>#N/A</v>
      </c>
      <c r="T29" s="1573" t="s">
        <v>8</v>
      </c>
      <c r="U29" s="1574" t="e">
        <f t="shared" si="13"/>
        <v>#N/A</v>
      </c>
      <c r="V29" s="1573" t="s">
        <v>8</v>
      </c>
      <c r="W29" s="1574" t="e">
        <f t="shared" si="14"/>
        <v>#N/A</v>
      </c>
      <c r="X29" s="1567"/>
      <c r="Y29" s="3401"/>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1"/>
      <c r="Q30" s="1572" t="str">
        <f t="shared" si="11"/>
        <v>物业等级</v>
      </c>
      <c r="R30" s="1573" t="s">
        <v>8</v>
      </c>
      <c r="S30" s="1574">
        <f t="shared" si="12"/>
        <v>100</v>
      </c>
      <c r="T30" s="1573" t="s">
        <v>8</v>
      </c>
      <c r="U30" s="1574">
        <f t="shared" si="13"/>
        <v>100</v>
      </c>
      <c r="V30" s="1573" t="s">
        <v>8</v>
      </c>
      <c r="W30" s="1574">
        <f t="shared" si="14"/>
        <v>100</v>
      </c>
      <c r="X30" s="1567"/>
      <c r="Y30" s="3401"/>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1"/>
      <c r="Q31" s="1151" t="str">
        <f t="shared" si="11"/>
        <v>停车位面积</v>
      </c>
      <c r="R31" s="1568" t="s">
        <v>8</v>
      </c>
      <c r="S31" s="1569" t="e">
        <f t="shared" si="12"/>
        <v>#N/A</v>
      </c>
      <c r="T31" s="1568" t="s">
        <v>8</v>
      </c>
      <c r="U31" s="1569" t="e">
        <f t="shared" si="13"/>
        <v>#N/A</v>
      </c>
      <c r="V31" s="1568" t="s">
        <v>8</v>
      </c>
      <c r="W31" s="1569" t="e">
        <f t="shared" si="14"/>
        <v>#N/A</v>
      </c>
      <c r="X31" s="1570"/>
      <c r="Y31" s="3401"/>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1" t="s">
        <v>550</v>
      </c>
      <c r="Q32" s="1572" t="str">
        <f t="shared" si="11"/>
        <v>车位类型</v>
      </c>
      <c r="R32" s="1573" t="s">
        <v>8</v>
      </c>
      <c r="S32" s="1574">
        <f t="shared" si="12"/>
        <v>100</v>
      </c>
      <c r="T32" s="1573" t="s">
        <v>8</v>
      </c>
      <c r="U32" s="1574">
        <f t="shared" si="13"/>
        <v>100</v>
      </c>
      <c r="V32" s="1573" t="s">
        <v>8</v>
      </c>
      <c r="W32" s="1574">
        <f t="shared" si="14"/>
        <v>100</v>
      </c>
      <c r="X32" s="1567"/>
      <c r="Y32" s="3401"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1"/>
      <c r="Q33" s="1572" t="str">
        <f t="shared" si="11"/>
        <v>是否直接入户</v>
      </c>
      <c r="R33" s="1573" t="s">
        <v>8</v>
      </c>
      <c r="S33" s="1574">
        <f t="shared" si="12"/>
        <v>100</v>
      </c>
      <c r="T33" s="1573" t="s">
        <v>8</v>
      </c>
      <c r="U33" s="1574">
        <f t="shared" si="13"/>
        <v>100</v>
      </c>
      <c r="V33" s="1573" t="s">
        <v>8</v>
      </c>
      <c r="W33" s="1574">
        <f t="shared" si="14"/>
        <v>100</v>
      </c>
      <c r="X33" s="1567"/>
      <c r="Y33" s="3401"/>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1"/>
      <c r="Q34" s="1572">
        <f t="shared" si="11"/>
        <v>111</v>
      </c>
      <c r="R34" s="1573" t="s">
        <v>8</v>
      </c>
      <c r="S34" s="1574">
        <f t="shared" si="12"/>
        <v>100</v>
      </c>
      <c r="T34" s="1573" t="s">
        <v>8</v>
      </c>
      <c r="U34" s="1574">
        <f t="shared" si="13"/>
        <v>100</v>
      </c>
      <c r="V34" s="1573" t="s">
        <v>8</v>
      </c>
      <c r="W34" s="1574">
        <f t="shared" si="14"/>
        <v>100</v>
      </c>
      <c r="X34" s="1567"/>
      <c r="Y34" s="3401"/>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1"/>
      <c r="Q35" s="1605">
        <f t="shared" si="11"/>
        <v>111</v>
      </c>
      <c r="R35" s="1577" t="s">
        <v>8</v>
      </c>
      <c r="S35" s="1578">
        <f t="shared" si="12"/>
        <v>100</v>
      </c>
      <c r="T35" s="1577" t="s">
        <v>8</v>
      </c>
      <c r="U35" s="1578">
        <f t="shared" si="13"/>
        <v>100</v>
      </c>
      <c r="V35" s="1577" t="s">
        <v>8</v>
      </c>
      <c r="W35" s="1578">
        <f t="shared" si="14"/>
        <v>100</v>
      </c>
      <c r="X35" s="1579"/>
      <c r="Y35" s="3401"/>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1"/>
      <c r="Q36" s="1572">
        <f t="shared" si="11"/>
        <v>111</v>
      </c>
      <c r="R36" s="1573" t="s">
        <v>8</v>
      </c>
      <c r="S36" s="1574">
        <f t="shared" si="12"/>
        <v>100</v>
      </c>
      <c r="T36" s="1573" t="s">
        <v>8</v>
      </c>
      <c r="U36" s="1574">
        <f t="shared" si="13"/>
        <v>100</v>
      </c>
      <c r="V36" s="1573" t="s">
        <v>8</v>
      </c>
      <c r="W36" s="1574">
        <f t="shared" si="14"/>
        <v>100</v>
      </c>
      <c r="X36" s="1567"/>
      <c r="Y36" s="3401"/>
      <c r="Z36" s="1575">
        <f t="shared" si="15"/>
        <v>111</v>
      </c>
      <c r="AA36" s="1576">
        <f t="shared" si="3"/>
        <v>1</v>
      </c>
      <c r="AB36" s="1576">
        <f t="shared" si="4"/>
        <v>1</v>
      </c>
      <c r="AC36" s="1576">
        <f t="shared" si="5"/>
        <v>1</v>
      </c>
    </row>
    <row r="37" spans="1:29" ht="15">
      <c r="A37" s="1846" t="s">
        <v>2079</v>
      </c>
      <c r="B37" s="1847" t="s">
        <v>2080</v>
      </c>
      <c r="C37" s="2627" t="s">
        <v>1</v>
      </c>
      <c r="D37" s="2628"/>
      <c r="E37" s="2629"/>
      <c r="F37" s="2630"/>
      <c r="G37" s="2631"/>
      <c r="H37" s="2632"/>
      <c r="I37" s="2629"/>
      <c r="J37" s="2632"/>
      <c r="K37" s="1611"/>
      <c r="L37" s="2144"/>
      <c r="M37" s="2145"/>
      <c r="N37" s="2134"/>
      <c r="O37" s="2145"/>
      <c r="P37" s="3396" t="str">
        <f>A37</f>
        <v>成交单价</v>
      </c>
      <c r="Q37" s="3396"/>
      <c r="R37" s="3496">
        <f>E37</f>
        <v>0</v>
      </c>
      <c r="S37" s="3496"/>
      <c r="T37" s="3496">
        <f>G37</f>
        <v>0</v>
      </c>
      <c r="U37" s="3496"/>
      <c r="V37" s="3496">
        <f>I37</f>
        <v>0</v>
      </c>
      <c r="W37" s="3496"/>
      <c r="X37" s="1559"/>
      <c r="Y37" s="1581"/>
      <c r="Z37" s="1559"/>
      <c r="AA37" s="1559"/>
      <c r="AB37" s="1559"/>
      <c r="AC37" s="1559"/>
    </row>
    <row r="38" spans="1:29" ht="15.75" thickBot="1">
      <c r="A38" s="615" t="s">
        <v>2759</v>
      </c>
      <c r="B38" s="888"/>
      <c r="C38" s="2633" t="e">
        <f>R39</f>
        <v>#DIV/0!</v>
      </c>
      <c r="D38" s="2634"/>
      <c r="E38" s="2635" t="e">
        <f>R38</f>
        <v>#DIV/0!</v>
      </c>
      <c r="F38" s="2635"/>
      <c r="G38" s="2633" t="e">
        <f>T38</f>
        <v>#DIV/0!</v>
      </c>
      <c r="H38" s="2634"/>
      <c r="I38" s="2635" t="e">
        <f>V38</f>
        <v>#DIV/0!</v>
      </c>
      <c r="J38" s="2634"/>
      <c r="K38" s="1612"/>
      <c r="L38" s="2144"/>
      <c r="M38" s="2145"/>
      <c r="N38" s="2145"/>
      <c r="O38" s="2145"/>
      <c r="P38" s="3396" t="str">
        <f>A38</f>
        <v>比较价格（元/平方米）</v>
      </c>
      <c r="Q38" s="3396"/>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59"/>
      <c r="Y38" s="1559"/>
      <c r="Z38" s="1559"/>
      <c r="AA38" s="1559"/>
      <c r="AB38" s="1559"/>
      <c r="AC38" s="1559"/>
    </row>
    <row r="39" spans="1:29" ht="15.75" thickBot="1">
      <c r="A39" s="621" t="s">
        <v>2933</v>
      </c>
      <c r="B39" s="622"/>
      <c r="C39" s="2636" t="e">
        <f>R39</f>
        <v>#DIV/0!</v>
      </c>
      <c r="D39" s="2636"/>
      <c r="E39" s="2636"/>
      <c r="F39" s="2636"/>
      <c r="G39" s="2636"/>
      <c r="H39" s="2636"/>
      <c r="I39" s="2636"/>
      <c r="J39" s="2636"/>
      <c r="K39" s="1613"/>
      <c r="L39" s="2144"/>
      <c r="M39" s="2145"/>
      <c r="N39" s="2145"/>
      <c r="O39" s="2145"/>
      <c r="P39" s="3417" t="str">
        <f>A39</f>
        <v>估价对象XX用房的比较价格（楼面单价，元/平方米）</v>
      </c>
      <c r="Q39" s="3418"/>
      <c r="R39" s="3495" t="e">
        <f>IF(F1="售价",ROUND(AVERAGE(R38:V38),0),ROUND(AVERAGE(R38:V38),1))</f>
        <v>#DIV/0!</v>
      </c>
      <c r="S39" s="3495"/>
      <c r="T39" s="3495"/>
      <c r="U39" s="3495"/>
      <c r="V39" s="3495"/>
      <c r="W39" s="3495"/>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2019-5</v>
      </c>
      <c r="D48" s="2804">
        <f>EDATE(C48,-1)</f>
        <v>43556</v>
      </c>
      <c r="E48" s="2804">
        <f t="shared" ref="E48:O48" si="16">EDATE(D48,-1)</f>
        <v>43525</v>
      </c>
      <c r="F48" s="2804">
        <f t="shared" si="16"/>
        <v>43497</v>
      </c>
      <c r="G48" s="2804">
        <f t="shared" si="16"/>
        <v>43466</v>
      </c>
      <c r="H48" s="2804">
        <f t="shared" si="16"/>
        <v>43435</v>
      </c>
      <c r="I48" s="2804">
        <f t="shared" si="16"/>
        <v>43405</v>
      </c>
      <c r="J48" s="2804">
        <f t="shared" si="16"/>
        <v>43374</v>
      </c>
      <c r="K48" s="2804">
        <f t="shared" si="16"/>
        <v>43344</v>
      </c>
      <c r="L48" s="2804">
        <f t="shared" si="16"/>
        <v>43313</v>
      </c>
      <c r="M48" s="2804">
        <f t="shared" si="16"/>
        <v>43282</v>
      </c>
      <c r="N48" s="2804">
        <f t="shared" si="16"/>
        <v>43252</v>
      </c>
      <c r="O48" s="2804">
        <f t="shared" si="16"/>
        <v>43221</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2557</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2558</v>
      </c>
      <c r="C67" s="2598" t="s">
        <v>2559</v>
      </c>
      <c r="D67" s="2598" t="s">
        <v>2560</v>
      </c>
      <c r="E67" s="2598" t="s">
        <v>2561</v>
      </c>
      <c r="F67" s="2598" t="s">
        <v>2562</v>
      </c>
      <c r="G67" s="2598" t="s">
        <v>2563</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56.25">
      <c r="A4" s="1791" t="str">
        <f>"受贵公司委托，我公司对"&amp;项目基本情况!K2&amp;项目基本情况!B9&amp;"进行了预评估。"</f>
        <v>受贵公司委托，我公司对江苏省盐城市建湖县双湖路北、秀夫路两侧地块二320925100203GB00021W00000000号一宗其他商服用用地出让国有建设用地使用权抵押价格进行了预评估。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46580.7平方米。根据《建设工程规划许可证》[]、《出让合同》[]，估价对象规划建筑面积为116451.76平方米。</v>
      </c>
    </row>
    <row r="7" spans="1:4" ht="93.75">
      <c r="A7" s="2873" t="s">
        <v>2747</v>
      </c>
    </row>
    <row r="8" spans="1:4" ht="18.75">
      <c r="A8" s="1794" t="s">
        <v>1907</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2019年5月21日（评估专业人员勘察现场之日）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根据《不动产权证书》[苏（2018）建湖县不动产权第0004219号]，本次评估估价对象证载（地类）用途为其他商服用地。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本次评估设定用途即为证载用途其他商服用地。</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2748</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02" t="s">
        <v>798</v>
      </c>
      <c r="D4" s="3403"/>
      <c r="E4" s="3426" t="s">
        <v>799</v>
      </c>
      <c r="F4" s="3427"/>
      <c r="G4" s="3402" t="s">
        <v>800</v>
      </c>
      <c r="H4" s="3403"/>
      <c r="I4" s="3402" t="s">
        <v>801</v>
      </c>
      <c r="J4" s="3403"/>
      <c r="K4" s="514" t="s">
        <v>802</v>
      </c>
      <c r="L4" s="2133"/>
      <c r="M4" s="2134"/>
      <c r="N4" s="2134"/>
      <c r="O4" s="2134"/>
      <c r="P4" s="3404" t="s">
        <v>803</v>
      </c>
      <c r="Q4" s="3405"/>
      <c r="R4" s="3390" t="s">
        <v>799</v>
      </c>
      <c r="S4" s="3391"/>
      <c r="T4" s="3390" t="s">
        <v>800</v>
      </c>
      <c r="U4" s="3391"/>
      <c r="V4" s="3410" t="s">
        <v>801</v>
      </c>
      <c r="W4" s="3410"/>
      <c r="X4" s="1567"/>
      <c r="Y4" s="3390" t="s">
        <v>803</v>
      </c>
      <c r="Z4" s="3391"/>
      <c r="AA4" s="3385" t="s">
        <v>799</v>
      </c>
      <c r="AB4" s="3386" t="s">
        <v>800</v>
      </c>
      <c r="AC4" s="3385" t="s">
        <v>801</v>
      </c>
    </row>
    <row r="5" spans="1:29" ht="15">
      <c r="A5" s="515"/>
      <c r="B5" s="516"/>
      <c r="C5" s="3413" t="s">
        <v>2927</v>
      </c>
      <c r="D5" s="3414"/>
      <c r="E5" s="3428" t="s">
        <v>2928</v>
      </c>
      <c r="F5" s="3429"/>
      <c r="G5" s="3413" t="s">
        <v>2929</v>
      </c>
      <c r="H5" s="3414"/>
      <c r="I5" s="3413" t="s">
        <v>2930</v>
      </c>
      <c r="J5" s="3414"/>
      <c r="K5" s="514"/>
      <c r="L5" s="2133"/>
      <c r="M5" s="2134"/>
      <c r="N5" s="2134"/>
      <c r="O5" s="2134"/>
      <c r="P5" s="3406"/>
      <c r="Q5" s="3407"/>
      <c r="R5" s="3392"/>
      <c r="S5" s="3393"/>
      <c r="T5" s="3392"/>
      <c r="U5" s="3393"/>
      <c r="V5" s="3410"/>
      <c r="W5" s="3410"/>
      <c r="X5" s="1567"/>
      <c r="Y5" s="3392"/>
      <c r="Z5" s="3393"/>
      <c r="AA5" s="3386"/>
      <c r="AB5" s="3386"/>
      <c r="AC5" s="3386"/>
    </row>
    <row r="6" spans="1:29" ht="15.75" thickBot="1">
      <c r="A6" s="517"/>
      <c r="B6" s="518"/>
      <c r="C6" s="3411" t="s">
        <v>2931</v>
      </c>
      <c r="D6" s="3412"/>
      <c r="E6" s="3430" t="s">
        <v>2931</v>
      </c>
      <c r="F6" s="3431"/>
      <c r="G6" s="3411" t="s">
        <v>2931</v>
      </c>
      <c r="H6" s="3412"/>
      <c r="I6" s="3411" t="s">
        <v>2931</v>
      </c>
      <c r="J6" s="3412"/>
      <c r="K6" s="514" t="s">
        <v>528</v>
      </c>
      <c r="L6" s="2133"/>
      <c r="M6" s="2134"/>
      <c r="N6" s="2134"/>
      <c r="O6" s="2134"/>
      <c r="P6" s="3408"/>
      <c r="Q6" s="3409"/>
      <c r="R6" s="3392"/>
      <c r="S6" s="3393"/>
      <c r="T6" s="3394"/>
      <c r="U6" s="3395"/>
      <c r="V6" s="3410"/>
      <c r="W6" s="3410"/>
      <c r="X6" s="1567"/>
      <c r="Y6" s="3394"/>
      <c r="Z6" s="3395"/>
      <c r="AA6" s="3387"/>
      <c r="AB6" s="3387"/>
      <c r="AC6" s="3387"/>
    </row>
    <row r="7" spans="1:29" s="1220" customFormat="1" ht="15.75" thickBot="1">
      <c r="A7" s="2912"/>
      <c r="B7" s="2919" t="s">
        <v>529</v>
      </c>
      <c r="C7" s="519">
        <f>'数据-取费表'!B2</f>
        <v>43606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8" t="s">
        <v>530</v>
      </c>
      <c r="Q7" s="3397"/>
      <c r="R7" s="1568" t="s">
        <v>8</v>
      </c>
      <c r="S7" s="1569">
        <f t="shared" ref="S7:S14" si="0">F7</f>
        <v>0</v>
      </c>
      <c r="T7" s="1568" t="s">
        <v>8</v>
      </c>
      <c r="U7" s="1569">
        <f t="shared" ref="U7:U14" si="1">H7</f>
        <v>0</v>
      </c>
      <c r="V7" s="1568" t="s">
        <v>8</v>
      </c>
      <c r="W7" s="1569">
        <f t="shared" ref="W7:W14"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8" t="s">
        <v>533</v>
      </c>
      <c r="Q8" s="3389"/>
      <c r="R8" s="1568" t="s">
        <v>8</v>
      </c>
      <c r="S8" s="1569">
        <f t="shared" si="0"/>
        <v>0</v>
      </c>
      <c r="T8" s="1568" t="s">
        <v>8</v>
      </c>
      <c r="U8" s="1569">
        <f t="shared" si="1"/>
        <v>0</v>
      </c>
      <c r="V8" s="1568" t="s">
        <v>8</v>
      </c>
      <c r="W8" s="1569">
        <f t="shared" si="2"/>
        <v>0</v>
      </c>
      <c r="X8" s="1570"/>
      <c r="Y8" s="3388" t="s">
        <v>533</v>
      </c>
      <c r="Z8" s="3389"/>
      <c r="AA8" s="1571" t="e">
        <f t="shared" ref="AA8:AA34" si="3">D8/F8</f>
        <v>#DIV/0!</v>
      </c>
      <c r="AB8" s="1571" t="e">
        <f t="shared" ref="AB8:AB34" si="4">D8/H8</f>
        <v>#DIV/0!</v>
      </c>
      <c r="AC8" s="1571" t="e">
        <f t="shared" ref="AC8:AC34" si="5">D8/J8</f>
        <v>#DIV/0!</v>
      </c>
    </row>
    <row r="9" spans="1:29" s="1220" customFormat="1" ht="15">
      <c r="A9" s="2914"/>
      <c r="B9" s="2921"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96" t="s">
        <v>535</v>
      </c>
      <c r="Q9" s="1151" t="str">
        <f t="shared" ref="Q9:Q14" si="6">B9</f>
        <v>用途</v>
      </c>
      <c r="R9" s="1568" t="s">
        <v>8</v>
      </c>
      <c r="S9" s="1569">
        <f t="shared" si="0"/>
        <v>100</v>
      </c>
      <c r="T9" s="1568" t="s">
        <v>8</v>
      </c>
      <c r="U9" s="1569">
        <f t="shared" si="1"/>
        <v>100</v>
      </c>
      <c r="V9" s="1568" t="s">
        <v>8</v>
      </c>
      <c r="W9" s="1569">
        <f t="shared" si="2"/>
        <v>100</v>
      </c>
      <c r="X9" s="1570"/>
      <c r="Y9" s="3353"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96"/>
      <c r="Q11" s="1151">
        <f t="shared" si="6"/>
        <v>111</v>
      </c>
      <c r="R11" s="1568" t="s">
        <v>8</v>
      </c>
      <c r="S11" s="1569">
        <f t="shared" si="0"/>
        <v>100</v>
      </c>
      <c r="T11" s="1568" t="s">
        <v>8</v>
      </c>
      <c r="U11" s="1569">
        <f t="shared" si="1"/>
        <v>100</v>
      </c>
      <c r="V11" s="1568" t="s">
        <v>8</v>
      </c>
      <c r="W11" s="1569">
        <f t="shared" si="2"/>
        <v>100</v>
      </c>
      <c r="X11" s="1570"/>
      <c r="Y11" s="3353"/>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96"/>
      <c r="Q12" s="1151">
        <f t="shared" si="6"/>
        <v>111</v>
      </c>
      <c r="R12" s="1568" t="s">
        <v>8</v>
      </c>
      <c r="S12" s="1569">
        <f t="shared" si="0"/>
        <v>100</v>
      </c>
      <c r="T12" s="1568" t="s">
        <v>8</v>
      </c>
      <c r="U12" s="1569">
        <f t="shared" si="1"/>
        <v>100</v>
      </c>
      <c r="V12" s="1568" t="s">
        <v>8</v>
      </c>
      <c r="W12" s="1569">
        <f t="shared" si="2"/>
        <v>100</v>
      </c>
      <c r="X12" s="1570"/>
      <c r="Y12" s="3353"/>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96"/>
      <c r="Q13" s="1151">
        <f t="shared" si="6"/>
        <v>111</v>
      </c>
      <c r="R13" s="1568" t="s">
        <v>8</v>
      </c>
      <c r="S13" s="1569">
        <f t="shared" si="0"/>
        <v>100</v>
      </c>
      <c r="T13" s="1568" t="s">
        <v>8</v>
      </c>
      <c r="U13" s="1569">
        <f t="shared" si="1"/>
        <v>100</v>
      </c>
      <c r="V13" s="1568" t="s">
        <v>8</v>
      </c>
      <c r="W13" s="1569">
        <f t="shared" si="2"/>
        <v>100</v>
      </c>
      <c r="X13" s="1570"/>
      <c r="Y13" s="3353"/>
      <c r="Z13" s="1150">
        <f t="shared" si="7"/>
        <v>111</v>
      </c>
      <c r="AA13" s="1571">
        <f t="shared" si="3"/>
        <v>1</v>
      </c>
      <c r="AB13" s="1571">
        <f t="shared" si="4"/>
        <v>1</v>
      </c>
      <c r="AC13" s="1571">
        <f t="shared" si="5"/>
        <v>1</v>
      </c>
    </row>
    <row r="14" spans="1:29" ht="85.5">
      <c r="A14" s="2910"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8" t="s">
        <v>540</v>
      </c>
      <c r="Q14" s="1572" t="str">
        <f t="shared" si="6"/>
        <v>交通便捷度</v>
      </c>
      <c r="R14" s="1573" t="s">
        <v>8</v>
      </c>
      <c r="S14" s="1574">
        <f t="shared" si="0"/>
        <v>100</v>
      </c>
      <c r="T14" s="1573" t="s">
        <v>8</v>
      </c>
      <c r="U14" s="1574">
        <f t="shared" si="1"/>
        <v>100</v>
      </c>
      <c r="V14" s="1573" t="s">
        <v>8</v>
      </c>
      <c r="W14" s="1574">
        <f t="shared" si="2"/>
        <v>100</v>
      </c>
      <c r="X14" s="1567"/>
      <c r="Y14" s="339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99"/>
      <c r="Q15" s="1572"/>
      <c r="R15" s="1573"/>
      <c r="S15" s="1574"/>
      <c r="T15" s="1573"/>
      <c r="U15" s="1574"/>
      <c r="V15" s="1573"/>
      <c r="W15" s="1574"/>
      <c r="X15" s="1567"/>
      <c r="Y15" s="3399"/>
      <c r="Z15" s="1575"/>
      <c r="AA15" s="1576">
        <v>1</v>
      </c>
      <c r="AB15" s="1576">
        <v>1</v>
      </c>
      <c r="AC15" s="1576">
        <v>1</v>
      </c>
    </row>
    <row r="16" spans="1:29" ht="42.75">
      <c r="A16" s="532"/>
      <c r="B16" s="2603"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9"/>
      <c r="Q16" s="1572" t="str">
        <f>B16</f>
        <v>公共配套设施</v>
      </c>
      <c r="R16" s="1573" t="s">
        <v>8</v>
      </c>
      <c r="S16" s="1574">
        <f>F16</f>
        <v>100</v>
      </c>
      <c r="T16" s="1573" t="s">
        <v>8</v>
      </c>
      <c r="U16" s="1574">
        <f>H16</f>
        <v>100</v>
      </c>
      <c r="V16" s="1573" t="s">
        <v>8</v>
      </c>
      <c r="W16" s="1574">
        <f>J16</f>
        <v>100</v>
      </c>
      <c r="X16" s="1567"/>
      <c r="Y16" s="339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99"/>
      <c r="Q17" s="1572"/>
      <c r="R17" s="1573"/>
      <c r="S17" s="1574"/>
      <c r="T17" s="1573"/>
      <c r="U17" s="1574"/>
      <c r="V17" s="1573"/>
      <c r="W17" s="1574"/>
      <c r="X17" s="1567"/>
      <c r="Y17" s="3399"/>
      <c r="Z17" s="1575"/>
      <c r="AA17" s="1576">
        <v>1</v>
      </c>
      <c r="AB17" s="1576">
        <v>1</v>
      </c>
      <c r="AC17" s="1576">
        <v>1</v>
      </c>
    </row>
    <row r="18" spans="1:29" ht="28.5">
      <c r="A18" s="532"/>
      <c r="B18" s="2591"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9"/>
      <c r="Q18" s="2579" t="str">
        <f>B18</f>
        <v>基础设施水平</v>
      </c>
      <c r="R18" s="1573" t="s">
        <v>8</v>
      </c>
      <c r="S18" s="1574">
        <f>F18</f>
        <v>100</v>
      </c>
      <c r="T18" s="1573" t="s">
        <v>8</v>
      </c>
      <c r="U18" s="1574">
        <f>H18</f>
        <v>100</v>
      </c>
      <c r="V18" s="1573" t="s">
        <v>8</v>
      </c>
      <c r="W18" s="1574">
        <f>J18</f>
        <v>100</v>
      </c>
      <c r="X18" s="2581"/>
      <c r="Y18" s="3399"/>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399"/>
      <c r="Q19" s="2579"/>
      <c r="R19" s="1573"/>
      <c r="S19" s="1574"/>
      <c r="T19" s="1573"/>
      <c r="U19" s="1574"/>
      <c r="V19" s="1573"/>
      <c r="W19" s="1574"/>
      <c r="X19" s="2581"/>
      <c r="Y19" s="3399"/>
      <c r="Z19" s="2580"/>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9"/>
      <c r="Q20" s="1572" t="str">
        <f>B20</f>
        <v>自然及人文环境</v>
      </c>
      <c r="R20" s="1573" t="s">
        <v>8</v>
      </c>
      <c r="S20" s="1574">
        <f>F20</f>
        <v>100</v>
      </c>
      <c r="T20" s="1573" t="s">
        <v>8</v>
      </c>
      <c r="U20" s="1574">
        <f>H20</f>
        <v>100</v>
      </c>
      <c r="V20" s="1573" t="s">
        <v>8</v>
      </c>
      <c r="W20" s="1574">
        <f>J20</f>
        <v>100</v>
      </c>
      <c r="X20" s="1567"/>
      <c r="Y20" s="339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99"/>
      <c r="Q21" s="1572"/>
      <c r="R21" s="1573"/>
      <c r="S21" s="1574"/>
      <c r="T21" s="1573"/>
      <c r="U21" s="1574"/>
      <c r="V21" s="1573"/>
      <c r="W21" s="1574"/>
      <c r="X21" s="1567"/>
      <c r="Y21" s="339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9"/>
      <c r="Q22" s="1572" t="str">
        <f>B22</f>
        <v>楼层</v>
      </c>
      <c r="R22" s="1573" t="s">
        <v>8</v>
      </c>
      <c r="S22" s="1574">
        <f>F22</f>
        <v>100</v>
      </c>
      <c r="T22" s="1573" t="s">
        <v>8</v>
      </c>
      <c r="U22" s="1574">
        <f>H22</f>
        <v>100</v>
      </c>
      <c r="V22" s="1573" t="s">
        <v>8</v>
      </c>
      <c r="W22" s="1574">
        <f>J22</f>
        <v>100</v>
      </c>
      <c r="X22" s="1567"/>
      <c r="Y22" s="339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9"/>
      <c r="Q23" s="1572">
        <f>B23</f>
        <v>111</v>
      </c>
      <c r="R23" s="1573" t="s">
        <v>8</v>
      </c>
      <c r="S23" s="1574">
        <f>F23</f>
        <v>100</v>
      </c>
      <c r="T23" s="1573" t="s">
        <v>8</v>
      </c>
      <c r="U23" s="1574">
        <f>H23</f>
        <v>100</v>
      </c>
      <c r="V23" s="1573" t="s">
        <v>8</v>
      </c>
      <c r="W23" s="1574">
        <f>J23</f>
        <v>100</v>
      </c>
      <c r="X23" s="1567"/>
      <c r="Y23" s="339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9"/>
      <c r="Q24" s="1572">
        <f t="shared" ref="Q24:Q34" si="11">B24</f>
        <v>111</v>
      </c>
      <c r="R24" s="1573" t="s">
        <v>8</v>
      </c>
      <c r="S24" s="1574">
        <f>F24</f>
        <v>100</v>
      </c>
      <c r="T24" s="1573" t="s">
        <v>8</v>
      </c>
      <c r="U24" s="1574">
        <f>H24</f>
        <v>100</v>
      </c>
      <c r="V24" s="1573" t="s">
        <v>8</v>
      </c>
      <c r="W24" s="1574">
        <f>J24</f>
        <v>100</v>
      </c>
      <c r="X24" s="1567"/>
      <c r="Y24" s="339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9"/>
      <c r="Q25" s="1151">
        <f t="shared" si="11"/>
        <v>111</v>
      </c>
      <c r="R25" s="1568" t="s">
        <v>8</v>
      </c>
      <c r="S25" s="1569">
        <f>F25</f>
        <v>100</v>
      </c>
      <c r="T25" s="1568" t="s">
        <v>8</v>
      </c>
      <c r="U25" s="1569">
        <f>H25</f>
        <v>100</v>
      </c>
      <c r="V25" s="1568" t="s">
        <v>8</v>
      </c>
      <c r="W25" s="1569">
        <f>J25</f>
        <v>100</v>
      </c>
      <c r="X25" s="1570"/>
      <c r="Y25" s="3399"/>
      <c r="Z25" s="1150">
        <f>Q25</f>
        <v>111</v>
      </c>
      <c r="AA25" s="1576">
        <f>D25/F25</f>
        <v>1</v>
      </c>
      <c r="AB25" s="1576">
        <f>D25/H25</f>
        <v>1</v>
      </c>
      <c r="AC25" s="1576">
        <f>D25/J25</f>
        <v>1</v>
      </c>
    </row>
    <row r="26" spans="1:29" ht="15">
      <c r="A26" s="2907"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1"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1"/>
      <c r="Q27" s="1605" t="str">
        <f t="shared" si="11"/>
        <v>成新率</v>
      </c>
      <c r="R27" s="1577" t="s">
        <v>8</v>
      </c>
      <c r="S27" s="1578" t="e">
        <f t="shared" si="12"/>
        <v>#N/A</v>
      </c>
      <c r="T27" s="1577" t="s">
        <v>8</v>
      </c>
      <c r="U27" s="1578" t="e">
        <f t="shared" si="13"/>
        <v>#N/A</v>
      </c>
      <c r="V27" s="1577" t="s">
        <v>8</v>
      </c>
      <c r="W27" s="1578" t="e">
        <f t="shared" si="14"/>
        <v>#N/A</v>
      </c>
      <c r="X27" s="1579"/>
      <c r="Y27" s="340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1"/>
      <c r="Q28" s="1572" t="str">
        <f t="shared" si="11"/>
        <v>物业等级</v>
      </c>
      <c r="R28" s="1573" t="s">
        <v>8</v>
      </c>
      <c r="S28" s="1574">
        <f t="shared" si="12"/>
        <v>100</v>
      </c>
      <c r="T28" s="1573" t="s">
        <v>8</v>
      </c>
      <c r="U28" s="1574">
        <f t="shared" si="13"/>
        <v>100</v>
      </c>
      <c r="V28" s="1573" t="s">
        <v>8</v>
      </c>
      <c r="W28" s="1574">
        <f t="shared" si="14"/>
        <v>100</v>
      </c>
      <c r="X28" s="1567"/>
      <c r="Y28" s="3401"/>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1"/>
      <c r="Q29" s="1572" t="str">
        <f t="shared" si="11"/>
        <v>有无电梯</v>
      </c>
      <c r="R29" s="1573" t="s">
        <v>8</v>
      </c>
      <c r="S29" s="1574">
        <f t="shared" si="12"/>
        <v>100</v>
      </c>
      <c r="T29" s="1573" t="s">
        <v>8</v>
      </c>
      <c r="U29" s="1574">
        <f t="shared" si="13"/>
        <v>100</v>
      </c>
      <c r="V29" s="1573" t="s">
        <v>8</v>
      </c>
      <c r="W29" s="1574">
        <f t="shared" si="14"/>
        <v>100</v>
      </c>
      <c r="X29" s="1567"/>
      <c r="Y29" s="3401"/>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1"/>
      <c r="Q30" s="1572" t="str">
        <f t="shared" si="11"/>
        <v>建筑面积</v>
      </c>
      <c r="R30" s="1573" t="s">
        <v>8</v>
      </c>
      <c r="S30" s="1574" t="e">
        <f t="shared" si="12"/>
        <v>#N/A</v>
      </c>
      <c r="T30" s="1573" t="s">
        <v>8</v>
      </c>
      <c r="U30" s="1574" t="e">
        <f t="shared" si="13"/>
        <v>#N/A</v>
      </c>
      <c r="V30" s="1573" t="s">
        <v>8</v>
      </c>
      <c r="W30" s="1574" t="e">
        <f t="shared" si="14"/>
        <v>#N/A</v>
      </c>
      <c r="X30" s="1567"/>
      <c r="Y30" s="3401"/>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1"/>
      <c r="Q31" s="1151" t="str">
        <f t="shared" si="11"/>
        <v>是否封闭</v>
      </c>
      <c r="R31" s="1568" t="s">
        <v>8</v>
      </c>
      <c r="S31" s="1569">
        <f t="shared" si="12"/>
        <v>100</v>
      </c>
      <c r="T31" s="1568" t="s">
        <v>8</v>
      </c>
      <c r="U31" s="1569">
        <f t="shared" si="13"/>
        <v>100</v>
      </c>
      <c r="V31" s="1568" t="s">
        <v>8</v>
      </c>
      <c r="W31" s="1569">
        <f t="shared" si="14"/>
        <v>100</v>
      </c>
      <c r="X31" s="1570"/>
      <c r="Y31" s="340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1" t="s">
        <v>550</v>
      </c>
      <c r="Q32" s="1572">
        <f t="shared" si="11"/>
        <v>111</v>
      </c>
      <c r="R32" s="1573" t="s">
        <v>8</v>
      </c>
      <c r="S32" s="1574">
        <f t="shared" si="12"/>
        <v>100</v>
      </c>
      <c r="T32" s="1573" t="s">
        <v>8</v>
      </c>
      <c r="U32" s="1574">
        <f t="shared" si="13"/>
        <v>100</v>
      </c>
      <c r="V32" s="1573" t="s">
        <v>8</v>
      </c>
      <c r="W32" s="1574">
        <f t="shared" si="14"/>
        <v>100</v>
      </c>
      <c r="X32" s="1567"/>
      <c r="Y32" s="3401"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1"/>
      <c r="Q33" s="1572">
        <f t="shared" si="11"/>
        <v>111</v>
      </c>
      <c r="R33" s="1573" t="s">
        <v>8</v>
      </c>
      <c r="S33" s="1574">
        <f t="shared" si="12"/>
        <v>100</v>
      </c>
      <c r="T33" s="1573" t="s">
        <v>8</v>
      </c>
      <c r="U33" s="1574">
        <f t="shared" si="13"/>
        <v>100</v>
      </c>
      <c r="V33" s="1573" t="s">
        <v>8</v>
      </c>
      <c r="W33" s="1574">
        <f t="shared" si="14"/>
        <v>100</v>
      </c>
      <c r="X33" s="1567"/>
      <c r="Y33" s="340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1"/>
      <c r="Q34" s="1572">
        <f t="shared" si="11"/>
        <v>111</v>
      </c>
      <c r="R34" s="1573" t="s">
        <v>8</v>
      </c>
      <c r="S34" s="1574">
        <f t="shared" si="12"/>
        <v>100</v>
      </c>
      <c r="T34" s="1573" t="s">
        <v>8</v>
      </c>
      <c r="U34" s="1574">
        <f t="shared" si="13"/>
        <v>100</v>
      </c>
      <c r="V34" s="1573" t="s">
        <v>8</v>
      </c>
      <c r="W34" s="1574">
        <f t="shared" si="14"/>
        <v>100</v>
      </c>
      <c r="X34" s="1567"/>
      <c r="Y34" s="3401"/>
      <c r="Z34" s="1575">
        <f t="shared" si="15"/>
        <v>111</v>
      </c>
      <c r="AA34" s="1576">
        <f t="shared" si="3"/>
        <v>1</v>
      </c>
      <c r="AB34" s="1576">
        <f t="shared" si="4"/>
        <v>1</v>
      </c>
      <c r="AC34" s="1576">
        <f t="shared" si="5"/>
        <v>1</v>
      </c>
    </row>
    <row r="35" spans="1:29" ht="15">
      <c r="A35" s="607" t="s">
        <v>736</v>
      </c>
      <c r="B35" s="887"/>
      <c r="C35" s="2627" t="s">
        <v>1</v>
      </c>
      <c r="D35" s="2628"/>
      <c r="E35" s="2629"/>
      <c r="F35" s="2630"/>
      <c r="G35" s="2631"/>
      <c r="H35" s="2632"/>
      <c r="I35" s="2629"/>
      <c r="J35" s="2632"/>
      <c r="K35" s="1611"/>
      <c r="L35" s="2144"/>
      <c r="M35" s="2145"/>
      <c r="N35" s="2134"/>
      <c r="O35" s="2145"/>
      <c r="P35" s="3396" t="str">
        <f>A35</f>
        <v>成交单价（元/平方米）</v>
      </c>
      <c r="Q35" s="3396"/>
      <c r="R35" s="3496">
        <f>E35</f>
        <v>0</v>
      </c>
      <c r="S35" s="3496"/>
      <c r="T35" s="3496">
        <f>G35</f>
        <v>0</v>
      </c>
      <c r="U35" s="3496"/>
      <c r="V35" s="3496">
        <f>I35</f>
        <v>0</v>
      </c>
      <c r="W35" s="3496"/>
      <c r="X35" s="1559"/>
      <c r="Y35" s="1581"/>
      <c r="Z35" s="1559"/>
      <c r="AA35" s="1559"/>
      <c r="AB35" s="1559"/>
      <c r="AC35" s="1559"/>
    </row>
    <row r="36" spans="1:29" ht="15.75" thickBot="1">
      <c r="A36" s="615" t="s">
        <v>2759</v>
      </c>
      <c r="B36" s="888"/>
      <c r="C36" s="2633" t="e">
        <f>R37</f>
        <v>#DIV/0!</v>
      </c>
      <c r="D36" s="2634"/>
      <c r="E36" s="2635" t="e">
        <f>R36</f>
        <v>#DIV/0!</v>
      </c>
      <c r="F36" s="2635"/>
      <c r="G36" s="2633" t="e">
        <f>T36</f>
        <v>#DIV/0!</v>
      </c>
      <c r="H36" s="2634"/>
      <c r="I36" s="2635" t="e">
        <f>V36</f>
        <v>#DIV/0!</v>
      </c>
      <c r="J36" s="2634"/>
      <c r="K36" s="1612"/>
      <c r="L36" s="2144"/>
      <c r="M36" s="2145"/>
      <c r="N36" s="2134"/>
      <c r="O36" s="2145"/>
      <c r="P36" s="3396" t="str">
        <f>A36</f>
        <v>比较价格（元/平方米）</v>
      </c>
      <c r="Q36" s="3396"/>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59"/>
      <c r="Y36" s="1559"/>
      <c r="Z36" s="1559"/>
      <c r="AA36" s="1559"/>
      <c r="AB36" s="1559"/>
      <c r="AC36" s="1559"/>
    </row>
    <row r="37" spans="1:29" ht="15.75" thickBot="1">
      <c r="A37" s="621" t="s">
        <v>2933</v>
      </c>
      <c r="B37" s="622"/>
      <c r="C37" s="2636" t="e">
        <f>R37</f>
        <v>#DIV/0!</v>
      </c>
      <c r="D37" s="2636"/>
      <c r="E37" s="2636"/>
      <c r="F37" s="2636"/>
      <c r="G37" s="2636"/>
      <c r="H37" s="2636"/>
      <c r="I37" s="2636"/>
      <c r="J37" s="2636"/>
      <c r="K37" s="1613"/>
      <c r="L37" s="2144"/>
      <c r="M37" s="2145"/>
      <c r="N37" s="2145"/>
      <c r="O37" s="2145"/>
      <c r="P37" s="3417" t="str">
        <f>A37</f>
        <v>估价对象XX用房的比较价格（楼面单价，元/平方米）</v>
      </c>
      <c r="Q37" s="3418"/>
      <c r="R37" s="3495" t="e">
        <f>IF(F1="售价",ROUND(AVERAGE(R36:V36),0),ROUND(AVERAGE(R36:V36),1))</f>
        <v>#DIV/0!</v>
      </c>
      <c r="S37" s="3495"/>
      <c r="T37" s="3495"/>
      <c r="U37" s="3495"/>
      <c r="V37" s="3495"/>
      <c r="W37" s="3495"/>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2019-5</v>
      </c>
      <c r="D46" s="2804">
        <f>EDATE(C46,-1)</f>
        <v>43556</v>
      </c>
      <c r="E46" s="2804">
        <f t="shared" ref="E46:O46" si="16">EDATE(D46,-1)</f>
        <v>43525</v>
      </c>
      <c r="F46" s="2804">
        <f t="shared" si="16"/>
        <v>43497</v>
      </c>
      <c r="G46" s="2804">
        <f t="shared" si="16"/>
        <v>43466</v>
      </c>
      <c r="H46" s="2804">
        <f t="shared" si="16"/>
        <v>43435</v>
      </c>
      <c r="I46" s="2804">
        <f t="shared" si="16"/>
        <v>43405</v>
      </c>
      <c r="J46" s="2804">
        <f t="shared" si="16"/>
        <v>43374</v>
      </c>
      <c r="K46" s="2804">
        <f t="shared" si="16"/>
        <v>43344</v>
      </c>
      <c r="L46" s="2804">
        <f t="shared" si="16"/>
        <v>43313</v>
      </c>
      <c r="M46" s="2804">
        <f t="shared" si="16"/>
        <v>43282</v>
      </c>
      <c r="N46" s="2804">
        <f t="shared" si="16"/>
        <v>43252</v>
      </c>
      <c r="O46" s="2804">
        <f t="shared" si="16"/>
        <v>43221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2557</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2558</v>
      </c>
      <c r="C65" s="2598" t="s">
        <v>2559</v>
      </c>
      <c r="D65" s="2598" t="s">
        <v>2560</v>
      </c>
      <c r="E65" s="2598" t="s">
        <v>2561</v>
      </c>
      <c r="F65" s="2598" t="s">
        <v>2562</v>
      </c>
      <c r="G65" s="2598" t="s">
        <v>2563</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2305</v>
      </c>
      <c r="C1" s="3505" t="s">
        <v>2306</v>
      </c>
      <c r="D1" s="3506"/>
      <c r="E1" s="3506"/>
      <c r="F1" s="3506"/>
      <c r="G1" s="3506"/>
      <c r="H1" s="3506"/>
      <c r="I1" s="3506"/>
      <c r="J1" s="3506"/>
      <c r="K1" s="3506"/>
      <c r="L1" s="3506"/>
      <c r="M1" s="3506"/>
      <c r="N1" s="3506"/>
      <c r="O1" s="3506"/>
      <c r="P1" s="3506"/>
      <c r="Q1" s="3506"/>
      <c r="R1" s="3506"/>
      <c r="S1" s="3507"/>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2926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2925</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2924</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2939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2787</v>
      </c>
      <c r="C1" s="3004">
        <f>项目基本情况!D3</f>
        <v>43606</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2818</v>
      </c>
      <c r="C2" s="3005">
        <f>'数据-取费表'!B22</f>
        <v>2</v>
      </c>
      <c r="D2" s="3000" t="s">
        <v>2788</v>
      </c>
      <c r="E2" s="3003">
        <f ca="1">INDIRECT("I"&amp;$I$1)/100</f>
        <v>4.7500000000000001E-2</v>
      </c>
      <c r="G2" s="2940"/>
      <c r="H2" s="2940"/>
      <c r="I2" s="2940" t="s">
        <v>2789</v>
      </c>
      <c r="K2" s="2940"/>
      <c r="L2" s="2940"/>
      <c r="M2" s="2940"/>
      <c r="N2" s="2940" t="s">
        <v>2790</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2820</v>
      </c>
      <c r="C3" s="3002">
        <f>'数据-取费表'!B19</f>
        <v>0</v>
      </c>
      <c r="D3" s="3000" t="s">
        <v>2788</v>
      </c>
      <c r="E3" s="3003">
        <f ca="1">INDIRECT("J"&amp;$J$1)/100</f>
        <v>0</v>
      </c>
      <c r="G3" s="2942" t="s">
        <v>2791</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2819</v>
      </c>
      <c r="C4" s="3003">
        <f ca="1">N4/100</f>
        <v>1.4999999999999999E-2</v>
      </c>
      <c r="G4" s="2948" t="s">
        <v>2792</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2793</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2794</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2795</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2796</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2797</v>
      </c>
      <c r="C10" s="2967"/>
      <c r="D10" s="2967"/>
      <c r="E10" s="2967"/>
      <c r="F10" s="2967"/>
      <c r="G10" s="2967"/>
      <c r="H10" s="2967"/>
      <c r="I10" s="2941"/>
      <c r="J10" s="2941"/>
      <c r="K10" s="2967"/>
      <c r="L10" s="2968" t="s">
        <v>2798</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2799</v>
      </c>
      <c r="C11" s="2972" t="s">
        <v>2800</v>
      </c>
      <c r="D11" s="2973" t="s">
        <v>2801</v>
      </c>
      <c r="E11" s="2974"/>
      <c r="F11" s="2973" t="s">
        <v>2802</v>
      </c>
      <c r="G11" s="2975"/>
      <c r="H11" s="2974"/>
      <c r="I11" s="2973" t="s">
        <v>2803</v>
      </c>
      <c r="J11" s="2974"/>
      <c r="K11" s="2970"/>
      <c r="L11" s="2971" t="s">
        <v>2799</v>
      </c>
      <c r="M11" s="2972" t="s">
        <v>2800</v>
      </c>
      <c r="N11" s="2971" t="s">
        <v>2804</v>
      </c>
      <c r="O11" s="2973" t="s">
        <v>2805</v>
      </c>
      <c r="P11" s="2975"/>
      <c r="Q11" s="2975"/>
      <c r="R11" s="2975"/>
      <c r="S11" s="2975"/>
      <c r="T11" s="2974"/>
      <c r="U11" s="2973" t="s">
        <v>2806</v>
      </c>
      <c r="V11" s="2975"/>
      <c r="W11" s="2974"/>
      <c r="X11" s="2971" t="s">
        <v>2807</v>
      </c>
      <c r="Y11" s="2971" t="s">
        <v>2808</v>
      </c>
      <c r="Z11" s="2971" t="s">
        <v>2809</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2810</v>
      </c>
      <c r="E12" s="2980" t="s">
        <v>2811</v>
      </c>
      <c r="F12" s="2980" t="s">
        <v>2812</v>
      </c>
      <c r="G12" s="2980" t="s">
        <v>2813</v>
      </c>
      <c r="H12" s="2980" t="s">
        <v>2795</v>
      </c>
      <c r="I12" s="2981" t="s">
        <v>2814</v>
      </c>
      <c r="J12" s="2981" t="s">
        <v>2814</v>
      </c>
      <c r="K12" s="2977"/>
      <c r="L12" s="2978"/>
      <c r="M12" s="2979"/>
      <c r="N12" s="2978"/>
      <c r="O12" s="2981" t="s">
        <v>2815</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2816</v>
      </c>
      <c r="C13" s="2985">
        <v>42301</v>
      </c>
      <c r="D13" s="2986">
        <v>4.3499999999999996</v>
      </c>
      <c r="E13" s="2986">
        <v>4.3499999999999996</v>
      </c>
      <c r="F13" s="2986">
        <v>4.75</v>
      </c>
      <c r="G13" s="2986">
        <v>4.75</v>
      </c>
      <c r="H13" s="2986">
        <v>4.9000000000000004</v>
      </c>
      <c r="I13" s="2986">
        <v>2.75</v>
      </c>
      <c r="J13" s="2986">
        <v>3.25</v>
      </c>
      <c r="K13" s="2983"/>
      <c r="L13" s="2984" t="s">
        <v>2816</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2817</v>
      </c>
      <c r="Y42" s="2990" t="s">
        <v>2817</v>
      </c>
      <c r="Z42" s="2990" t="s">
        <v>2817</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2817</v>
      </c>
      <c r="Y43" s="2990" t="s">
        <v>2817</v>
      </c>
      <c r="Z43" s="2990" t="s">
        <v>2817</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2817</v>
      </c>
      <c r="Y44" s="2990" t="s">
        <v>2817</v>
      </c>
      <c r="Z44" s="2990" t="s">
        <v>2817</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2817</v>
      </c>
      <c r="Y45" s="2990" t="s">
        <v>2817</v>
      </c>
      <c r="Z45" s="2990" t="s">
        <v>2817</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2817</v>
      </c>
      <c r="Y46" s="2990" t="s">
        <v>2817</v>
      </c>
      <c r="Z46" s="2990" t="s">
        <v>2817</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2817</v>
      </c>
      <c r="Y47" s="2990" t="s">
        <v>2817</v>
      </c>
      <c r="Z47" s="2990" t="s">
        <v>2817</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2817</v>
      </c>
      <c r="Y48" s="2990" t="s">
        <v>2817</v>
      </c>
      <c r="Z48" s="2990" t="s">
        <v>2817</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2817</v>
      </c>
      <c r="Y49" s="2990" t="s">
        <v>2817</v>
      </c>
      <c r="Z49" s="2990" t="s">
        <v>2817</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2817</v>
      </c>
      <c r="Y50" s="2990" t="s">
        <v>2817</v>
      </c>
      <c r="Z50" s="2990" t="s">
        <v>2817</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2817</v>
      </c>
      <c r="V51" s="2990" t="s">
        <v>2817</v>
      </c>
      <c r="W51" s="2990" t="s">
        <v>2817</v>
      </c>
      <c r="X51" s="2990" t="s">
        <v>2817</v>
      </c>
      <c r="Y51" s="2990" t="s">
        <v>2817</v>
      </c>
      <c r="Z51" s="2990" t="s">
        <v>2817</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2817</v>
      </c>
      <c r="J55" s="2990" t="s">
        <v>2817</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O36" sqref="O36"/>
    </sheetView>
  </sheetViews>
  <sheetFormatPr defaultRowHeight="13.5"/>
  <cols>
    <col min="1" max="16384" width="9" style="3186"/>
  </cols>
  <sheetData>
    <row r="1" spans="1:9">
      <c r="A1" s="3508" t="s">
        <v>3141</v>
      </c>
      <c r="B1" s="3508"/>
      <c r="C1" s="3508"/>
      <c r="D1" s="3508"/>
      <c r="F1" s="3508" t="s">
        <v>3142</v>
      </c>
      <c r="G1" s="3508"/>
      <c r="H1" s="3508"/>
      <c r="I1" s="3508"/>
    </row>
    <row r="2" spans="1:9" ht="14.25" thickBot="1">
      <c r="A2" s="3187" t="s">
        <v>3137</v>
      </c>
      <c r="B2" s="3188" t="s">
        <v>3138</v>
      </c>
      <c r="C2" s="3188" t="s">
        <v>3139</v>
      </c>
      <c r="D2" s="3188" t="s">
        <v>3140</v>
      </c>
      <c r="F2" s="3187" t="s">
        <v>3137</v>
      </c>
      <c r="G2" s="3188" t="s">
        <v>3138</v>
      </c>
      <c r="H2" s="3188" t="s">
        <v>3139</v>
      </c>
      <c r="I2" s="3188" t="s">
        <v>3140</v>
      </c>
    </row>
    <row r="3" spans="1:9">
      <c r="A3" s="3189">
        <v>2017.3</v>
      </c>
      <c r="B3" s="3190">
        <v>9144</v>
      </c>
      <c r="C3" s="3190">
        <v>0.06</v>
      </c>
      <c r="D3" s="3191"/>
      <c r="F3" s="3189">
        <v>2017.3</v>
      </c>
      <c r="G3" s="3190">
        <v>21754</v>
      </c>
      <c r="H3" s="3190">
        <v>0.39</v>
      </c>
      <c r="I3" s="3191"/>
    </row>
    <row r="4" spans="1:9">
      <c r="A4" s="3192">
        <v>2017.4</v>
      </c>
      <c r="B4" s="3193">
        <v>9147</v>
      </c>
      <c r="C4" s="3193">
        <v>0.03</v>
      </c>
      <c r="D4" s="3194"/>
      <c r="F4" s="3192">
        <v>2017.4</v>
      </c>
      <c r="G4" s="3193">
        <v>21811</v>
      </c>
      <c r="H4" s="3193">
        <v>0.26</v>
      </c>
      <c r="I4" s="3194"/>
    </row>
    <row r="5" spans="1:9">
      <c r="A5" s="3189">
        <v>2018.1</v>
      </c>
      <c r="B5" s="3190">
        <v>9135</v>
      </c>
      <c r="C5" s="3190">
        <v>-0.13</v>
      </c>
      <c r="D5" s="3191"/>
      <c r="F5" s="3189">
        <v>2018.1</v>
      </c>
      <c r="G5" s="3190">
        <v>21847</v>
      </c>
      <c r="H5" s="3190">
        <v>0.17</v>
      </c>
      <c r="I5" s="3191"/>
    </row>
    <row r="6" spans="1:9">
      <c r="A6" s="3195">
        <v>2018.2</v>
      </c>
      <c r="B6" s="3196">
        <v>9126</v>
      </c>
      <c r="C6" s="3196">
        <v>-0.1</v>
      </c>
      <c r="D6" s="3197"/>
      <c r="F6" s="3192">
        <v>2018.2</v>
      </c>
      <c r="G6" s="3193">
        <v>21876</v>
      </c>
      <c r="H6" s="3193">
        <v>0.13</v>
      </c>
      <c r="I6" s="3194"/>
    </row>
    <row r="7" spans="1:9" ht="14.25">
      <c r="A7" s="3198">
        <v>2018.3</v>
      </c>
      <c r="B7" s="3199">
        <v>9109</v>
      </c>
      <c r="C7" s="3199">
        <v>-0.19</v>
      </c>
      <c r="F7" s="3198">
        <v>2018.3</v>
      </c>
      <c r="G7" s="3199">
        <v>21888</v>
      </c>
      <c r="H7" s="3199">
        <v>0.05</v>
      </c>
    </row>
  </sheetData>
  <mergeCells count="2">
    <mergeCell ref="A1:D1"/>
    <mergeCell ref="F1:I1"/>
  </mergeCells>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G5"/>
  <sheetViews>
    <sheetView workbookViewId="0">
      <selection activeCell="J20" sqref="J20"/>
    </sheetView>
  </sheetViews>
  <sheetFormatPr defaultRowHeight="13.5"/>
  <cols>
    <col min="4" max="4" width="26.25" bestFit="1" customWidth="1"/>
    <col min="6" max="6" width="9.5" bestFit="1" customWidth="1"/>
  </cols>
  <sheetData>
    <row r="4" spans="4:7">
      <c r="D4" s="3206" t="s">
        <v>3153</v>
      </c>
      <c r="E4">
        <v>32000</v>
      </c>
      <c r="F4" s="3207">
        <v>56254</v>
      </c>
      <c r="G4" s="3206" t="s">
        <v>3155</v>
      </c>
    </row>
    <row r="5" spans="4:7">
      <c r="D5" s="3206" t="s">
        <v>3154</v>
      </c>
      <c r="E5">
        <v>14580.7</v>
      </c>
      <c r="F5" s="3207">
        <v>56254</v>
      </c>
      <c r="G5" s="3206" t="s">
        <v>3155</v>
      </c>
    </row>
  </sheetData>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workbookViewId="0">
      <selection activeCell="J31" sqref="J31"/>
    </sheetView>
  </sheetViews>
  <sheetFormatPr defaultRowHeight="12"/>
  <cols>
    <col min="1" max="1" width="9" style="3209" customWidth="1"/>
    <col min="2" max="2" width="6.375" style="3209" bestFit="1" customWidth="1"/>
    <col min="3" max="3" width="8" style="3209" bestFit="1" customWidth="1"/>
    <col min="4" max="4" width="4.75" style="3209" bestFit="1" customWidth="1"/>
    <col min="5" max="7" width="9" style="3209"/>
    <col min="8" max="8" width="17.125" style="3209" customWidth="1"/>
    <col min="9" max="10" width="9" style="3209"/>
    <col min="11" max="11" width="9.875" style="3209" bestFit="1" customWidth="1"/>
    <col min="12" max="13" width="9" style="3209"/>
    <col min="14" max="14" width="22.5" style="3209" customWidth="1"/>
    <col min="15" max="16" width="9" style="3209"/>
    <col min="17" max="17" width="15.125" style="3209" customWidth="1"/>
    <col min="18" max="16384" width="9" style="3209"/>
  </cols>
  <sheetData>
    <row r="1" spans="1:20" ht="15" customHeight="1">
      <c r="A1" s="3208" t="s">
        <v>3018</v>
      </c>
      <c r="B1" s="3208" t="s">
        <v>3019</v>
      </c>
      <c r="C1" s="3208" t="s">
        <v>3020</v>
      </c>
      <c r="D1" s="3208" t="s">
        <v>3021</v>
      </c>
      <c r="E1" s="3208" t="s">
        <v>3022</v>
      </c>
      <c r="F1" s="3208" t="s">
        <v>3158</v>
      </c>
      <c r="G1" s="3208" t="s">
        <v>3023</v>
      </c>
      <c r="H1" s="3208" t="s">
        <v>3024</v>
      </c>
      <c r="I1" s="3208" t="s">
        <v>3025</v>
      </c>
      <c r="J1" s="3208" t="s">
        <v>3026</v>
      </c>
      <c r="K1" s="3208" t="s">
        <v>2034</v>
      </c>
      <c r="L1" s="3208" t="s">
        <v>3027</v>
      </c>
      <c r="M1" s="3208" t="s">
        <v>3028</v>
      </c>
      <c r="N1" s="3208" t="s">
        <v>3029</v>
      </c>
      <c r="O1" s="3208" t="s">
        <v>3030</v>
      </c>
      <c r="P1" s="3208" t="s">
        <v>3031</v>
      </c>
      <c r="Q1" s="3208" t="s">
        <v>3032</v>
      </c>
      <c r="R1" s="3208" t="s">
        <v>3033</v>
      </c>
      <c r="S1" s="3208" t="s">
        <v>3034</v>
      </c>
      <c r="T1" s="3208" t="s">
        <v>3159</v>
      </c>
    </row>
    <row r="2" spans="1:20" ht="15" customHeight="1">
      <c r="A2" s="3208" t="s">
        <v>3160</v>
      </c>
      <c r="B2" s="3208" t="s">
        <v>3036</v>
      </c>
      <c r="C2" s="3208" t="s">
        <v>3161</v>
      </c>
      <c r="D2" s="3208" t="s">
        <v>2817</v>
      </c>
      <c r="E2" s="3208" t="s">
        <v>3160</v>
      </c>
      <c r="F2" s="3208" t="s">
        <v>3162</v>
      </c>
      <c r="G2" s="3208" t="s">
        <v>3163</v>
      </c>
      <c r="H2" s="3208" t="s">
        <v>3164</v>
      </c>
      <c r="I2" s="3208">
        <v>64779</v>
      </c>
      <c r="J2" s="3208">
        <v>129558</v>
      </c>
      <c r="K2" s="3208" t="s">
        <v>3052</v>
      </c>
      <c r="L2" s="3208" t="s">
        <v>3165</v>
      </c>
      <c r="M2" s="3208" t="s">
        <v>3166</v>
      </c>
      <c r="N2" s="3208" t="s">
        <v>3088</v>
      </c>
      <c r="O2" s="3208">
        <v>25850</v>
      </c>
      <c r="P2" s="3208">
        <v>266.02999999999997</v>
      </c>
      <c r="Q2" s="3208">
        <v>1995.25</v>
      </c>
      <c r="R2" s="3208">
        <v>29.83</v>
      </c>
      <c r="S2" s="3208" t="s">
        <v>3167</v>
      </c>
      <c r="T2" s="3208" t="s">
        <v>3168</v>
      </c>
    </row>
    <row r="3" spans="1:20" ht="15" customHeight="1">
      <c r="A3" s="3208" t="s">
        <v>3169</v>
      </c>
      <c r="B3" s="3208" t="s">
        <v>3036</v>
      </c>
      <c r="C3" s="3208" t="s">
        <v>3161</v>
      </c>
      <c r="D3" s="3208" t="s">
        <v>2817</v>
      </c>
      <c r="E3" s="3208" t="s">
        <v>3169</v>
      </c>
      <c r="F3" s="3208" t="s">
        <v>3162</v>
      </c>
      <c r="G3" s="3208" t="s">
        <v>3170</v>
      </c>
      <c r="H3" s="3208" t="s">
        <v>3164</v>
      </c>
      <c r="I3" s="3208">
        <v>36794</v>
      </c>
      <c r="J3" s="3208">
        <v>73588</v>
      </c>
      <c r="K3" s="3208" t="s">
        <v>3171</v>
      </c>
      <c r="L3" s="3208" t="s">
        <v>3165</v>
      </c>
      <c r="M3" s="3208" t="s">
        <v>3172</v>
      </c>
      <c r="N3" s="3208" t="s">
        <v>3173</v>
      </c>
      <c r="O3" s="3208">
        <v>12690</v>
      </c>
      <c r="P3" s="3208">
        <v>229.93</v>
      </c>
      <c r="Q3" s="3208">
        <v>1724.47</v>
      </c>
      <c r="R3" s="3208">
        <v>0</v>
      </c>
      <c r="S3" s="3208" t="s">
        <v>3167</v>
      </c>
      <c r="T3" s="3208" t="s">
        <v>3174</v>
      </c>
    </row>
    <row r="4" spans="1:20" ht="15" customHeight="1">
      <c r="A4" s="3208" t="s">
        <v>3175</v>
      </c>
      <c r="B4" s="3208" t="s">
        <v>3036</v>
      </c>
      <c r="C4" s="3208" t="s">
        <v>3161</v>
      </c>
      <c r="D4" s="3208" t="s">
        <v>2817</v>
      </c>
      <c r="E4" s="3208" t="s">
        <v>3175</v>
      </c>
      <c r="F4" s="3208" t="s">
        <v>3162</v>
      </c>
      <c r="G4" s="3208" t="s">
        <v>3176</v>
      </c>
      <c r="H4" s="3208" t="s">
        <v>3164</v>
      </c>
      <c r="I4" s="3208">
        <v>43859</v>
      </c>
      <c r="J4" s="3208">
        <v>87718</v>
      </c>
      <c r="K4" s="3208" t="s">
        <v>3171</v>
      </c>
      <c r="L4" s="3208" t="s">
        <v>3165</v>
      </c>
      <c r="M4" s="3208" t="s">
        <v>3177</v>
      </c>
      <c r="N4" s="3208" t="s">
        <v>3173</v>
      </c>
      <c r="O4" s="3208">
        <v>15130</v>
      </c>
      <c r="P4" s="3208">
        <v>229.98</v>
      </c>
      <c r="Q4" s="3208">
        <v>1724.84</v>
      </c>
      <c r="R4" s="3208">
        <v>0</v>
      </c>
      <c r="S4" s="3208" t="s">
        <v>3167</v>
      </c>
      <c r="T4" s="3208" t="s">
        <v>3174</v>
      </c>
    </row>
    <row r="5" spans="1:20" ht="15" customHeight="1">
      <c r="A5" s="3208" t="s">
        <v>3178</v>
      </c>
      <c r="B5" s="3208" t="s">
        <v>3036</v>
      </c>
      <c r="C5" s="3208" t="s">
        <v>3161</v>
      </c>
      <c r="D5" s="3208" t="s">
        <v>2817</v>
      </c>
      <c r="E5" s="3208" t="s">
        <v>3178</v>
      </c>
      <c r="F5" s="3208" t="s">
        <v>3162</v>
      </c>
      <c r="G5" s="3208" t="s">
        <v>3179</v>
      </c>
      <c r="H5" s="3208" t="s">
        <v>3164</v>
      </c>
      <c r="I5" s="3208">
        <v>43581</v>
      </c>
      <c r="J5" s="3208">
        <v>87162</v>
      </c>
      <c r="K5" s="3208" t="s">
        <v>3171</v>
      </c>
      <c r="L5" s="3208" t="s">
        <v>3165</v>
      </c>
      <c r="M5" s="3208" t="s">
        <v>3180</v>
      </c>
      <c r="N5" s="3208" t="s">
        <v>3173</v>
      </c>
      <c r="O5" s="3208">
        <v>13730</v>
      </c>
      <c r="P5" s="3208">
        <v>210.03</v>
      </c>
      <c r="Q5" s="3208">
        <v>1575.23</v>
      </c>
      <c r="R5" s="3208">
        <v>0</v>
      </c>
      <c r="S5" s="3208" t="s">
        <v>3167</v>
      </c>
      <c r="T5" s="3208" t="s">
        <v>3168</v>
      </c>
    </row>
    <row r="6" spans="1:20" ht="15" customHeight="1">
      <c r="A6" s="3208" t="s">
        <v>3181</v>
      </c>
      <c r="B6" s="3208" t="s">
        <v>3036</v>
      </c>
      <c r="C6" s="3208" t="s">
        <v>3161</v>
      </c>
      <c r="D6" s="3208" t="s">
        <v>2817</v>
      </c>
      <c r="E6" s="3208" t="s">
        <v>3181</v>
      </c>
      <c r="F6" s="3208" t="s">
        <v>3162</v>
      </c>
      <c r="G6" s="3208" t="s">
        <v>3182</v>
      </c>
      <c r="H6" s="3208" t="s">
        <v>3164</v>
      </c>
      <c r="I6" s="3208">
        <v>66667</v>
      </c>
      <c r="J6" s="3208">
        <v>133334</v>
      </c>
      <c r="K6" s="3208" t="s">
        <v>3171</v>
      </c>
      <c r="L6" s="3208" t="s">
        <v>3165</v>
      </c>
      <c r="M6" s="3208" t="s">
        <v>3183</v>
      </c>
      <c r="N6" s="3208" t="s">
        <v>2988</v>
      </c>
      <c r="O6" s="3208">
        <v>28600</v>
      </c>
      <c r="P6" s="3208">
        <v>286</v>
      </c>
      <c r="Q6" s="3208">
        <v>2144.98</v>
      </c>
      <c r="R6" s="3208">
        <v>30</v>
      </c>
      <c r="S6" s="3208" t="s">
        <v>3167</v>
      </c>
      <c r="T6" s="3208" t="s">
        <v>3168</v>
      </c>
    </row>
    <row r="7" spans="1:20" ht="15" customHeight="1">
      <c r="A7" s="3208" t="s">
        <v>3184</v>
      </c>
      <c r="B7" s="3208" t="s">
        <v>3036</v>
      </c>
      <c r="C7" s="3208" t="s">
        <v>3161</v>
      </c>
      <c r="D7" s="3208" t="s">
        <v>2817</v>
      </c>
      <c r="E7" s="3208" t="s">
        <v>3184</v>
      </c>
      <c r="F7" s="3208" t="s">
        <v>3162</v>
      </c>
      <c r="G7" s="3208" t="s">
        <v>3185</v>
      </c>
      <c r="H7" s="3208" t="s">
        <v>3164</v>
      </c>
      <c r="I7" s="3208">
        <v>4505.82</v>
      </c>
      <c r="J7" s="3208">
        <v>15319.79</v>
      </c>
      <c r="K7" s="3208" t="s">
        <v>3186</v>
      </c>
      <c r="L7" s="3208" t="s">
        <v>3187</v>
      </c>
      <c r="M7" s="3208" t="s">
        <v>3188</v>
      </c>
      <c r="N7" s="3208" t="s">
        <v>3189</v>
      </c>
      <c r="O7" s="3208">
        <v>600</v>
      </c>
      <c r="P7" s="3208">
        <v>88.77</v>
      </c>
      <c r="Q7" s="3208">
        <v>391.64</v>
      </c>
      <c r="R7" s="3208">
        <v>39.53</v>
      </c>
      <c r="S7" s="3208" t="s">
        <v>3167</v>
      </c>
      <c r="T7" s="3208" t="s">
        <v>3174</v>
      </c>
    </row>
    <row r="8" spans="1:20" ht="15" customHeight="1">
      <c r="A8" s="3208" t="s">
        <v>3190</v>
      </c>
      <c r="B8" s="3208" t="s">
        <v>3036</v>
      </c>
      <c r="C8" s="3208" t="s">
        <v>3161</v>
      </c>
      <c r="D8" s="3208" t="s">
        <v>2817</v>
      </c>
      <c r="E8" s="3208" t="s">
        <v>3190</v>
      </c>
      <c r="F8" s="3208" t="s">
        <v>3162</v>
      </c>
      <c r="G8" s="3208" t="s">
        <v>3191</v>
      </c>
      <c r="H8" s="3208" t="s">
        <v>3164</v>
      </c>
      <c r="I8" s="3208">
        <v>20584.7</v>
      </c>
      <c r="J8" s="3208">
        <v>41169.4</v>
      </c>
      <c r="K8" s="3208" t="s">
        <v>3052</v>
      </c>
      <c r="L8" s="3208" t="s">
        <v>3187</v>
      </c>
      <c r="M8" s="3208" t="s">
        <v>3192</v>
      </c>
      <c r="N8" s="3208" t="s">
        <v>3189</v>
      </c>
      <c r="O8" s="3208">
        <v>3500</v>
      </c>
      <c r="P8" s="3208">
        <v>113.35</v>
      </c>
      <c r="Q8" s="3208">
        <v>850.14</v>
      </c>
      <c r="R8" s="3208">
        <v>40</v>
      </c>
      <c r="S8" s="3208" t="s">
        <v>3167</v>
      </c>
      <c r="T8" s="3208" t="s">
        <v>3168</v>
      </c>
    </row>
    <row r="9" spans="1:20" ht="15" customHeight="1">
      <c r="A9" s="3208" t="s">
        <v>3193</v>
      </c>
      <c r="B9" s="3208" t="s">
        <v>3036</v>
      </c>
      <c r="C9" s="3208" t="s">
        <v>3161</v>
      </c>
      <c r="D9" s="3208" t="s">
        <v>2817</v>
      </c>
      <c r="E9" s="3208" t="s">
        <v>3193</v>
      </c>
      <c r="F9" s="3208" t="s">
        <v>3162</v>
      </c>
      <c r="G9" s="3208" t="s">
        <v>3194</v>
      </c>
      <c r="H9" s="3208" t="s">
        <v>3164</v>
      </c>
      <c r="I9" s="3208">
        <v>4877</v>
      </c>
      <c r="J9" s="3208">
        <v>17069.5</v>
      </c>
      <c r="K9" s="3208" t="s">
        <v>3195</v>
      </c>
      <c r="L9" s="3208" t="s">
        <v>3187</v>
      </c>
      <c r="M9" s="3208" t="s">
        <v>3196</v>
      </c>
      <c r="N9" s="3208" t="s">
        <v>3189</v>
      </c>
      <c r="O9" s="3208">
        <v>1130</v>
      </c>
      <c r="P9" s="3208">
        <v>154.47</v>
      </c>
      <c r="Q9" s="3208">
        <v>662</v>
      </c>
      <c r="R9" s="3208">
        <v>39.51</v>
      </c>
      <c r="S9" s="3208" t="s">
        <v>3167</v>
      </c>
      <c r="T9" s="3208" t="s">
        <v>3168</v>
      </c>
    </row>
    <row r="10" spans="1:20" ht="15" customHeight="1">
      <c r="A10" s="3208" t="s">
        <v>3197</v>
      </c>
      <c r="B10" s="3208" t="s">
        <v>3036</v>
      </c>
      <c r="C10" s="3208" t="s">
        <v>3161</v>
      </c>
      <c r="D10" s="3208" t="s">
        <v>2817</v>
      </c>
      <c r="E10" s="3208" t="s">
        <v>3197</v>
      </c>
      <c r="F10" s="3208" t="s">
        <v>3162</v>
      </c>
      <c r="G10" s="3208" t="s">
        <v>3198</v>
      </c>
      <c r="H10" s="3208" t="s">
        <v>3164</v>
      </c>
      <c r="I10" s="3208">
        <v>3200.2</v>
      </c>
      <c r="J10" s="3208">
        <v>7680.48</v>
      </c>
      <c r="K10" s="3208" t="s">
        <v>3199</v>
      </c>
      <c r="L10" s="3208" t="s">
        <v>3187</v>
      </c>
      <c r="M10" s="3208" t="s">
        <v>3200</v>
      </c>
      <c r="N10" s="3208" t="s">
        <v>3189</v>
      </c>
      <c r="O10" s="3208">
        <v>530</v>
      </c>
      <c r="P10" s="3208">
        <v>110.41</v>
      </c>
      <c r="Q10" s="3208">
        <v>690.05</v>
      </c>
      <c r="R10" s="3208">
        <v>39.47</v>
      </c>
      <c r="S10" s="3208" t="s">
        <v>3167</v>
      </c>
      <c r="T10" s="3208" t="s">
        <v>3168</v>
      </c>
    </row>
    <row r="11" spans="1:20" ht="15" customHeight="1">
      <c r="A11" s="3208" t="s">
        <v>3201</v>
      </c>
      <c r="B11" s="3208" t="s">
        <v>3036</v>
      </c>
      <c r="C11" s="3208" t="s">
        <v>3161</v>
      </c>
      <c r="D11" s="3208" t="s">
        <v>2817</v>
      </c>
      <c r="E11" s="3208" t="s">
        <v>3201</v>
      </c>
      <c r="F11" s="3208" t="s">
        <v>3162</v>
      </c>
      <c r="G11" s="3208" t="s">
        <v>3202</v>
      </c>
      <c r="H11" s="3208" t="s">
        <v>3164</v>
      </c>
      <c r="I11" s="3208">
        <v>20982.400000000001</v>
      </c>
      <c r="J11" s="3208">
        <v>41964.800000000003</v>
      </c>
      <c r="K11" s="3208" t="s">
        <v>3052</v>
      </c>
      <c r="L11" s="3208" t="s">
        <v>3187</v>
      </c>
      <c r="M11" s="3208" t="s">
        <v>3203</v>
      </c>
      <c r="N11" s="3208" t="s">
        <v>3189</v>
      </c>
      <c r="O11" s="3208">
        <v>3260</v>
      </c>
      <c r="P11" s="3208">
        <v>103.58</v>
      </c>
      <c r="Q11" s="3208">
        <v>776.84</v>
      </c>
      <c r="R11" s="3208">
        <v>39.909999999999997</v>
      </c>
      <c r="S11" s="3208" t="s">
        <v>3167</v>
      </c>
      <c r="T11" s="3208" t="s">
        <v>3168</v>
      </c>
    </row>
    <row r="12" spans="1:20" ht="15" customHeight="1">
      <c r="A12" s="3208" t="s">
        <v>3204</v>
      </c>
      <c r="B12" s="3208" t="s">
        <v>3036</v>
      </c>
      <c r="C12" s="3208" t="s">
        <v>3161</v>
      </c>
      <c r="D12" s="3208" t="s">
        <v>2817</v>
      </c>
      <c r="E12" s="3208" t="s">
        <v>3204</v>
      </c>
      <c r="F12" s="3208" t="s">
        <v>3162</v>
      </c>
      <c r="G12" s="3208" t="s">
        <v>3205</v>
      </c>
      <c r="H12" s="3208" t="s">
        <v>3164</v>
      </c>
      <c r="I12" s="3208">
        <v>69860</v>
      </c>
      <c r="J12" s="3208">
        <v>139720</v>
      </c>
      <c r="K12" s="3208" t="s">
        <v>3052</v>
      </c>
      <c r="L12" s="3208" t="s">
        <v>3041</v>
      </c>
      <c r="M12" s="3208" t="s">
        <v>3206</v>
      </c>
      <c r="N12" s="3208" t="s">
        <v>3207</v>
      </c>
      <c r="O12" s="3208">
        <v>29410</v>
      </c>
      <c r="P12" s="3208">
        <v>280.66000000000003</v>
      </c>
      <c r="Q12" s="3208">
        <v>2104.92</v>
      </c>
      <c r="R12" s="3208">
        <v>0.03</v>
      </c>
      <c r="S12" s="3208" t="s">
        <v>3167</v>
      </c>
      <c r="T12" s="3208" t="s">
        <v>3168</v>
      </c>
    </row>
    <row r="13" spans="1:20" ht="15" customHeight="1">
      <c r="A13" s="3208" t="s">
        <v>3208</v>
      </c>
      <c r="B13" s="3208" t="s">
        <v>3036</v>
      </c>
      <c r="C13" s="3208" t="s">
        <v>3161</v>
      </c>
      <c r="D13" s="3208" t="s">
        <v>2817</v>
      </c>
      <c r="E13" s="3208" t="s">
        <v>3208</v>
      </c>
      <c r="F13" s="3208" t="s">
        <v>3162</v>
      </c>
      <c r="G13" s="3208" t="s">
        <v>3209</v>
      </c>
      <c r="H13" s="3208" t="s">
        <v>3210</v>
      </c>
      <c r="I13" s="3208">
        <v>21622.7</v>
      </c>
      <c r="J13" s="3208">
        <v>47569.94</v>
      </c>
      <c r="K13" s="3208" t="s">
        <v>3211</v>
      </c>
      <c r="L13" s="3208" t="s">
        <v>3086</v>
      </c>
      <c r="M13" s="3208" t="s">
        <v>3212</v>
      </c>
      <c r="N13" s="3208" t="s">
        <v>3213</v>
      </c>
      <c r="O13" s="3208">
        <v>2210</v>
      </c>
      <c r="P13" s="3208">
        <v>68.14</v>
      </c>
      <c r="Q13" s="3208">
        <v>464.57</v>
      </c>
      <c r="R13" s="3208">
        <v>0.45</v>
      </c>
      <c r="S13" s="3208" t="s">
        <v>3167</v>
      </c>
      <c r="T13" s="3208" t="s">
        <v>3174</v>
      </c>
    </row>
    <row r="14" spans="1:20" ht="15" customHeight="1">
      <c r="A14" s="3208" t="s">
        <v>3214</v>
      </c>
      <c r="B14" s="3208" t="s">
        <v>3036</v>
      </c>
      <c r="C14" s="3208" t="s">
        <v>3161</v>
      </c>
      <c r="D14" s="3208" t="s">
        <v>2817</v>
      </c>
      <c r="E14" s="3208" t="s">
        <v>3214</v>
      </c>
      <c r="F14" s="3208" t="s">
        <v>3162</v>
      </c>
      <c r="G14" s="3208" t="s">
        <v>3215</v>
      </c>
      <c r="H14" s="3208" t="s">
        <v>3210</v>
      </c>
      <c r="I14" s="3208">
        <v>48174</v>
      </c>
      <c r="J14" s="3208">
        <v>96348</v>
      </c>
      <c r="K14" s="3208" t="s">
        <v>3085</v>
      </c>
      <c r="L14" s="3208" t="s">
        <v>3086</v>
      </c>
      <c r="M14" s="3208" t="s">
        <v>3216</v>
      </c>
      <c r="N14" s="3208" t="s">
        <v>3217</v>
      </c>
      <c r="O14" s="3208">
        <v>13080</v>
      </c>
      <c r="P14" s="3208">
        <v>181.01</v>
      </c>
      <c r="Q14" s="3208">
        <v>1357.57</v>
      </c>
      <c r="R14" s="3208">
        <v>26.01</v>
      </c>
      <c r="S14" s="3208" t="s">
        <v>3167</v>
      </c>
      <c r="T14" s="3208" t="s">
        <v>3168</v>
      </c>
    </row>
    <row r="15" spans="1:20" ht="15" customHeight="1">
      <c r="A15" s="3208" t="s">
        <v>3218</v>
      </c>
      <c r="B15" s="3208" t="s">
        <v>3036</v>
      </c>
      <c r="C15" s="3208" t="s">
        <v>3161</v>
      </c>
      <c r="D15" s="3208" t="s">
        <v>2817</v>
      </c>
      <c r="E15" s="3208" t="s">
        <v>3218</v>
      </c>
      <c r="F15" s="3208" t="s">
        <v>3162</v>
      </c>
      <c r="G15" s="3208" t="s">
        <v>3219</v>
      </c>
      <c r="H15" s="3208" t="s">
        <v>3210</v>
      </c>
      <c r="I15" s="3208">
        <v>29917.4</v>
      </c>
      <c r="J15" s="3208">
        <v>65818.28</v>
      </c>
      <c r="K15" s="3208" t="s">
        <v>3211</v>
      </c>
      <c r="L15" s="3208" t="s">
        <v>3086</v>
      </c>
      <c r="M15" s="3208" t="s">
        <v>3220</v>
      </c>
      <c r="N15" s="3208" t="s">
        <v>3213</v>
      </c>
      <c r="O15" s="3208">
        <v>2970</v>
      </c>
      <c r="P15" s="3208">
        <v>66.180000000000007</v>
      </c>
      <c r="Q15" s="3208">
        <v>451.24</v>
      </c>
      <c r="R15" s="3208">
        <v>0.34</v>
      </c>
      <c r="S15" s="3208" t="s">
        <v>3167</v>
      </c>
      <c r="T15" s="3208" t="s">
        <v>3168</v>
      </c>
    </row>
    <row r="16" spans="1:20" ht="15" customHeight="1">
      <c r="A16" s="3208" t="s">
        <v>3221</v>
      </c>
      <c r="B16" s="3208" t="s">
        <v>3036</v>
      </c>
      <c r="C16" s="3208" t="s">
        <v>3161</v>
      </c>
      <c r="D16" s="3208" t="s">
        <v>2817</v>
      </c>
      <c r="E16" s="3208" t="s">
        <v>3221</v>
      </c>
      <c r="F16" s="3208" t="s">
        <v>3162</v>
      </c>
      <c r="G16" s="3208" t="s">
        <v>3222</v>
      </c>
      <c r="H16" s="3208" t="s">
        <v>3210</v>
      </c>
      <c r="I16" s="3208">
        <v>33089</v>
      </c>
      <c r="J16" s="3208">
        <v>66178</v>
      </c>
      <c r="K16" s="3208" t="s">
        <v>3085</v>
      </c>
      <c r="L16" s="3208" t="s">
        <v>3086</v>
      </c>
      <c r="M16" s="3208" t="s">
        <v>3223</v>
      </c>
      <c r="N16" s="3208" t="s">
        <v>3088</v>
      </c>
      <c r="O16" s="3208">
        <v>10490</v>
      </c>
      <c r="P16" s="3208">
        <v>211.35</v>
      </c>
      <c r="Q16" s="3208">
        <v>1585.11</v>
      </c>
      <c r="R16" s="3208">
        <v>40.049999999999997</v>
      </c>
      <c r="S16" s="3208" t="s">
        <v>3167</v>
      </c>
      <c r="T16" s="3208" t="s">
        <v>3168</v>
      </c>
    </row>
    <row r="17" spans="1:20" ht="15" customHeight="1">
      <c r="A17" s="3208" t="s">
        <v>3224</v>
      </c>
      <c r="B17" s="3208" t="s">
        <v>3036</v>
      </c>
      <c r="C17" s="3208" t="s">
        <v>3161</v>
      </c>
      <c r="D17" s="3208" t="s">
        <v>2817</v>
      </c>
      <c r="E17" s="3208" t="s">
        <v>3224</v>
      </c>
      <c r="F17" s="3208" t="s">
        <v>3162</v>
      </c>
      <c r="G17" s="3208" t="s">
        <v>3225</v>
      </c>
      <c r="H17" s="3208" t="s">
        <v>3210</v>
      </c>
      <c r="I17" s="3208">
        <v>43731</v>
      </c>
      <c r="J17" s="3208">
        <v>87462</v>
      </c>
      <c r="K17" s="3208" t="s">
        <v>3085</v>
      </c>
      <c r="L17" s="3208" t="s">
        <v>3086</v>
      </c>
      <c r="M17" s="3208" t="s">
        <v>3226</v>
      </c>
      <c r="N17" s="3208" t="s">
        <v>3217</v>
      </c>
      <c r="O17" s="3208">
        <v>12360</v>
      </c>
      <c r="P17" s="3208">
        <v>188.42</v>
      </c>
      <c r="Q17" s="3208">
        <v>1413.19</v>
      </c>
      <c r="R17" s="3208">
        <v>27.95</v>
      </c>
      <c r="S17" s="3208" t="s">
        <v>3167</v>
      </c>
      <c r="T17" s="3208" t="s">
        <v>3168</v>
      </c>
    </row>
    <row r="18" spans="1:20" ht="15" customHeight="1">
      <c r="A18" s="3208" t="s">
        <v>3227</v>
      </c>
      <c r="B18" s="3208" t="s">
        <v>3036</v>
      </c>
      <c r="C18" s="3208" t="s">
        <v>3161</v>
      </c>
      <c r="D18" s="3208" t="s">
        <v>2817</v>
      </c>
      <c r="E18" s="3208" t="s">
        <v>3227</v>
      </c>
      <c r="F18" s="3208" t="s">
        <v>3162</v>
      </c>
      <c r="G18" s="3208" t="s">
        <v>3228</v>
      </c>
      <c r="H18" s="3208" t="s">
        <v>3210</v>
      </c>
      <c r="I18" s="3208">
        <v>40074</v>
      </c>
      <c r="J18" s="3208">
        <v>88162.8</v>
      </c>
      <c r="K18" s="3208" t="s">
        <v>3211</v>
      </c>
      <c r="L18" s="3208" t="s">
        <v>3086</v>
      </c>
      <c r="M18" s="3208" t="s">
        <v>3229</v>
      </c>
      <c r="N18" s="3208" t="s">
        <v>3213</v>
      </c>
      <c r="O18" s="3208">
        <v>3550</v>
      </c>
      <c r="P18" s="3208">
        <v>59.06</v>
      </c>
      <c r="Q18" s="3208">
        <v>402.66</v>
      </c>
      <c r="R18" s="3208">
        <v>0.28000000000000003</v>
      </c>
      <c r="S18" s="3208" t="s">
        <v>3167</v>
      </c>
      <c r="T18" s="3208" t="s">
        <v>3174</v>
      </c>
    </row>
    <row r="19" spans="1:20" ht="15" customHeight="1">
      <c r="A19" s="3208" t="s">
        <v>3230</v>
      </c>
      <c r="B19" s="3208" t="s">
        <v>3036</v>
      </c>
      <c r="C19" s="3208" t="s">
        <v>3161</v>
      </c>
      <c r="D19" s="3208" t="s">
        <v>2817</v>
      </c>
      <c r="E19" s="3208" t="s">
        <v>3230</v>
      </c>
      <c r="F19" s="3208" t="s">
        <v>3162</v>
      </c>
      <c r="G19" s="3208" t="s">
        <v>3231</v>
      </c>
      <c r="H19" s="3208" t="s">
        <v>3210</v>
      </c>
      <c r="I19" s="3208">
        <v>69850</v>
      </c>
      <c r="J19" s="3208">
        <v>139700</v>
      </c>
      <c r="K19" s="3208" t="s">
        <v>3052</v>
      </c>
      <c r="L19" s="3208" t="s">
        <v>3099</v>
      </c>
      <c r="M19" s="3208" t="s">
        <v>3232</v>
      </c>
      <c r="N19" s="3208" t="s">
        <v>3101</v>
      </c>
      <c r="O19" s="3208">
        <v>18860</v>
      </c>
      <c r="P19" s="3208">
        <v>180</v>
      </c>
      <c r="Q19" s="3208">
        <v>1350.03</v>
      </c>
      <c r="R19" s="3208">
        <v>0</v>
      </c>
      <c r="S19" s="3208" t="s">
        <v>3167</v>
      </c>
      <c r="T19" s="3208" t="s">
        <v>3168</v>
      </c>
    </row>
    <row r="20" spans="1:20" ht="15" customHeight="1">
      <c r="A20" s="3208" t="s">
        <v>3233</v>
      </c>
      <c r="B20" s="3208" t="s">
        <v>3036</v>
      </c>
      <c r="C20" s="3208" t="s">
        <v>3161</v>
      </c>
      <c r="D20" s="3208" t="s">
        <v>2817</v>
      </c>
      <c r="E20" s="3208" t="s">
        <v>3233</v>
      </c>
      <c r="F20" s="3208" t="s">
        <v>3162</v>
      </c>
      <c r="G20" s="3208">
        <v>2</v>
      </c>
      <c r="H20" s="3208" t="s">
        <v>3210</v>
      </c>
      <c r="I20" s="3208">
        <v>49116</v>
      </c>
      <c r="J20" s="3208">
        <v>108055.2</v>
      </c>
      <c r="K20" s="3208" t="s">
        <v>3234</v>
      </c>
      <c r="L20" s="3208" t="s">
        <v>3104</v>
      </c>
      <c r="M20" s="3208" t="s">
        <v>3235</v>
      </c>
      <c r="N20" s="3208" t="s">
        <v>3236</v>
      </c>
      <c r="O20" s="3208">
        <v>12100</v>
      </c>
      <c r="P20" s="3208">
        <v>164.24</v>
      </c>
      <c r="Q20" s="3208">
        <v>1119.79</v>
      </c>
      <c r="R20" s="3208">
        <v>22.59</v>
      </c>
      <c r="S20" s="3208" t="s">
        <v>3167</v>
      </c>
      <c r="T20" s="3208" t="s">
        <v>3168</v>
      </c>
    </row>
    <row r="21" spans="1:20" ht="15" customHeight="1">
      <c r="A21" s="3208" t="s">
        <v>3237</v>
      </c>
      <c r="B21" s="3208" t="s">
        <v>3036</v>
      </c>
      <c r="C21" s="3208" t="s">
        <v>3161</v>
      </c>
      <c r="D21" s="3208" t="s">
        <v>2817</v>
      </c>
      <c r="E21" s="3208" t="s">
        <v>3237</v>
      </c>
      <c r="F21" s="3208" t="s">
        <v>3162</v>
      </c>
      <c r="G21" s="3208">
        <v>1</v>
      </c>
      <c r="H21" s="3208" t="s">
        <v>3210</v>
      </c>
      <c r="I21" s="3208">
        <v>59639</v>
      </c>
      <c r="J21" s="3208">
        <v>131205.79999999999</v>
      </c>
      <c r="K21" s="3208" t="s">
        <v>3234</v>
      </c>
      <c r="L21" s="3208" t="s">
        <v>3104</v>
      </c>
      <c r="M21" s="3208" t="s">
        <v>3238</v>
      </c>
      <c r="N21" s="3208" t="s">
        <v>3239</v>
      </c>
      <c r="O21" s="3208">
        <v>13700</v>
      </c>
      <c r="P21" s="3208">
        <v>153.13999999999999</v>
      </c>
      <c r="Q21" s="3208">
        <v>1044.1600000000001</v>
      </c>
      <c r="R21" s="3208">
        <v>0</v>
      </c>
      <c r="S21" s="3208" t="s">
        <v>3167</v>
      </c>
      <c r="T21" s="3208" t="s">
        <v>3168</v>
      </c>
    </row>
    <row r="22" spans="1:20" ht="15" customHeight="1">
      <c r="A22" s="3208" t="s">
        <v>3240</v>
      </c>
      <c r="B22" s="3208" t="s">
        <v>3036</v>
      </c>
      <c r="C22" s="3208" t="s">
        <v>3161</v>
      </c>
      <c r="D22" s="3208" t="s">
        <v>2817</v>
      </c>
      <c r="E22" s="3208" t="s">
        <v>3240</v>
      </c>
      <c r="F22" s="3208" t="s">
        <v>3162</v>
      </c>
      <c r="G22" s="3208">
        <v>3</v>
      </c>
      <c r="H22" s="3208" t="s">
        <v>3164</v>
      </c>
      <c r="I22" s="3208">
        <v>14421</v>
      </c>
      <c r="J22" s="3208">
        <v>21631.5</v>
      </c>
      <c r="K22" s="3208" t="s">
        <v>3241</v>
      </c>
      <c r="L22" s="3208" t="s">
        <v>3242</v>
      </c>
      <c r="M22" s="3208" t="s">
        <v>3243</v>
      </c>
      <c r="N22" s="3208" t="s">
        <v>3173</v>
      </c>
      <c r="O22" s="3208">
        <v>1230</v>
      </c>
      <c r="P22" s="3208">
        <v>56.86</v>
      </c>
      <c r="Q22" s="3208">
        <v>568.62</v>
      </c>
      <c r="R22" s="3208">
        <v>39.770000000000003</v>
      </c>
      <c r="S22" s="3208" t="s">
        <v>3044</v>
      </c>
      <c r="T22" s="3208" t="s">
        <v>3174</v>
      </c>
    </row>
    <row r="23" spans="1:20" ht="15" customHeight="1">
      <c r="A23" s="3208" t="s">
        <v>3244</v>
      </c>
      <c r="B23" s="3208" t="s">
        <v>3036</v>
      </c>
      <c r="C23" s="3208" t="s">
        <v>3161</v>
      </c>
      <c r="D23" s="3208" t="s">
        <v>2817</v>
      </c>
      <c r="E23" s="3208" t="s">
        <v>3244</v>
      </c>
      <c r="F23" s="3208" t="s">
        <v>3162</v>
      </c>
      <c r="G23" s="3208">
        <v>2</v>
      </c>
      <c r="H23" s="3208" t="s">
        <v>3164</v>
      </c>
      <c r="I23" s="3208">
        <v>15017</v>
      </c>
      <c r="J23" s="3208">
        <v>22525.5</v>
      </c>
      <c r="K23" s="3208" t="s">
        <v>3241</v>
      </c>
      <c r="L23" s="3208" t="s">
        <v>3242</v>
      </c>
      <c r="M23" s="3208" t="s">
        <v>3245</v>
      </c>
      <c r="N23" s="3208" t="s">
        <v>3173</v>
      </c>
      <c r="O23" s="3208">
        <v>1240</v>
      </c>
      <c r="P23" s="3208">
        <v>55.05</v>
      </c>
      <c r="Q23" s="3208">
        <v>550.49</v>
      </c>
      <c r="R23" s="3208">
        <v>39.33</v>
      </c>
      <c r="S23" s="3208" t="s">
        <v>3044</v>
      </c>
      <c r="T23" s="3208" t="s">
        <v>3174</v>
      </c>
    </row>
    <row r="24" spans="1:20" ht="15" customHeight="1">
      <c r="A24" s="3208" t="s">
        <v>3246</v>
      </c>
      <c r="B24" s="3208" t="s">
        <v>3036</v>
      </c>
      <c r="C24" s="3208" t="s">
        <v>3161</v>
      </c>
      <c r="D24" s="3208" t="s">
        <v>2817</v>
      </c>
      <c r="E24" s="3208" t="s">
        <v>3246</v>
      </c>
      <c r="F24" s="3208" t="s">
        <v>3162</v>
      </c>
      <c r="G24" s="3208">
        <v>1</v>
      </c>
      <c r="H24" s="3208" t="s">
        <v>3164</v>
      </c>
      <c r="I24" s="3208">
        <v>53110</v>
      </c>
      <c r="J24" s="3208">
        <v>79665</v>
      </c>
      <c r="K24" s="3208" t="s">
        <v>3241</v>
      </c>
      <c r="L24" s="3208" t="s">
        <v>3242</v>
      </c>
      <c r="M24" s="3208" t="s">
        <v>3247</v>
      </c>
      <c r="N24" s="3208" t="s">
        <v>3173</v>
      </c>
      <c r="O24" s="3208">
        <v>4460</v>
      </c>
      <c r="P24" s="3208">
        <v>55.98</v>
      </c>
      <c r="Q24" s="3208">
        <v>559.84</v>
      </c>
      <c r="R24" s="3208">
        <v>39.81</v>
      </c>
      <c r="S24" s="3208" t="s">
        <v>3044</v>
      </c>
      <c r="T24" s="3208" t="s">
        <v>3174</v>
      </c>
    </row>
    <row r="25" spans="1:20" ht="15" customHeight="1">
      <c r="A25" s="3208" t="s">
        <v>3248</v>
      </c>
      <c r="B25" s="3208" t="s">
        <v>3036</v>
      </c>
      <c r="C25" s="3208" t="s">
        <v>3161</v>
      </c>
      <c r="D25" s="3208" t="s">
        <v>2817</v>
      </c>
      <c r="E25" s="3208" t="s">
        <v>3248</v>
      </c>
      <c r="F25" s="3208" t="s">
        <v>3162</v>
      </c>
      <c r="G25" s="3208">
        <v>4</v>
      </c>
      <c r="H25" s="3208" t="s">
        <v>3164</v>
      </c>
      <c r="I25" s="3208">
        <v>68293</v>
      </c>
      <c r="J25" s="3208">
        <v>102439.5</v>
      </c>
      <c r="K25" s="3208" t="s">
        <v>3241</v>
      </c>
      <c r="L25" s="3208" t="s">
        <v>3242</v>
      </c>
      <c r="M25" s="3208" t="s">
        <v>3249</v>
      </c>
      <c r="N25" s="3208" t="s">
        <v>3173</v>
      </c>
      <c r="O25" s="3208">
        <v>4080</v>
      </c>
      <c r="P25" s="3208">
        <v>39.83</v>
      </c>
      <c r="Q25" s="3208">
        <v>398.27</v>
      </c>
      <c r="R25" s="3208">
        <v>39.729999999999997</v>
      </c>
      <c r="S25" s="3208" t="s">
        <v>3044</v>
      </c>
      <c r="T25" s="3208" t="s">
        <v>3174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2040</v>
      </c>
      <c r="B1" s="3220"/>
      <c r="C1" s="3220"/>
      <c r="D1" s="3220"/>
      <c r="E1" s="3220"/>
      <c r="F1" s="3220"/>
      <c r="G1" s="3220"/>
      <c r="H1" s="3220"/>
      <c r="I1" s="3220"/>
      <c r="J1" s="3220"/>
      <c r="K1" s="3220"/>
      <c r="L1" s="3220"/>
      <c r="M1" s="3220"/>
      <c r="N1" s="3220"/>
      <c r="O1" s="3220"/>
      <c r="P1" s="3220"/>
      <c r="Q1" s="3220"/>
      <c r="R1" s="3220"/>
    </row>
    <row r="2" spans="1:18">
      <c r="A2" s="1807" t="s">
        <v>2042</v>
      </c>
      <c r="B2" s="1807"/>
      <c r="C2" s="1807"/>
      <c r="D2" s="1807"/>
      <c r="E2" s="1807"/>
      <c r="F2" s="1807"/>
      <c r="G2" s="1807"/>
      <c r="H2" s="1807"/>
      <c r="I2" s="1808"/>
      <c r="J2" s="1808"/>
      <c r="K2" s="1809" t="str">
        <f>"估价期日："&amp;TEXT(项目基本情况!D3,"yyyy年m月d日;;")</f>
        <v>估价期日：2019年5月21日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1" t="s">
        <v>2031</v>
      </c>
      <c r="B3" s="3221" t="s">
        <v>2730</v>
      </c>
      <c r="C3" s="3222" t="s">
        <v>2032</v>
      </c>
      <c r="D3" s="3221" t="s">
        <v>2734</v>
      </c>
      <c r="E3" s="3216" t="s">
        <v>2033</v>
      </c>
      <c r="F3" s="3216"/>
      <c r="G3" s="3216"/>
      <c r="H3" s="3216" t="s">
        <v>2034</v>
      </c>
      <c r="I3" s="3216"/>
      <c r="J3" s="3216"/>
      <c r="K3" s="3222" t="s">
        <v>2035</v>
      </c>
      <c r="L3" s="3222" t="s">
        <v>2036</v>
      </c>
      <c r="M3" s="3221" t="s">
        <v>2731</v>
      </c>
      <c r="N3" s="3223" t="str">
        <f>"（分摊）"&amp;项目基本情况!B16&amp;"国有建设用地使用权面积/㎡"</f>
        <v>（分摊）出让国有建设用地使用权面积/㎡</v>
      </c>
      <c r="O3" s="3221" t="s">
        <v>2065</v>
      </c>
      <c r="P3" s="3222" t="s">
        <v>2045</v>
      </c>
      <c r="Q3" s="3222" t="s">
        <v>2066</v>
      </c>
      <c r="R3" s="3222" t="s">
        <v>2037</v>
      </c>
    </row>
    <row r="4" spans="1:18" ht="36.75" customHeight="1">
      <c r="A4" s="3221"/>
      <c r="B4" s="3221"/>
      <c r="C4" s="3222"/>
      <c r="D4" s="3221"/>
      <c r="E4" s="2649" t="s">
        <v>2044</v>
      </c>
      <c r="F4" s="2649" t="s">
        <v>2743</v>
      </c>
      <c r="G4" s="2649" t="s">
        <v>2038</v>
      </c>
      <c r="H4" s="2649" t="s">
        <v>2039</v>
      </c>
      <c r="I4" s="2649" t="s">
        <v>2744</v>
      </c>
      <c r="J4" s="2649" t="s">
        <v>2038</v>
      </c>
      <c r="K4" s="3222"/>
      <c r="L4" s="3222"/>
      <c r="M4" s="3221"/>
      <c r="N4" s="3223"/>
      <c r="O4" s="3221"/>
      <c r="P4" s="3222"/>
      <c r="Q4" s="3222"/>
      <c r="R4" s="3222"/>
    </row>
    <row r="5" spans="1:18" ht="135" customHeight="1">
      <c r="A5" s="1943" t="s">
        <v>2654</v>
      </c>
      <c r="B5" s="2867" t="s">
        <v>2652</v>
      </c>
      <c r="C5" s="2648">
        <v>22</v>
      </c>
      <c r="D5" s="2647" t="s">
        <v>2653</v>
      </c>
      <c r="E5" s="1810" t="str">
        <f>项目基本情况!B12</f>
        <v>其他商服用地</v>
      </c>
      <c r="F5" s="2647">
        <v>258</v>
      </c>
      <c r="G5" s="1810" t="str">
        <f>项目基本情况!B13</f>
        <v>其他商服用地</v>
      </c>
      <c r="H5" s="2647">
        <v>1.5</v>
      </c>
      <c r="I5" s="2647">
        <v>1.5</v>
      </c>
      <c r="J5" s="2647">
        <v>1.5</v>
      </c>
      <c r="K5" s="1810" t="str">
        <f>"红线外"&amp;项目基本情况!T40&amp;"、宗地红线内"&amp;项目基本情况!B35</f>
        <v>红线外七通、宗地红线内场地未平整</v>
      </c>
      <c r="L5" s="1810" t="str">
        <f>"红线外"&amp;项目基本情况!T40&amp;"、宗地红线内场地"&amp;项目基本情况!D36</f>
        <v>红线外七通、宗地红线内场地平整</v>
      </c>
      <c r="M5" s="1810" t="str">
        <f>IF(项目基本情况!B16="出让",项目基本情况!D20,"——")</f>
        <v>其他商服33.92年</v>
      </c>
      <c r="N5" s="1810">
        <f>项目基本情况!C22</f>
        <v>46580.7</v>
      </c>
      <c r="O5" s="1810">
        <f>项目基本情况!C21</f>
        <v>116451.76</v>
      </c>
      <c r="P5" s="1810">
        <f ca="1">结果表!E42</f>
        <v>3829</v>
      </c>
      <c r="Q5" s="1810">
        <f ca="1">结果表!D42</f>
        <v>1532</v>
      </c>
      <c r="R5" s="1811">
        <f ca="1">结果表!C42</f>
        <v>17837</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812">
        <f ca="1">结果表!O39</f>
        <v>17837</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12" t="str">
        <f>结果表!O40</f>
        <v>——</v>
      </c>
    </row>
    <row r="8" spans="1:18">
      <c r="A8" s="3217">
        <f>IF(项目基本情况!B9="市场价格","——",项目基本情况!E9)</f>
        <v>0</v>
      </c>
      <c r="B8" s="3218"/>
      <c r="C8" s="3218"/>
      <c r="D8" s="3218"/>
      <c r="E8" s="3218"/>
      <c r="F8" s="3218"/>
      <c r="G8" s="3218"/>
      <c r="H8" s="3218"/>
      <c r="I8" s="3218"/>
      <c r="J8" s="3218"/>
      <c r="K8" s="3218"/>
      <c r="L8" s="3218"/>
      <c r="M8" s="3218"/>
      <c r="N8" s="3218"/>
      <c r="O8" s="3218"/>
      <c r="P8" s="3218"/>
      <c r="Q8" s="3219"/>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24" t="s">
        <v>2067</v>
      </c>
      <c r="B1" s="3224"/>
      <c r="C1" s="3224"/>
      <c r="D1" s="3224"/>
    </row>
    <row r="2" spans="1:4" ht="47.25" customHeight="1">
      <c r="A2" s="3228" t="str">
        <f>"1.权利限制："&amp;项目基本情况!L24&amp;"未设定租赁等其他他项权利。"</f>
        <v>1.权利限制：根据估价对象《不动产权证书》原件，截至估价期日，估价对象抵押权未见登记。未设定租赁等其他他项权利。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7" t="s">
        <v>2068</v>
      </c>
      <c r="B5" s="3227"/>
      <c r="C5" s="3227"/>
      <c r="D5" s="3227"/>
    </row>
    <row r="6" spans="1:4">
      <c r="A6" s="3224" t="s">
        <v>2046</v>
      </c>
      <c r="B6" s="3224"/>
      <c r="C6" s="3224"/>
      <c r="D6" s="3224"/>
    </row>
    <row r="7" spans="1:4" ht="33" customHeight="1">
      <c r="A7" s="3224" t="s">
        <v>2575</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7" t="s">
        <v>2070</v>
      </c>
      <c r="B12" s="3227"/>
      <c r="C12" s="3227"/>
      <c r="D12" s="3227"/>
    </row>
    <row r="13" spans="1:4">
      <c r="A13" s="3225" t="s">
        <v>2745</v>
      </c>
      <c r="B13" s="3225"/>
      <c r="C13" s="3225"/>
      <c r="D13" s="3225"/>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2701</v>
      </c>
      <c r="B17" s="3224"/>
      <c r="C17" s="3224"/>
      <c r="D17" s="3224"/>
    </row>
    <row r="18" spans="1:4">
      <c r="A18" s="3224" t="s">
        <v>2693</v>
      </c>
      <c r="B18" s="3224"/>
      <c r="C18" s="3224"/>
      <c r="D18" s="3224"/>
    </row>
    <row r="19" spans="1:4">
      <c r="A19" s="2868" t="s">
        <v>2694</v>
      </c>
      <c r="B19" s="2868" t="s">
        <v>2695</v>
      </c>
      <c r="C19" s="2868" t="s">
        <v>2696</v>
      </c>
      <c r="D19" s="2868" t="s">
        <v>2697</v>
      </c>
    </row>
    <row r="20" spans="1:4">
      <c r="A20" s="2868" t="str">
        <f>项目基本情况!B4</f>
        <v>王鹏</v>
      </c>
      <c r="B20" s="2868">
        <f ca="1">项目基本情况!C4</f>
        <v>2002110030</v>
      </c>
      <c r="C20" s="2870"/>
      <c r="D20" s="1800" t="s">
        <v>2702</v>
      </c>
    </row>
    <row r="21" spans="1:4">
      <c r="A21" s="2868" t="str">
        <f>项目基本情况!D4</f>
        <v>郑燚</v>
      </c>
      <c r="B21" s="2868">
        <f>项目基本情况!E4</f>
        <v>2014110011</v>
      </c>
      <c r="C21" s="2870"/>
      <c r="D21" s="1800" t="s">
        <v>2703</v>
      </c>
    </row>
    <row r="23" spans="1:4">
      <c r="A23" s="3224" t="s">
        <v>2698</v>
      </c>
      <c r="B23" s="3224"/>
      <c r="C23" s="3224"/>
      <c r="D23" s="3224"/>
    </row>
    <row r="24" spans="1:4">
      <c r="A24" s="2868" t="s">
        <v>2694</v>
      </c>
      <c r="B24" s="2868" t="s">
        <v>2699</v>
      </c>
      <c r="C24" s="2868" t="s">
        <v>2696</v>
      </c>
      <c r="D24" s="2868" t="s">
        <v>2697</v>
      </c>
    </row>
    <row r="25" spans="1:4">
      <c r="A25" s="2871" t="s">
        <v>2700</v>
      </c>
      <c r="B25" s="2868" t="s">
        <v>952</v>
      </c>
      <c r="C25" s="2870"/>
      <c r="D25" s="1800" t="s">
        <v>2703</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9" sqref="C9"/>
      <selection pane="bottomLeft" activeCell="C9" sqref="C9"/>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6" t="s">
        <v>53</v>
      </c>
      <c r="B15" s="3237" t="s">
        <v>846</v>
      </c>
      <c r="C15" s="3233"/>
    </row>
    <row r="16" spans="1:7" ht="14.25">
      <c r="A16" s="3236"/>
      <c r="B16" s="3234" t="s">
        <v>54</v>
      </c>
      <c r="C16" s="1172" t="s">
        <v>53</v>
      </c>
    </row>
    <row r="17" spans="1:3" ht="14.25">
      <c r="A17" s="3236"/>
      <c r="B17" s="3234"/>
      <c r="C17" s="1172" t="s">
        <v>55</v>
      </c>
    </row>
    <row r="18" spans="1:3" ht="14.25">
      <c r="A18" s="3236"/>
      <c r="B18" s="3234"/>
      <c r="C18" s="1172" t="s">
        <v>56</v>
      </c>
    </row>
    <row r="19" spans="1:3" ht="14.25">
      <c r="A19" s="3236"/>
      <c r="B19" s="3232" t="s">
        <v>57</v>
      </c>
      <c r="C19" s="3233"/>
    </row>
    <row r="20" spans="1:3" ht="14.25">
      <c r="A20" s="1173" t="s">
        <v>58</v>
      </c>
      <c r="B20" s="1174"/>
      <c r="C20" s="1175"/>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6" t="s">
        <v>837</v>
      </c>
    </row>
    <row r="25" spans="1:3" ht="14.25">
      <c r="A25" s="3235"/>
      <c r="B25" s="3239"/>
      <c r="C25" s="1176" t="s">
        <v>838</v>
      </c>
    </row>
    <row r="26" spans="1:3" ht="14.25">
      <c r="A26" s="3235"/>
      <c r="B26" s="3239"/>
      <c r="C26" s="1176" t="s">
        <v>839</v>
      </c>
    </row>
    <row r="27" spans="1:3" ht="14.25">
      <c r="A27" s="3235"/>
      <c r="B27" s="3239"/>
      <c r="C27" s="1176" t="s">
        <v>840</v>
      </c>
    </row>
    <row r="28" spans="1:3" ht="14.25">
      <c r="A28" s="3235"/>
      <c r="B28" s="3239"/>
      <c r="C28" s="1176" t="s">
        <v>841</v>
      </c>
    </row>
    <row r="29" spans="1:3" ht="14.25">
      <c r="A29" s="3235"/>
      <c r="B29" s="3239"/>
      <c r="C29" s="1176" t="s">
        <v>842</v>
      </c>
    </row>
    <row r="30" spans="1:3" ht="14.25">
      <c r="A30" s="3235"/>
      <c r="B30" s="3239"/>
      <c r="C30" s="1176" t="s">
        <v>843</v>
      </c>
    </row>
    <row r="31" spans="1:3" ht="14.25">
      <c r="A31" s="3235"/>
      <c r="B31" s="3239"/>
      <c r="C31" s="1176" t="s">
        <v>844</v>
      </c>
    </row>
    <row r="32" spans="1:3" ht="14.25">
      <c r="A32" s="3235"/>
      <c r="B32" s="3239"/>
      <c r="C32" s="1176" t="s">
        <v>1647</v>
      </c>
    </row>
    <row r="33" spans="1:3" ht="14.25">
      <c r="A33" s="3235"/>
      <c r="B33" s="3229" t="s">
        <v>1653</v>
      </c>
      <c r="C33" s="1176" t="s">
        <v>1648</v>
      </c>
    </row>
    <row r="34" spans="1:3" ht="14.25">
      <c r="A34" s="3235"/>
      <c r="B34" s="3230"/>
      <c r="C34" s="1181" t="s">
        <v>1649</v>
      </c>
    </row>
    <row r="35" spans="1:3" ht="14.25">
      <c r="A35" s="3235"/>
      <c r="B35" s="3230"/>
      <c r="C35" s="1182" t="s">
        <v>1650</v>
      </c>
    </row>
    <row r="36" spans="1:3" ht="14.25">
      <c r="A36" s="3235"/>
      <c r="B36" s="3230"/>
      <c r="C36" s="1182" t="s">
        <v>1651</v>
      </c>
    </row>
    <row r="37" spans="1:3" ht="14.25">
      <c r="A37" s="3235"/>
      <c r="B37" s="323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43607</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t="str">
        <f ca="1">IF(C10&lt;B2,"已过期",1120060040)</f>
        <v>已过期</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2977</v>
      </c>
      <c r="B12" s="2343">
        <v>1120110054</v>
      </c>
      <c r="C12" s="3006">
        <v>43937</v>
      </c>
      <c r="D12" s="2343" t="s">
        <v>2977</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2574</v>
      </c>
      <c r="B15" s="2343">
        <v>1120070085</v>
      </c>
      <c r="C15" s="3006">
        <v>43814</v>
      </c>
      <c r="D15" s="2343" t="s">
        <v>2574</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40" t="s">
        <v>1929</v>
      </c>
      <c r="B25" s="3240"/>
      <c r="C25" s="3240"/>
      <c r="D25" s="3240"/>
      <c r="E25" s="3240"/>
      <c r="F25" s="3240"/>
      <c r="G25" s="3240"/>
    </row>
    <row r="26" spans="1:7" ht="20.25" customHeight="1">
      <c r="A26" s="3241" t="s">
        <v>1930</v>
      </c>
      <c r="B26" s="3241"/>
      <c r="C26" s="3241"/>
      <c r="D26" s="3241" t="s">
        <v>1931</v>
      </c>
      <c r="E26" s="3241"/>
      <c r="F26" s="3241"/>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2545</v>
      </c>
      <c r="R1" s="2582" t="s">
        <v>2539</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3" t="s">
        <v>2955</v>
      </c>
      <c r="C18" s="1554"/>
    </row>
    <row r="19" spans="1:3">
      <c r="A19" s="8" t="s">
        <v>120</v>
      </c>
      <c r="B19" s="3113" t="s">
        <v>2963</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建湖县城市建设投资有限公司拟使用江苏省盐城市建湖县双湖路北、秀夫路两侧地块二320925100203GB00021W00000000号一宗其他商服用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42"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c r="D53" s="1767"/>
      <c r="E53" s="1767"/>
    </row>
    <row r="54" spans="1:5">
      <c r="A54" s="3242"/>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2"/>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2"/>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2"/>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选取案例（土地）</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 (2)</vt:lpstr>
      <vt:lpstr>土地使用证</vt:lpstr>
      <vt:lpstr>Sheet2</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2019-05-22T09:30:43Z</dcterms:modified>
</cp:coreProperties>
</file>