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收益法" sheetId="15" r:id="rId21"/>
    <sheet name="成本法" sheetId="68"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结果表(商业)" sheetId="82" r:id="rId29"/>
    <sheet name="比较法-商业" sheetId="33" r:id="rId30"/>
    <sheet name="比较法-工业" sheetId="37" state="hidden" r:id="rId31"/>
    <sheet name="比较法-车位" sheetId="35" state="hidden" r:id="rId32"/>
    <sheet name="比较法-仓储" sheetId="36" state="hidden" r:id="rId33"/>
    <sheet name="收益法(商业)" sheetId="83" r:id="rId34"/>
    <sheet name="土地比较法-住宅、综合" sheetId="39"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2" sheetId="81" r:id="rId49"/>
  </sheets>
  <externalReferences>
    <externalReference r:id="rId50"/>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'结果表(商业)'!$A$1:$I$127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33">'收益法(商业)'!$A$1:$F$43,'收益法(商业)'!$H$3:$M$29,'收益法(商业)'!$A$46:$F$71,'收益法(商业)'!$I$46:$N$65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B14" i="74"/>
  <c r="I47" i="33"/>
  <c r="G47" i="33"/>
  <c r="I36" i="33"/>
  <c r="G36" i="33"/>
  <c r="E36" i="33"/>
  <c r="C36" i="33"/>
  <c r="I7" i="33"/>
  <c r="G7" i="33"/>
  <c r="E7" i="33"/>
  <c r="Y6" i="1"/>
  <c r="Q72" i="83"/>
  <c r="Q59" i="83"/>
  <c r="K59" i="83"/>
  <c r="P74" i="83" s="1"/>
  <c r="Q58" i="83"/>
  <c r="Q51" i="83"/>
  <c r="J50" i="83"/>
  <c r="J51" i="83" s="1"/>
  <c r="M47" i="83"/>
  <c r="D46" i="83"/>
  <c r="F34" i="83"/>
  <c r="F62" i="83" s="1"/>
  <c r="F33" i="83"/>
  <c r="F61" i="83" s="1"/>
  <c r="F32" i="83"/>
  <c r="F60" i="83" s="1"/>
  <c r="F28" i="83"/>
  <c r="C28" i="83"/>
  <c r="F23" i="83"/>
  <c r="D24" i="83" s="1"/>
  <c r="D23" i="83"/>
  <c r="D22" i="83"/>
  <c r="F21" i="83"/>
  <c r="M20" i="83"/>
  <c r="F20" i="83"/>
  <c r="M19" i="83"/>
  <c r="M18" i="83"/>
  <c r="F18" i="83"/>
  <c r="F17" i="83"/>
  <c r="F15" i="83"/>
  <c r="G1" i="83"/>
  <c r="A126" i="82"/>
  <c r="A120" i="82"/>
  <c r="A118" i="82"/>
  <c r="H112" i="82"/>
  <c r="H111" i="82"/>
  <c r="D126" i="82" s="1"/>
  <c r="D127" i="82" s="1"/>
  <c r="E111" i="82"/>
  <c r="E109" i="82"/>
  <c r="A124" i="82" s="1"/>
  <c r="E107" i="82"/>
  <c r="A122" i="82" s="1"/>
  <c r="H106" i="82"/>
  <c r="H103" i="82" s="1"/>
  <c r="D120" i="82" s="1"/>
  <c r="H105" i="82"/>
  <c r="H104" i="82"/>
  <c r="D101" i="82"/>
  <c r="C101" i="82"/>
  <c r="D93" i="82"/>
  <c r="C91" i="82"/>
  <c r="E90" i="82"/>
  <c r="D89" i="82"/>
  <c r="C89" i="82"/>
  <c r="C87" i="82"/>
  <c r="C92" i="82" s="1"/>
  <c r="D78" i="82"/>
  <c r="H77" i="82"/>
  <c r="D77" i="82"/>
  <c r="C77" i="82"/>
  <c r="C76" i="82"/>
  <c r="C74" i="82" s="1"/>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I48" i="34"/>
  <c r="G48" i="34"/>
  <c r="I37" i="34"/>
  <c r="G37" i="34"/>
  <c r="E37" i="34"/>
  <c r="C37" i="34"/>
  <c r="I7" i="34"/>
  <c r="G7" i="34"/>
  <c r="E7" i="34"/>
  <c r="Y7" i="1"/>
  <c r="N7" i="1"/>
  <c r="N6" i="1"/>
  <c r="N19" i="1"/>
  <c r="L7" i="1"/>
  <c r="F9" i="83"/>
  <c r="D35" i="82"/>
  <c r="F7" i="83"/>
  <c r="D34" i="82"/>
  <c r="M28" i="83"/>
  <c r="C76" i="83"/>
  <c r="M22" i="83"/>
  <c r="Q71" i="83" l="1"/>
  <c r="M7" i="83"/>
  <c r="F50" i="83"/>
  <c r="P61" i="83"/>
  <c r="D121" i="82"/>
  <c r="K120" i="82"/>
  <c r="C94" i="82"/>
  <c r="H109" i="82"/>
  <c r="B21" i="1"/>
  <c r="E13" i="4"/>
  <c r="F20" i="6"/>
  <c r="F19" i="6"/>
  <c r="K13" i="3"/>
  <c r="I13" i="3"/>
  <c r="G5" i="80"/>
  <c r="G4" i="80"/>
  <c r="G3" i="80"/>
  <c r="L48" i="83"/>
  <c r="M9" i="83"/>
  <c r="F13" i="83"/>
  <c r="F16" i="83"/>
  <c r="M27" i="83"/>
  <c r="F40" i="83"/>
  <c r="M26" i="83"/>
  <c r="F42" i="83"/>
  <c r="F26" i="83"/>
  <c r="M23" i="83"/>
  <c r="F38" i="83"/>
  <c r="F8" i="83"/>
  <c r="M6" i="83"/>
  <c r="F6" i="83"/>
  <c r="F37" i="83"/>
  <c r="F43" i="83"/>
  <c r="F36" i="83"/>
  <c r="M8" i="83"/>
  <c r="L47" i="83"/>
  <c r="M29" i="83"/>
  <c r="M24" i="83"/>
  <c r="J15" i="83"/>
  <c r="F68" i="83" l="1"/>
  <c r="N59" i="83"/>
  <c r="L58" i="83"/>
  <c r="M59" i="83"/>
  <c r="L59" i="83"/>
  <c r="F64" i="83"/>
  <c r="F51" i="83"/>
  <c r="C49" i="83" s="1"/>
  <c r="C27" i="83"/>
  <c r="F71" i="83"/>
  <c r="F65" i="83"/>
  <c r="C6" i="83"/>
  <c r="F31" i="83"/>
  <c r="L57" i="83"/>
  <c r="L56" i="83"/>
  <c r="L60" i="83"/>
  <c r="J53" i="83"/>
  <c r="J57" i="83"/>
  <c r="J55" i="83" s="1"/>
  <c r="J58" i="83" s="1"/>
  <c r="Q50" i="83" s="1"/>
  <c r="I54" i="83"/>
  <c r="F66" i="83"/>
  <c r="M17" i="83"/>
  <c r="J6" i="83"/>
  <c r="D124" i="82"/>
  <c r="D125" i="82" s="1"/>
  <c r="H110" i="82"/>
  <c r="I7" i="79"/>
  <c r="C17" i="83"/>
  <c r="F59" i="83" l="1"/>
  <c r="C33" i="83"/>
  <c r="C32" i="83"/>
  <c r="C61" i="83"/>
  <c r="Q66" i="83"/>
  <c r="Q57" i="83"/>
  <c r="J18" i="83"/>
  <c r="J19" i="83"/>
  <c r="Q52" i="83"/>
  <c r="F1" i="83"/>
  <c r="Q73" i="83"/>
  <c r="Q60" i="83"/>
  <c r="Q61" i="83"/>
  <c r="Q74" i="83"/>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K1" i="12"/>
  <c r="E19" i="69"/>
  <c r="E19" i="68"/>
  <c r="E19" i="11"/>
  <c r="G22" i="68"/>
  <c r="G26" i="12"/>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8" i="76"/>
  <c r="D34" i="9"/>
  <c r="B12" i="76"/>
  <c r="B7" i="76"/>
  <c r="B13" i="76"/>
  <c r="D6" i="73"/>
  <c r="E13" i="76"/>
  <c r="E12" i="76"/>
  <c r="E7" i="76"/>
  <c r="E2" i="69"/>
  <c r="E8" i="76"/>
  <c r="E10" i="76"/>
  <c r="E2" i="68"/>
  <c r="B11" i="76"/>
  <c r="E11" i="76"/>
  <c r="D4" i="73"/>
  <c r="F7" i="73"/>
  <c r="AO13" i="1"/>
  <c r="F20" i="31"/>
  <c r="D3" i="73"/>
  <c r="D7" i="73"/>
  <c r="F6" i="73"/>
  <c r="E9" i="76"/>
  <c r="B9" i="76"/>
  <c r="B10" i="76"/>
  <c r="F3" i="73"/>
  <c r="F4" i="73"/>
  <c r="F5" i="73"/>
  <c r="D35" i="9"/>
  <c r="W33" i="33" l="1"/>
  <c r="S11" i="33"/>
  <c r="C40" i="69"/>
  <c r="C21" i="68"/>
  <c r="G22" i="69"/>
  <c r="G22" i="11"/>
  <c r="E1" i="73"/>
  <c r="F7" i="1"/>
  <c r="G7" i="1" s="1"/>
  <c r="G1" i="15"/>
  <c r="G1" i="68"/>
  <c r="K7" i="1"/>
  <c r="M7" i="1" s="1"/>
  <c r="O7" i="1" s="1"/>
  <c r="P7" i="1" s="1"/>
  <c r="G1" i="67"/>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M26" i="15"/>
  <c r="F16" i="15"/>
  <c r="C76" i="15"/>
  <c r="M29" i="15"/>
  <c r="F40" i="15"/>
  <c r="F36" i="15"/>
  <c r="F7" i="15"/>
  <c r="M29" i="67"/>
  <c r="F9" i="67"/>
  <c r="M23" i="67"/>
  <c r="L47" i="67"/>
  <c r="M6" i="67"/>
  <c r="F40" i="67"/>
  <c r="C16" i="83"/>
  <c r="F13" i="67"/>
  <c r="M9" i="67"/>
  <c r="C14" i="83"/>
  <c r="M9" i="15"/>
  <c r="L47" i="15"/>
  <c r="F9" i="15"/>
  <c r="F8" i="15"/>
  <c r="J15" i="15"/>
  <c r="F37" i="15"/>
  <c r="C76" i="67"/>
  <c r="F26" i="67"/>
  <c r="L48" i="67"/>
  <c r="F36" i="67"/>
  <c r="F38" i="67"/>
  <c r="M26" i="67"/>
  <c r="M22" i="67"/>
  <c r="F42" i="15"/>
  <c r="F13" i="15"/>
  <c r="F38" i="15"/>
  <c r="M8" i="67"/>
  <c r="F8" i="67"/>
  <c r="M22" i="15"/>
  <c r="F6" i="15"/>
  <c r="M23" i="15"/>
  <c r="L48" i="15"/>
  <c r="M8" i="15"/>
  <c r="M28" i="15"/>
  <c r="M24" i="15"/>
  <c r="F43" i="67"/>
  <c r="M24" i="67"/>
  <c r="J15" i="67"/>
  <c r="F7" i="67"/>
  <c r="F6" i="67"/>
  <c r="M28" i="67"/>
  <c r="G1" i="73"/>
  <c r="F43" i="15"/>
  <c r="M6" i="15"/>
  <c r="F26" i="15"/>
  <c r="F42" i="67"/>
  <c r="F16" i="67"/>
  <c r="F37" i="67"/>
  <c r="C18" i="83" l="1"/>
  <c r="C15" i="83"/>
  <c r="O6" i="1"/>
  <c r="M11" i="83"/>
  <c r="J10" i="83" s="1"/>
  <c r="J5" i="83" s="1"/>
  <c r="F11" i="83"/>
  <c r="Q16" i="1"/>
  <c r="F27" i="69" s="1"/>
  <c r="F45" i="69" s="1"/>
  <c r="F65" i="67"/>
  <c r="F68" i="67"/>
  <c r="F51" i="67"/>
  <c r="C6" i="67"/>
  <c r="C32" i="67" s="1"/>
  <c r="F31" i="67"/>
  <c r="F66" i="67"/>
  <c r="N59" i="67"/>
  <c r="L58" i="67"/>
  <c r="Q73" i="67" s="1"/>
  <c r="M59" i="67"/>
  <c r="L59" i="67"/>
  <c r="Q61" i="67" s="1"/>
  <c r="F50" i="67"/>
  <c r="F59" i="67" s="1"/>
  <c r="M7" i="67"/>
  <c r="J6" i="67" s="1"/>
  <c r="J18" i="67" s="1"/>
  <c r="F64" i="67"/>
  <c r="J53" i="67"/>
  <c r="F1" i="67" s="1"/>
  <c r="L56" i="67"/>
  <c r="I54" i="67"/>
  <c r="J57" i="67"/>
  <c r="J55" i="67" s="1"/>
  <c r="J58" i="67" s="1"/>
  <c r="Q50" i="67" s="1"/>
  <c r="C27" i="67"/>
  <c r="F71" i="67"/>
  <c r="Q71" i="67"/>
  <c r="M7" i="15"/>
  <c r="J6" i="15" s="1"/>
  <c r="J18" i="15" s="1"/>
  <c r="F50" i="15"/>
  <c r="F65" i="15"/>
  <c r="F66" i="15"/>
  <c r="F64" i="15"/>
  <c r="C27" i="15"/>
  <c r="F68" i="15"/>
  <c r="F51" i="15"/>
  <c r="J53" i="15"/>
  <c r="L56" i="15" s="1"/>
  <c r="I54" i="15"/>
  <c r="J57" i="15"/>
  <c r="J55" i="15" s="1"/>
  <c r="J58" i="15" s="1"/>
  <c r="Q50" i="15" s="1"/>
  <c r="Q71" i="15"/>
  <c r="L58" i="15"/>
  <c r="Q60" i="15" s="1"/>
  <c r="M59" i="15"/>
  <c r="L59" i="15"/>
  <c r="Q61" i="15" s="1"/>
  <c r="N59" i="15"/>
  <c r="C6" i="15"/>
  <c r="C32" i="15" s="1"/>
  <c r="F31" i="15"/>
  <c r="F71" i="15"/>
  <c r="G16" i="1"/>
  <c r="F10" i="39" s="1"/>
  <c r="AA10" i="39" s="1"/>
  <c r="K16" i="1"/>
  <c r="H16" i="1"/>
  <c r="P6" i="1"/>
  <c r="C13" i="12" s="1"/>
  <c r="G26" i="43"/>
  <c r="D26" i="43" s="1"/>
  <c r="C25" i="43" s="1"/>
  <c r="N94" i="46"/>
  <c r="J26" i="43"/>
  <c r="N370" i="46"/>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H10" i="40"/>
  <c r="AB10" i="40" s="1"/>
  <c r="C7" i="43"/>
  <c r="C5" i="43" s="1"/>
  <c r="D10" i="52"/>
  <c r="D125" i="9"/>
  <c r="D11" i="52" s="1"/>
  <c r="B7" i="74"/>
  <c r="F67" i="39"/>
  <c r="E69" i="39"/>
  <c r="H7" i="37"/>
  <c r="AB7" i="37" s="1"/>
  <c r="T42" i="37" s="1"/>
  <c r="G42" i="37" s="1"/>
  <c r="B40" i="1"/>
  <c r="S10" i="39"/>
  <c r="H7" i="33"/>
  <c r="J7" i="33"/>
  <c r="D65" i="40"/>
  <c r="E63" i="40"/>
  <c r="F48" i="35"/>
  <c r="S7" i="36"/>
  <c r="AA7" i="36"/>
  <c r="R36" i="36"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F27" i="68"/>
  <c r="AE8" i="1"/>
  <c r="AE12" i="1"/>
  <c r="AE10" i="1"/>
  <c r="C16" i="67"/>
  <c r="AE6" i="1"/>
  <c r="F41" i="67"/>
  <c r="C16" i="15"/>
  <c r="C19" i="83" l="1"/>
  <c r="C20" i="83" s="1"/>
  <c r="C26" i="83" s="1"/>
  <c r="C53" i="83"/>
  <c r="C48" i="83" s="1"/>
  <c r="C10" i="83"/>
  <c r="C5" i="83" s="1"/>
  <c r="L36" i="43"/>
  <c r="L37" i="43" s="1"/>
  <c r="F24" i="83"/>
  <c r="J24" i="83"/>
  <c r="J26" i="83"/>
  <c r="J5" i="15"/>
  <c r="J24" i="15" s="1"/>
  <c r="Q60" i="67"/>
  <c r="J5" i="67"/>
  <c r="J24" i="67" s="1"/>
  <c r="M17" i="67"/>
  <c r="C49" i="67"/>
  <c r="Q73" i="15"/>
  <c r="Q74" i="15"/>
  <c r="Q52" i="67"/>
  <c r="C49" i="15"/>
  <c r="Q74" i="67"/>
  <c r="F10" i="40"/>
  <c r="S10" i="40" s="1"/>
  <c r="J10" i="39"/>
  <c r="W10" i="39" s="1"/>
  <c r="Q52" i="15"/>
  <c r="M17" i="15"/>
  <c r="F59" i="15"/>
  <c r="F1" i="15"/>
  <c r="E65" i="39"/>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AE7" i="1"/>
  <c r="M27" i="67"/>
  <c r="F41" i="15"/>
  <c r="M27" i="15"/>
  <c r="I53" i="34" l="1"/>
  <c r="J53" i="34" s="1"/>
  <c r="N36" i="43"/>
  <c r="Q36" i="43"/>
  <c r="C24" i="83"/>
  <c r="C23" i="83"/>
  <c r="M36" i="43"/>
  <c r="P36" i="43"/>
  <c r="C38" i="83"/>
  <c r="O36" i="43"/>
  <c r="C66" i="83"/>
  <c r="C60" i="83"/>
  <c r="R50" i="34"/>
  <c r="E49" i="34"/>
  <c r="I54" i="34" s="1"/>
  <c r="J54" i="34" s="1"/>
  <c r="C48" i="15"/>
  <c r="C66" i="15" s="1"/>
  <c r="C48" i="67"/>
  <c r="C66"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5" i="11"/>
  <c r="C26" i="11"/>
  <c r="D22" i="11" s="1"/>
  <c r="D10" i="69"/>
  <c r="C34" i="69"/>
  <c r="D10" i="68"/>
  <c r="F41" i="83"/>
  <c r="C17" i="15"/>
  <c r="C17" i="67"/>
  <c r="C14" i="67"/>
  <c r="F69" i="83" l="1"/>
  <c r="J29" i="83"/>
  <c r="C29" i="83"/>
  <c r="Q49" i="83" s="1"/>
  <c r="E53" i="34"/>
  <c r="F53" i="34" s="1"/>
  <c r="E54" i="34"/>
  <c r="F54" i="34" s="1"/>
  <c r="C60" i="15"/>
  <c r="C60" i="67"/>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3" i="83" l="1"/>
  <c r="Q70" i="83" s="1"/>
  <c r="J14" i="83"/>
  <c r="J22" i="83" s="1"/>
  <c r="J59" i="83"/>
  <c r="J60" i="83" s="1"/>
  <c r="Q48" i="83" s="1"/>
  <c r="C57" i="83"/>
  <c r="C64" i="83" s="1"/>
  <c r="C36" i="83"/>
  <c r="J13" i="83"/>
  <c r="J23" i="8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7" i="83" l="1"/>
  <c r="C75" i="83"/>
  <c r="C56" i="83"/>
  <c r="C65" i="83" s="1"/>
  <c r="L46" i="8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83"/>
  <c r="M21" i="15"/>
  <c r="F35" i="83"/>
  <c r="F35" i="67"/>
  <c r="M21" i="67"/>
  <c r="F63" i="83" l="1"/>
  <c r="C62" i="83" s="1"/>
  <c r="C59" i="83" s="1"/>
  <c r="C58" i="83" s="1"/>
  <c r="C67" i="83" s="1"/>
  <c r="C68" i="83" s="1"/>
  <c r="C34" i="83"/>
  <c r="C31" i="83" s="1"/>
  <c r="C30" i="83" s="1"/>
  <c r="C39" i="83" s="1"/>
  <c r="J20" i="83"/>
  <c r="J17" i="83" s="1"/>
  <c r="J16" i="83" s="1"/>
  <c r="J25" i="8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Q67" i="83" l="1"/>
  <c r="C80" i="83"/>
  <c r="C79" i="83" s="1"/>
  <c r="C40" i="83"/>
  <c r="H39" i="83"/>
  <c r="Q69" i="83"/>
  <c r="Q68" i="83" s="1"/>
  <c r="C71" i="8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56" i="83" l="1"/>
  <c r="Q62" i="83" s="1"/>
  <c r="Q47" i="83"/>
  <c r="Q53" i="83" s="1"/>
  <c r="C43" i="83"/>
  <c r="Q65" i="83"/>
  <c r="Q75" i="83" s="1"/>
  <c r="C83" i="83"/>
  <c r="C82" i="83" s="1"/>
  <c r="B2" i="83"/>
  <c r="B3" i="83" s="1"/>
  <c r="C46" i="8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L51" i="15"/>
  <c r="D2" i="35"/>
  <c r="C19" i="82"/>
  <c r="D2" i="37"/>
  <c r="D2" i="34"/>
  <c r="C21" i="82" l="1"/>
  <c r="C102" i="82"/>
  <c r="B3" i="3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1" i="1"/>
  <c r="C20" i="82"/>
  <c r="AO6" i="1"/>
  <c r="C19" i="9"/>
  <c r="AO9" i="1"/>
  <c r="AO8" i="1"/>
  <c r="AO12" i="1"/>
  <c r="C103" i="82" l="1"/>
  <c r="C102" i="9"/>
  <c r="C21" i="9"/>
  <c r="B3" i="34"/>
  <c r="L46" i="15"/>
  <c r="B2" i="15"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9" i="82"/>
  <c r="C20" i="9"/>
  <c r="AO7" i="1"/>
  <c r="D21" i="82" l="1"/>
  <c r="D102" i="82"/>
  <c r="D22" i="82"/>
  <c r="G19" i="82"/>
  <c r="C103" i="9"/>
  <c r="D22" i="9"/>
  <c r="D102" i="9"/>
  <c r="G19" i="9"/>
  <c r="D21" i="9"/>
  <c r="B3" i="15"/>
  <c r="B7"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2"/>
  <c r="D20" i="9"/>
  <c r="G21" i="82" l="1"/>
  <c r="D15" i="74"/>
  <c r="G21" i="9"/>
  <c r="D14" i="74"/>
  <c r="D103" i="82"/>
  <c r="G20" i="82"/>
  <c r="C32" i="82" s="1"/>
  <c r="G20" i="9"/>
  <c r="C32" i="9" s="1"/>
  <c r="D103" i="9"/>
  <c r="C42" i="40"/>
  <c r="C43" i="40"/>
  <c r="E47" i="40"/>
  <c r="F47" i="40" s="1"/>
  <c r="E46" i="40"/>
  <c r="F46" i="40" s="1"/>
  <c r="I47" i="40"/>
  <c r="J47" i="40" s="1"/>
  <c r="E15" i="74" l="1"/>
  <c r="F15" i="74"/>
  <c r="C35" i="82"/>
  <c r="C34" i="82"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l="1"/>
  <c r="G4" i="52" s="1"/>
  <c r="B52" i="72" s="1"/>
  <c r="I118" i="9"/>
  <c r="I4" i="52" s="1"/>
  <c r="F118" i="9" l="1"/>
  <c r="F4" i="52" s="1"/>
  <c r="B51" i="72" s="1"/>
  <c r="H118" i="9"/>
  <c r="H102" i="9"/>
  <c r="C105" i="9"/>
  <c r="E118" i="9"/>
  <c r="F119" i="9" l="1"/>
  <c r="F5" i="52" s="1"/>
  <c r="B53" i="72" s="1"/>
  <c r="H4" i="52"/>
  <c r="H119" i="9"/>
  <c r="H5" i="52" s="1"/>
  <c r="C104" i="9"/>
  <c r="H101" i="9"/>
  <c r="E4" i="52"/>
  <c r="B48" i="72" s="1"/>
  <c r="D118" i="9"/>
  <c r="C5" i="74"/>
  <c r="D7" i="53"/>
  <c r="B21" i="72" s="1"/>
  <c r="D119" i="9" l="1"/>
  <c r="D5" i="52" s="1"/>
  <c r="B49" i="72" s="1"/>
  <c r="D4" i="52"/>
  <c r="B47" i="72" s="1"/>
  <c r="M48" i="9"/>
  <c r="H107" i="9"/>
  <c r="D45" i="9"/>
  <c r="D5" i="53"/>
  <c r="D13" i="53" l="1"/>
  <c r="H108" i="9"/>
  <c r="M49" i="9"/>
  <c r="D122" i="9"/>
  <c r="C64" i="9"/>
  <c r="C63" i="9" s="1"/>
  <c r="C67" i="9" s="1"/>
  <c r="C85" i="9"/>
  <c r="D53" i="9"/>
  <c r="D55" i="9"/>
  <c r="M53" i="9" s="1"/>
  <c r="D52" i="9"/>
  <c r="C78" i="9"/>
  <c r="C73" i="9" s="1"/>
  <c r="C93" i="9"/>
  <c r="C86" i="9" s="1"/>
  <c r="C72" i="9"/>
  <c r="B20" i="72"/>
  <c r="D6" i="53"/>
  <c r="B22" i="72" s="1"/>
  <c r="C79" i="9" l="1"/>
  <c r="C80" i="9" s="1"/>
  <c r="E80" i="9" s="1"/>
  <c r="E81" i="9" s="1"/>
  <c r="D59" i="9"/>
  <c r="M55" i="9" s="1"/>
  <c r="C68" i="9"/>
  <c r="D54" i="9" s="1"/>
  <c r="D123" i="9"/>
  <c r="D9" i="52" s="1"/>
  <c r="D8" i="52"/>
  <c r="D14" i="53"/>
  <c r="B32" i="72" s="1"/>
  <c r="B30" i="72"/>
  <c r="L67" i="9"/>
  <c r="M67" i="9" s="1"/>
  <c r="L64" i="9"/>
  <c r="M64" i="9" s="1"/>
  <c r="L65" i="9"/>
  <c r="M65" i="9" s="1"/>
  <c r="L63" i="9"/>
  <c r="M63" i="9" s="1"/>
  <c r="L68" i="9"/>
  <c r="M68" i="9" s="1"/>
  <c r="L66" i="9"/>
  <c r="M66" i="9" s="1"/>
  <c r="C95" i="9"/>
  <c r="D15" i="53"/>
  <c r="B31" i="72" s="1"/>
  <c r="C6" i="74"/>
  <c r="C81" i="9" l="1"/>
  <c r="C96" i="9"/>
  <c r="E96" i="9" s="1"/>
  <c r="E97" i="9" s="1"/>
  <c r="M69" i="9"/>
  <c r="N69" i="9" s="1"/>
  <c r="C97" i="9" l="1"/>
  <c r="D58" i="9" s="1"/>
  <c r="D56" i="9" s="1"/>
  <c r="M54" i="9" s="1"/>
  <c r="N57" i="9" s="1"/>
  <c r="P57" i="9" l="1"/>
  <c r="N58" i="9"/>
  <c r="N59" i="9"/>
  <c r="N60" i="9" l="1"/>
  <c r="N61" i="9"/>
  <c r="I118" i="82"/>
  <c r="H118" i="82" s="1"/>
  <c r="G118" i="82"/>
  <c r="F118" i="82" s="1"/>
  <c r="F119" i="82" s="1"/>
  <c r="E118" i="82" l="1"/>
  <c r="D118" i="82" s="1"/>
  <c r="D119" i="82" s="1"/>
  <c r="H101" i="82"/>
  <c r="H119" i="82"/>
  <c r="C104" i="82"/>
  <c r="H102" i="82"/>
  <c r="C105" i="82"/>
  <c r="M48" i="82" l="1"/>
  <c r="D45" i="82"/>
  <c r="H107" i="82"/>
  <c r="H108" i="82" l="1"/>
  <c r="D122" i="82"/>
  <c r="D123" i="82" s="1"/>
  <c r="M49" i="82"/>
  <c r="D52" i="82"/>
  <c r="D55" i="82"/>
  <c r="M53" i="82" s="1"/>
  <c r="C93" i="82"/>
  <c r="C86" i="82" s="1"/>
  <c r="C78" i="82"/>
  <c r="C73" i="82" s="1"/>
  <c r="C85" i="82"/>
  <c r="D53" i="82"/>
  <c r="C64" i="82"/>
  <c r="C63" i="82" s="1"/>
  <c r="C67" i="82" s="1"/>
  <c r="C72" i="82"/>
  <c r="C79" i="82" l="1"/>
  <c r="C80" i="82" s="1"/>
  <c r="E80" i="82" s="1"/>
  <c r="E81" i="82" s="1"/>
  <c r="C95" i="82"/>
  <c r="L63" i="82"/>
  <c r="M63" i="82" s="1"/>
  <c r="L66" i="82"/>
  <c r="M66" i="82" s="1"/>
  <c r="L67" i="82"/>
  <c r="M67" i="82" s="1"/>
  <c r="L64" i="82"/>
  <c r="M64" i="82" s="1"/>
  <c r="L68" i="82"/>
  <c r="M68" i="82" s="1"/>
  <c r="L65" i="82"/>
  <c r="M65" i="82" s="1"/>
  <c r="D59" i="82"/>
  <c r="M55" i="82" s="1"/>
  <c r="C68" i="82"/>
  <c r="D54" i="82" s="1"/>
  <c r="C81" i="82" l="1"/>
  <c r="M69" i="82"/>
  <c r="N69" i="82" s="1"/>
  <c r="C96" i="82"/>
  <c r="E96" i="82" s="1"/>
  <c r="E97" i="82" s="1"/>
  <c r="C97" i="82" l="1"/>
  <c r="D58" i="82" s="1"/>
  <c r="D56" i="82" s="1"/>
  <c r="M54" i="82" s="1"/>
  <c r="N57" i="82" s="1"/>
  <c r="P57" i="82" l="1"/>
  <c r="N58" i="82"/>
  <c r="N59" i="82"/>
  <c r="N60" i="82" l="1"/>
  <c r="N61"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<sst xmlns="http://schemas.openxmlformats.org/spreadsheetml/2006/main" count="8877" uniqueCount="3589">
  <si>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</si>
  <si>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</si>
  <si>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</si>
  <si>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</si>
  <si>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</si>
  <si>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</si>
  <si>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</si>
  <si>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</si>
  <si>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</si>
  <si>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</si>
  <si>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</si>
  <si>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</si>
  <si>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</si>
  <si>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</si>
  <si>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</si>
  <si>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</si>
  <si>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</si>
  <si>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</si>
  <si>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</si>
  <si>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</si>
  <si>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</si>
  <si>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</si>
  <si>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</si>
  <si>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</si>
  <si>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</si>
  <si>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</si>
  <si>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</si>
  <si>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</si>
  <si>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</si>
  <si>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</si>
  <si>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</si>
  <si>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</si>
  <si>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</si>
  <si>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</si>
  <si>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</si>
  <si>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</si>
  <si>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</si>
  <si>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</si>
  <si>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</si>
  <si>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</si>
  <si>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</si>
  <si>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</si>
  <si>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</si>
  <si>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</si>
  <si>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</si>
  <si>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</si>
  <si>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</si>
  <si>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</si>
  <si>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</si>
  <si>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</si>
  <si>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</si>
  <si>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</si>
  <si>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</si>
  <si>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</si>
  <si>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</si>
  <si>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</si>
  <si>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</si>
  <si>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</si>
  <si>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</si>
  <si>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</si>
  <si>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</si>
  <si>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</si>
  <si>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</si>
  <si>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</si>
  <si>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</si>
  <si>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</si>
  <si>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</si>
  <si>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</si>
  <si>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</si>
  <si>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</si>
  <si>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</si>
  <si>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</si>
  <si>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</si>
  <si>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</si>
  <si>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</si>
  <si>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</si>
  <si>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</si>
  <si>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</si>
  <si>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</si>
  <si>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</si>
  <si>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</si>
  <si>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</si>
  <si>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</si>
  <si>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</si>
  <si>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</si>
  <si>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</si>
  <si>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</si>
  <si>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</si>
  <si>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</si>
  <si>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</si>
  <si>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</si>
  <si>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</si>
  <si>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</si>
  <si>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</si>
  <si>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</si>
  <si>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</si>
  <si>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</si>
  <si>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</si>
  <si>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</si>
  <si>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</si>
  <si>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</si>
  <si>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</si>
  <si>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</si>
  <si>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</si>
  <si>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</si>
  <si>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</si>
  <si>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</si>
  <si>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</si>
  <si>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</si>
  <si>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</si>
  <si>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</si>
  <si>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</si>
  <si>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</si>
  <si>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</si>
  <si>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</si>
  <si>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</si>
  <si>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</si>
  <si>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</si>
  <si>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</si>
  <si>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</si>
  <si>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</si>
  <si>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</si>
  <si>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</si>
  <si>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</si>
  <si>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</si>
  <si>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</si>
  <si>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</si>
  <si>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</si>
  <si>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</si>
  <si>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</si>
  <si>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</si>
  <si>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</si>
  <si>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</si>
  <si>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</si>
  <si>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</si>
  <si>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</si>
  <si>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</si>
  <si>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</si>
  <si>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</si>
  <si>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</si>
  <si>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</si>
  <si>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</si>
  <si>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</si>
  <si>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</si>
  <si>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</si>
  <si>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</si>
  <si>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</si>
  <si>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</si>
  <si>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</si>
  <si>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</si>
  <si>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</si>
  <si>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</si>
  <si>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</si>
  <si>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</si>
  <si>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</si>
  <si>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</si>
  <si>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</si>
  <si>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</si>
  <si>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</si>
  <si>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</si>
  <si>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</si>
  <si>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</si>
  <si>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</si>
  <si>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</si>
  <si>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</si>
  <si>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</si>
  <si>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</si>
  <si>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</si>
  <si>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</si>
  <si>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</si>
  <si>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</si>
  <si>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</si>
  <si>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</si>
  <si>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</si>
  <si>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</si>
  <si>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</si>
  <si>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</si>
  <si>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</si>
  <si>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</si>
  <si>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</si>
  <si>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</si>
  <si>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</si>
  <si>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</si>
  <si>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</si>
  <si>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</si>
  <si>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</si>
  <si>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</si>
  <si>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</si>
  <si>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</si>
  <si>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</si>
  <si>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</si>
  <si>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</si>
  <si>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</si>
  <si>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</si>
  <si>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</si>
  <si>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</si>
  <si>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</si>
  <si>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</si>
  <si>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</si>
  <si>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</si>
  <si>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</si>
  <si>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</si>
  <si>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</si>
  <si>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</si>
  <si>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</si>
  <si>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</si>
  <si>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</si>
  <si>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</si>
  <si>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</si>
  <si>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</si>
  <si>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</si>
  <si>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</si>
  <si>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</si>
  <si>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</si>
  <si>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</si>
  <si>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</si>
  <si>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</si>
  <si>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</si>
  <si>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</si>
  <si>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</si>
  <si>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</si>
  <si>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</si>
  <si>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</si>
  <si>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</si>
  <si>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</si>
  <si>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</si>
  <si>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</si>
  <si>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</si>
  <si>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</si>
  <si>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</si>
  <si>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</si>
  <si>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</si>
  <si>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</si>
  <si>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</si>
  <si>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</si>
  <si>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</si>
  <si>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</si>
  <si>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</si>
  <si>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</si>
  <si>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</si>
  <si>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</si>
  <si>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</si>
  <si>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</si>
  <si>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</si>
  <si>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</si>
  <si>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</si>
  <si>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</si>
  <si>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</si>
  <si>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</si>
  <si>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</si>
  <si>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</si>
  <si>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</si>
  <si>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</si>
  <si>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</si>
  <si>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</si>
  <si>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</si>
  <si>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</si>
  <si>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</si>
  <si>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</si>
  <si>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</si>
  <si>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</si>
  <si>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</si>
  <si>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</si>
  <si>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</si>
  <si>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</si>
  <si>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</si>
  <si>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</si>
  <si>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</si>
  <si>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</si>
  <si>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</si>
  <si>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</si>
  <si>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</si>
  <si>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</si>
  <si>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</si>
  <si>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</si>
  <si>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</si>
  <si>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</si>
  <si>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</si>
  <si>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</si>
  <si>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</si>
  <si>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</si>
  <si>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</si>
  <si>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</si>
  <si>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</si>
  <si>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</si>
  <si>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</si>
  <si>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</si>
  <si>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</si>
  <si>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</si>
  <si>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</si>
  <si>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</si>
  <si>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</si>
  <si>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</si>
  <si>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</si>
  <si>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</si>
  <si>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</si>
  <si>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</si>
  <si>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</si>
  <si>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</si>
  <si>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</si>
  <si>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</si>
  <si>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</si>
  <si>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</si>
  <si>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</si>
  <si>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</si>
  <si>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</si>
  <si>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</si>
  <si>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</si>
  <si>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</si>
  <si>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</si>
  <si>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</si>
  <si>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</si>
  <si>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</si>
  <si>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</si>
  <si>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</si>
  <si>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</si>
  <si>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</si>
  <si>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</si>
  <si>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</si>
  <si>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</si>
  <si>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</si>
  <si>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</si>
  <si>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</si>
  <si>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</si>
  <si>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</si>
  <si>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</si>
  <si>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</si>
  <si>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</si>
  <si>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</si>
  <si>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</si>
  <si>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</si>
  <si>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</si>
  <si>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</si>
  <si>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</si>
  <si>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</si>
  <si>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</si>
  <si>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</si>
  <si>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</si>
  <si>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</si>
  <si>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</si>
  <si>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</si>
  <si>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</si>
  <si>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</si>
  <si>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</si>
  <si>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</si>
  <si>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</si>
  <si>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</si>
  <si>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</si>
  <si>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</si>
  <si>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</si>
  <si>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</si>
  <si>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</si>
  <si>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</si>
  <si>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</si>
  <si>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</si>
  <si>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</si>
  <si>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</si>
  <si>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</si>
  <si>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</si>
  <si>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</si>
  <si>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</si>
  <si>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</si>
  <si>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</si>
  <si>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</si>
  <si>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</si>
  <si>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</si>
  <si>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</si>
  <si>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</si>
  <si>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</si>
  <si>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</si>
  <si>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</si>
  <si>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</si>
  <si>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</si>
  <si>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</si>
  <si>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</si>
  <si>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</si>
  <si>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</si>
  <si>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</si>
  <si>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</si>
  <si>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</si>
  <si>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</si>
  <si>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</si>
  <si>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</si>
  <si>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</si>
  <si>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</si>
  <si>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</si>
  <si>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</si>
  <si>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</si>
  <si>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</si>
  <si>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</si>
  <si>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</si>
  <si>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</si>
  <si>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</si>
  <si>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</si>
  <si>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</si>
  <si>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</si>
  <si>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</si>
  <si>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</si>
  <si>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</si>
  <si>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</si>
  <si>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</si>
  <si>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</si>
  <si>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</si>
  <si>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</si>
  <si>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</si>
  <si>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</si>
  <si>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</si>
  <si>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</si>
  <si>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</si>
  <si>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</si>
  <si>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</si>
  <si>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</si>
  <si>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</si>
  <si>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</si>
  <si>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</si>
  <si>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</si>
  <si>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</si>
  <si>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</si>
  <si>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</si>
  <si>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</si>
  <si>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</si>
  <si>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</si>
  <si>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</si>
  <si>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</si>
  <si>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</si>
  <si>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</si>
  <si>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</si>
  <si>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</si>
  <si>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</si>
  <si>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</si>
  <si>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</si>
  <si>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</si>
  <si>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</si>
  <si>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</si>
  <si>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</si>
  <si>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</si>
  <si>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</si>
  <si>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</si>
  <si>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</si>
  <si>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</si>
  <si>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</si>
  <si>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</si>
  <si>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</si>
  <si>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</si>
  <si>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</si>
  <si>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</si>
  <si>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</si>
  <si>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</si>
  <si>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</si>
  <si>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</si>
  <si>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</si>
  <si>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</si>
  <si>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</si>
  <si>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</si>
  <si>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</si>
  <si>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</si>
  <si>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</si>
  <si>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</si>
  <si>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</si>
  <si>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</si>
  <si>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</si>
  <si>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</si>
  <si>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</si>
  <si>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</si>
  <si>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</si>
  <si>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</si>
  <si>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</si>
  <si>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</si>
  <si>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</si>
  <si>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</si>
  <si>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</si>
  <si>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</si>
  <si>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</si>
  <si>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</si>
  <si>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</si>
  <si>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</si>
  <si>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</si>
  <si>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</si>
  <si>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</si>
  <si>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</si>
  <si>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</si>
  <si>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</si>
  <si>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</si>
  <si>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</si>
  <si>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</si>
  <si>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</si>
  <si>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</si>
  <si>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</si>
  <si>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</si>
  <si>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</si>
  <si>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</si>
  <si>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</si>
  <si>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</si>
  <si>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</si>
  <si>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</si>
  <si>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</si>
  <si>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</si>
  <si>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</si>
  <si>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</si>
  <si>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</si>
  <si>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</si>
  <si>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</si>
  <si>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</si>
  <si>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</si>
  <si>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</si>
  <si>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</si>
  <si>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</si>
  <si>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</si>
  <si>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</si>
  <si>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</si>
  <si>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</si>
  <si>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</si>
  <si>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</si>
  <si>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</si>
  <si>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</si>
  <si>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</si>
  <si>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</si>
  <si>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</si>
  <si>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</si>
  <si>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</si>
  <si>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</si>
  <si>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</si>
  <si>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</si>
  <si>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</si>
  <si>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</si>
  <si>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</si>
  <si>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</si>
  <si>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</si>
  <si>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</si>
  <si>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</si>
  <si>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</si>
  <si>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</si>
  <si>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</si>
  <si>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</si>
  <si>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</si>
  <si>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</si>
  <si>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</si>
  <si>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</si>
  <si>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</si>
  <si>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</si>
  <si>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</si>
  <si>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</si>
  <si>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</si>
  <si>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</si>
  <si>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</si>
  <si>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</si>
  <si>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</si>
  <si>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</si>
  <si>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</si>
  <si>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</si>
  <si>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</si>
  <si>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</si>
  <si>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</si>
  <si>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</si>
  <si>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</si>
  <si>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</si>
  <si>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</si>
  <si>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</si>
  <si>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</si>
  <si>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</si>
  <si>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</si>
  <si>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</si>
  <si>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</si>
  <si>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</si>
  <si>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</si>
  <si>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</si>
  <si>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</si>
  <si>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</si>
  <si>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</si>
  <si>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</si>
  <si>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</si>
  <si>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</si>
  <si>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</si>
  <si>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</si>
  <si>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</si>
  <si>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</si>
  <si>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</si>
  <si>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</si>
  <si>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</si>
  <si>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</si>
  <si>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</si>
  <si>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</si>
  <si>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</si>
  <si>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</si>
  <si>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</si>
  <si>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</si>
  <si>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</si>
  <si>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</si>
  <si>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</si>
  <si>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</si>
  <si>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</si>
  <si>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</si>
  <si>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</si>
  <si>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</si>
  <si>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</si>
  <si>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</si>
  <si>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</si>
  <si>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</si>
  <si>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</si>
  <si>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</si>
  <si>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</si>
  <si>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</si>
  <si>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</si>
  <si>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</si>
  <si>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</si>
  <si>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</si>
  <si>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</si>
  <si>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</si>
  <si>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</si>
  <si>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</si>
  <si>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</si>
  <si>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</si>
  <si>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</si>
  <si>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</si>
  <si>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</si>
  <si>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</si>
  <si>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</si>
  <si>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</si>
  <si>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</si>
  <si>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</si>
  <si>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</si>
  <si>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</si>
  <si>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</si>
  <si>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</si>
  <si>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</si>
  <si>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</si>
  <si>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</si>
  <si>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</si>
  <si>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</si>
  <si>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</si>
  <si>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</si>
  <si>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</si>
  <si>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</si>
  <si>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</si>
  <si>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</si>
  <si>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</si>
  <si>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</si>
  <si>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</si>
  <si>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</si>
  <si>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</si>
  <si>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</si>
  <si>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</si>
  <si>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</si>
  <si>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</si>
  <si>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</si>
  <si>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</si>
  <si>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</si>
  <si>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</si>
  <si>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</si>
  <si>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</si>
  <si>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</si>
  <si>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</si>
  <si>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</si>
  <si>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</si>
  <si>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</si>
  <si>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</si>
  <si>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</si>
  <si>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</si>
  <si>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</si>
  <si>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</si>
  <si>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</si>
  <si>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</si>
  <si>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</si>
  <si>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</si>
  <si>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</si>
  <si>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</si>
  <si>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</si>
  <si>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</si>
  <si>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</si>
  <si>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</si>
  <si>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</si>
  <si>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</si>
  <si>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</si>
  <si>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</si>
  <si>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</si>
  <si>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</si>
  <si>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</si>
  <si>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</si>
  <si>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</si>
  <si>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</si>
  <si>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</si>
  <si>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</si>
  <si>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</si>
  <si>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</si>
  <si>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</si>
  <si>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</si>
  <si>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</si>
  <si>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</si>
  <si>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</si>
  <si>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</si>
  <si>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</si>
  <si>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</si>
  <si>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</si>
  <si>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</si>
  <si>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</si>
  <si>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</si>
  <si>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</si>
  <si>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</si>
  <si>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</si>
  <si>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</si>
  <si>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</si>
  <si>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</si>
  <si>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</si>
  <si>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</si>
  <si>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</si>
  <si>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</si>
  <si>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</si>
  <si>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</si>
  <si>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</si>
  <si>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</si>
  <si>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</si>
  <si>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</si>
  <si>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</si>
  <si>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</si>
  <si>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</si>
  <si>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</si>
  <si>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</si>
  <si>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</si>
  <si>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</si>
  <si>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</si>
  <si>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</si>
  <si>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</si>
  <si>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</si>
  <si>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</si>
  <si>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</si>
  <si>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</si>
  <si>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</si>
  <si>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</si>
  <si>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</si>
  <si>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</si>
  <si>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</si>
  <si>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</si>
  <si>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</si>
  <si>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</si>
  <si>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</si>
  <si>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</si>
  <si>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</si>
  <si>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</si>
  <si>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</si>
  <si>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</si>
  <si>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</si>
  <si>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</si>
  <si>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</si>
  <si>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</si>
  <si>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</si>
  <si>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</si>
  <si>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</si>
  <si>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</si>
  <si>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</si>
  <si>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</si>
  <si>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</si>
  <si>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</si>
  <si>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</si>
  <si>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</si>
  <si>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</si>
  <si>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</si>
  <si>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</si>
  <si>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</si>
  <si>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</si>
  <si>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</si>
  <si>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</si>
  <si>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</si>
  <si>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</si>
  <si>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</si>
  <si>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</si>
  <si>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</si>
  <si>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</si>
  <si>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</si>
  <si>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</si>
  <si>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</si>
  <si>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</si>
  <si>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</si>
  <si>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</si>
  <si>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</si>
  <si>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</si>
  <si>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</si>
  <si>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</si>
  <si>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</si>
  <si>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</si>
  <si>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</si>
  <si>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</si>
  <si>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</si>
  <si>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</si>
  <si>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</si>
  <si>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</si>
  <si>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</si>
  <si>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</si>
  <si>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</si>
  <si>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</si>
  <si>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</si>
  <si>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</si>
  <si>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</si>
  <si>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</si>
  <si>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</si>
  <si>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</si>
  <si>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</si>
  <si>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</si>
  <si>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</si>
  <si>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</si>
  <si>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</si>
  <si>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</si>
  <si>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</si>
  <si>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</si>
  <si>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</si>
  <si>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</si>
  <si>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</si>
  <si>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</si>
  <si>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</si>
  <si>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</si>
  <si>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</si>
  <si>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</si>
  <si>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</si>
  <si>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</si>
  <si>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</si>
  <si>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</si>
  <si>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</si>
  <si>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</si>
  <si>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</si>
  <si>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</si>
  <si>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</si>
  <si>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</si>
  <si>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</si>
  <si>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</si>
  <si>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</si>
  <si>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</si>
  <si>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</si>
  <si>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</si>
  <si>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</si>
  <si>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</si>
  <si>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</si>
  <si>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</si>
  <si>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</si>
  <si>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</si>
  <si>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</si>
  <si>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</si>
  <si>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</si>
  <si>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</si>
  <si>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</si>
  <si>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</si>
  <si>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</si>
  <si>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</si>
  <si>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</si>
  <si>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</si>
  <si>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</si>
  <si>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</si>
  <si>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</si>
  <si>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</si>
  <si>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</si>
  <si>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</si>
  <si>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</si>
  <si>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</si>
  <si>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</si>
  <si>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</si>
  <si>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</si>
  <si>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</si>
  <si>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</si>
  <si>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</si>
  <si>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</si>
  <si>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</si>
  <si>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</si>
  <si>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</si>
  <si>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</si>
  <si>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</si>
  <si>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</si>
  <si>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</si>
  <si>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</si>
  <si>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</si>
  <si>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</si>
  <si>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</si>
  <si>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</si>
  <si>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</si>
  <si>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</si>
  <si>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</si>
  <si>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</si>
  <si>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</si>
  <si>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</si>
  <si>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</si>
  <si>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</si>
  <si>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</si>
  <si>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</si>
  <si>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</si>
  <si>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</si>
  <si>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</si>
  <si>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</si>
  <si>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</si>
  <si>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</si>
  <si>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</si>
  <si>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</si>
  <si>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</si>
  <si>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</si>
  <si>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</si>
  <si>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</si>
  <si>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</si>
  <si>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</si>
  <si>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</si>
  <si>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</si>
  <si>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</si>
  <si>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</si>
  <si>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</si>
  <si>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</si>
  <si>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</si>
  <si>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</si>
  <si>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</si>
  <si>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</si>
  <si>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</si>
  <si>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</si>
  <si>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</si>
  <si>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</si>
  <si>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</si>
  <si>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</si>
  <si>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</si>
  <si>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</si>
  <si>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</si>
  <si>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</si>
  <si>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</si>
  <si>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</si>
  <si>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</si>
  <si>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</si>
  <si>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</si>
  <si>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</si>
  <si>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</si>
  <si>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</si>
  <si>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</si>
  <si>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</si>
  <si>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</si>
  <si>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</si>
  <si>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</si>
  <si>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</si>
  <si>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</si>
  <si>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</si>
  <si>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</si>
  <si>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</si>
  <si>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</si>
  <si>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</si>
  <si>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</si>
  <si>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</si>
  <si>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</si>
  <si>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</si>
  <si>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</si>
  <si>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</si>
  <si>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</si>
  <si>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</si>
  <si>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</si>
  <si>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</si>
  <si>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</si>
  <si>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</si>
  <si>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</si>
  <si>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</si>
  <si>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</si>
  <si>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</si>
  <si>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</si>
  <si>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</si>
  <si>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</si>
  <si>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</si>
  <si>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</si>
  <si>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</si>
  <si>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</si>
  <si>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</si>
  <si>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</si>
  <si>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</si>
  <si>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</si>
  <si>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</si>
  <si>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</si>
  <si>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</si>
  <si>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</si>
  <si>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</si>
  <si>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</si>
  <si>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</si>
  <si>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</si>
  <si>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</si>
  <si>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</si>
  <si>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</si>
  <si>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</si>
  <si>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</si>
  <si>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</si>
  <si>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</si>
  <si>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</si>
  <si>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</si>
  <si>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</si>
  <si>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</si>
  <si>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</si>
  <si>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</si>
  <si>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</si>
  <si>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</si>
  <si>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</si>
  <si>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</si>
  <si>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</si>
  <si>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</si>
  <si>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</si>
  <si>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</si>
  <si>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</si>
  <si>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</si>
  <si>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</si>
  <si>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</si>
  <si>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</si>
  <si>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</si>
  <si>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</si>
  <si>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</si>
  <si>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</si>
  <si>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</si>
  <si>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</si>
  <si>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</si>
  <si>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</si>
  <si>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</si>
  <si>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</si>
  <si>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</si>
  <si>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</si>
  <si>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</si>
  <si>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</si>
  <si>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</si>
  <si>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</si>
  <si>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</si>
  <si>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</si>
  <si>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</si>
  <si>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</si>
  <si>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</si>
  <si>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</si>
  <si>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</si>
  <si>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</si>
  <si>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</si>
  <si>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</si>
  <si>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</si>
  <si>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</si>
  <si>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</si>
  <si>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</si>
  <si>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</si>
  <si>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</si>
  <si>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</si>
  <si>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</si>
  <si>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</si>
  <si>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</si>
  <si>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</si>
  <si>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</si>
  <si>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</si>
  <si>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</si>
  <si>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</si>
  <si>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</si>
  <si>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</si>
  <si>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</si>
  <si>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</si>
  <si>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</si>
  <si>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</si>
  <si>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</si>
  <si>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</si>
  <si>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</si>
  <si>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</si>
  <si>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</si>
  <si>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</si>
  <si>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</si>
  <si>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</si>
  <si>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</si>
  <si>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</si>
  <si>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</si>
  <si>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</si>
  <si>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</si>
  <si>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</si>
  <si>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</si>
  <si>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</si>
  <si>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</si>
  <si>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</si>
  <si>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</si>
  <si>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</si>
  <si>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</si>
  <si>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</si>
  <si>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</si>
  <si>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</si>
  <si>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</si>
  <si>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</si>
  <si>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</si>
  <si>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</si>
  <si>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</si>
  <si>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</si>
  <si>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</si>
  <si>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</si>
  <si>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</si>
  <si>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</si>
  <si>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</si>
  <si>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</si>
  <si>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</si>
  <si>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</si>
  <si>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</si>
  <si>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</si>
  <si>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</si>
  <si>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</si>
  <si>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</si>
  <si>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</si>
  <si>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</si>
  <si>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</si>
  <si>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</si>
  <si>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</si>
  <si>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</si>
  <si>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</si>
  <si>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</si>
  <si>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</si>
  <si>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</si>
  <si>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</si>
  <si>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</si>
  <si>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</si>
  <si>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</si>
  <si>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</si>
  <si>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</si>
  <si>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</si>
  <si>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</si>
  <si>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</si>
  <si>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</si>
  <si>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</si>
  <si>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</si>
  <si>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</si>
  <si>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</si>
  <si>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</si>
  <si>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</si>
  <si>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</si>
  <si>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</si>
  <si>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</si>
  <si>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</si>
  <si>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</si>
  <si>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</si>
  <si>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</si>
  <si>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</si>
  <si>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</si>
  <si>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</si>
  <si>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</si>
  <si>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</si>
  <si>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</si>
  <si>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</si>
  <si>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</si>
  <si>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</si>
  <si>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</si>
  <si>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</si>
  <si>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</si>
  <si>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</si>
  <si>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</si>
  <si>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</si>
  <si>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</si>
  <si>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</si>
  <si>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</si>
  <si>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</si>
  <si>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</si>
  <si>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</si>
  <si>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</si>
  <si>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</si>
  <si>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</si>
  <si>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</si>
  <si>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</si>
  <si>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</si>
  <si>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</si>
  <si>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</si>
  <si>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</si>
  <si>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</si>
  <si>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</si>
  <si>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</si>
  <si>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</si>
  <si>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</si>
  <si>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</si>
  <si>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</si>
  <si>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</si>
  <si>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</si>
  <si>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</si>
  <si>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</si>
  <si>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</si>
  <si>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</si>
  <si>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</si>
  <si>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</si>
  <si>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</si>
  <si>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</si>
  <si>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</si>
  <si>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</si>
  <si>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</si>
  <si>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</si>
  <si>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</si>
  <si>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</si>
  <si>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</si>
  <si>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</si>
  <si>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</si>
  <si>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</si>
  <si>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</si>
  <si>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</si>
  <si>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</si>
  <si>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</si>
  <si>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</si>
  <si>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</si>
  <si>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</si>
  <si>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</si>
  <si>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</si>
  <si>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</si>
  <si>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</si>
  <si>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</si>
  <si>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</si>
  <si>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</si>
  <si>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</si>
  <si>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</si>
  <si>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</si>
  <si>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</si>
  <si>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</si>
  <si>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</si>
  <si>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</si>
  <si>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</si>
  <si>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</si>
  <si>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</si>
  <si>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</si>
  <si>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</si>
  <si>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</si>
  <si>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</si>
  <si>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</si>
  <si>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</si>
  <si>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</si>
  <si>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</si>
  <si>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</si>
  <si>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</si>
  <si>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</si>
  <si>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</si>
  <si>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</si>
  <si>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</si>
  <si>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</si>
  <si>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</si>
  <si>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</si>
  <si>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</si>
  <si>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</si>
  <si>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</si>
  <si>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</si>
  <si>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</si>
  <si>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</si>
  <si>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</si>
  <si>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</si>
  <si>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</si>
  <si>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</si>
  <si>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</si>
  <si>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</si>
  <si>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</si>
  <si>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</si>
  <si>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</si>
  <si>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</si>
  <si>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</si>
  <si>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</si>
  <si>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</si>
  <si>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</si>
  <si>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</si>
  <si>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</si>
  <si>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</si>
  <si>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</si>
  <si>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</si>
  <si>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</si>
  <si>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</si>
  <si>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</si>
  <si>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</si>
  <si>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</si>
  <si>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</si>
  <si>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</si>
  <si>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</si>
  <si>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</si>
  <si>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</si>
  <si>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</si>
  <si>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</si>
  <si>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</si>
  <si>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</si>
  <si>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</si>
  <si>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</si>
  <si>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</si>
  <si>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</si>
  <si>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</si>
  <si>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</si>
  <si>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</si>
  <si>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</si>
  <si>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</si>
  <si>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</si>
  <si>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</si>
  <si>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</si>
  <si>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</si>
  <si>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</si>
  <si>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</si>
  <si>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</si>
  <si>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</si>
  <si>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</si>
  <si>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</si>
  <si>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</si>
  <si>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</si>
  <si>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</si>
  <si>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</si>
  <si>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</si>
  <si>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</si>
  <si>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</si>
  <si>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</si>
  <si>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</si>
  <si>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</si>
  <si>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</si>
  <si>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</si>
  <si>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</si>
  <si>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</si>
  <si>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</si>
  <si>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</si>
  <si>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</si>
  <si>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</si>
  <si>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</si>
  <si>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</si>
  <si>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</si>
  <si>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</si>
  <si>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</si>
  <si>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</si>
  <si>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</si>
  <si>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</si>
  <si>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</si>
  <si>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</si>
  <si>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</si>
  <si>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</si>
  <si>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</si>
  <si>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</si>
  <si>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</si>
  <si>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</si>
  <si>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</si>
  <si>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</si>
  <si>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</si>
  <si>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</si>
  <si>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</si>
  <si>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</si>
  <si>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</si>
  <si>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</si>
  <si>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</si>
  <si>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</si>
  <si>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</si>
  <si>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</si>
  <si>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</si>
  <si>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</si>
  <si>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</si>
  <si>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</si>
  <si>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</si>
  <si>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</si>
  <si>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</si>
  <si>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</si>
  <si>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</si>
  <si>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</si>
  <si>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</si>
  <si>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</si>
  <si>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</si>
  <si>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</si>
  <si>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</si>
  <si>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</si>
  <si>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</si>
  <si>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</si>
  <si>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</si>
  <si>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</si>
  <si>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</si>
  <si>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</si>
  <si>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</si>
  <si>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</si>
  <si>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</si>
  <si>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</si>
  <si>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</si>
  <si>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</si>
  <si>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</si>
  <si>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</si>
  <si>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</si>
  <si>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</si>
  <si>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</si>
  <si>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</si>
  <si>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</si>
  <si>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</si>
  <si>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</si>
  <si>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</si>
  <si>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</si>
  <si>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</si>
  <si>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</si>
  <si>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</si>
  <si>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</si>
  <si>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</si>
  <si>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</si>
  <si>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</si>
  <si>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</si>
  <si>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</si>
  <si>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</si>
  <si>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</si>
  <si>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</si>
  <si>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</si>
  <si>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</si>
  <si>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</si>
  <si>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</si>
  <si>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</si>
  <si>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</si>
  <si>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</si>
  <si>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</si>
  <si>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</si>
  <si>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</si>
  <si>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</si>
  <si>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</si>
  <si>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</si>
  <si>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</si>
  <si>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</si>
  <si>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</si>
  <si>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</si>
  <si>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</si>
  <si>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</si>
  <si>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</si>
  <si>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</si>
  <si>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</si>
  <si>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</si>
  <si>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</si>
  <si>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</si>
  <si>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</si>
  <si>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</si>
  <si>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</si>
  <si>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</si>
  <si>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</si>
  <si>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</si>
  <si>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</si>
  <si>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</si>
  <si>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</si>
  <si>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</si>
  <si>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</si>
  <si>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</si>
  <si>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</si>
  <si>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</si>
  <si>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</si>
  <si>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</si>
  <si>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</si>
  <si>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</si>
  <si>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</si>
  <si>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</si>
  <si>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</si>
  <si>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</si>
  <si>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</si>
  <si>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</si>
  <si>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</si>
  <si>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</si>
  <si>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</si>
  <si>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</si>
  <si>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</si>
  <si>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</si>
  <si>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</si>
  <si>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</si>
  <si>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</si>
  <si>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</si>
  <si>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</si>
  <si>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</si>
  <si>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</si>
  <si>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</si>
  <si>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</si>
  <si>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</si>
  <si>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</si>
  <si>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</si>
  <si>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</si>
  <si>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</si>
  <si>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</si>
  <si>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</si>
  <si>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</si>
  <si>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</si>
  <si>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</si>
  <si>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</si>
  <si>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</si>
  <si>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</si>
  <si>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</si>
  <si>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</si>
  <si>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</si>
  <si>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</si>
  <si>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</si>
  <si>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</si>
  <si>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</si>
  <si>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</si>
  <si>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</si>
  <si>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</si>
  <si>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</si>
  <si>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</si>
  <si>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</si>
  <si>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</si>
  <si>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</si>
  <si>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</si>
  <si>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</si>
  <si>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</si>
  <si>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</si>
  <si>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</si>
  <si>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</si>
  <si>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</si>
  <si>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</si>
  <si>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</si>
  <si>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</si>
  <si>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</si>
  <si>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</si>
  <si>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</si>
  <si>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</si>
  <si>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</si>
  <si>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</si>
  <si>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</si>
  <si>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</si>
  <si>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</si>
  <si>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</si>
  <si>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</si>
  <si>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</si>
  <si>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</si>
  <si>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</si>
  <si>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</si>
  <si>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</si>
  <si>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</si>
  <si>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</si>
  <si>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</si>
  <si>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</si>
  <si>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</si>
  <si>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</si>
  <si>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</si>
  <si>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</si>
  <si>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</si>
  <si>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</si>
  <si>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</si>
  <si>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</si>
  <si>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</si>
  <si>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</si>
  <si>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</si>
  <si>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</si>
  <si>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</si>
  <si>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</si>
  <si>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</si>
  <si>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</si>
  <si>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</si>
  <si>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</si>
  <si>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</si>
  <si>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</si>
  <si>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</si>
  <si>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</si>
  <si>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</si>
  <si>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</si>
  <si>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</si>
  <si>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</si>
  <si>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</si>
  <si>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</si>
  <si>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</si>
  <si>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</si>
  <si>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</si>
  <si>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</si>
  <si>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</si>
  <si>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</si>
  <si>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</si>
  <si>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</si>
  <si>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</si>
  <si>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</si>
  <si>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</si>
  <si>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</si>
  <si>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</si>
  <si>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</si>
  <si>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</si>
  <si>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</si>
  <si>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</si>
  <si>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</si>
  <si>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</si>
  <si>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</si>
  <si>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</si>
  <si>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</si>
  <si>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</si>
  <si>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</si>
  <si>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</si>
  <si>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</si>
  <si>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</si>
  <si>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</si>
  <si>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</si>
  <si>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</si>
  <si>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</si>
  <si>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</si>
  <si>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</si>
  <si>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</si>
  <si>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</si>
  <si>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</si>
  <si>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</si>
  <si>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</si>
  <si>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</si>
  <si>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</si>
  <si>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</si>
  <si>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</si>
  <si>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</si>
  <si>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</si>
  <si>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</si>
  <si>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</si>
  <si>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</si>
  <si>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</si>
  <si>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</si>
  <si>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</si>
  <si>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</si>
  <si>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</si>
  <si>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</si>
  <si>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</si>
  <si>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</si>
  <si>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</si>
  <si>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</si>
  <si>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</si>
  <si>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</si>
  <si>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</si>
  <si>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</si>
  <si>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</si>
  <si>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</si>
  <si>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</si>
  <si>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</si>
  <si>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</si>
  <si>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</si>
  <si>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</si>
  <si>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</si>
  <si>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</si>
  <si>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</si>
  <si>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</si>
  <si>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</si>
  <si>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</si>
  <si>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</si>
  <si>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</si>
  <si>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</si>
  <si>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</si>
  <si>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</si>
  <si>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</si>
  <si>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</si>
  <si>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</si>
  <si>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</si>
  <si>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</si>
  <si>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</si>
  <si>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</si>
  <si>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</si>
  <si>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</si>
  <si>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</si>
  <si>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</si>
  <si>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</si>
  <si>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</si>
  <si>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</si>
  <si>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</si>
  <si>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</si>
  <si>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</si>
  <si>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</si>
  <si>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</si>
  <si>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</si>
  <si>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</si>
  <si>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</si>
  <si>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</si>
  <si>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</si>
  <si>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</si>
  <si>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</si>
  <si>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</si>
  <si>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</si>
  <si>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</si>
  <si>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</si>
  <si>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</si>
  <si>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</si>
  <si>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</si>
  <si>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</si>
  <si>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</si>
  <si>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</si>
  <si>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</si>
  <si>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</si>
  <si>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</si>
  <si>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</si>
  <si>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</si>
  <si>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</si>
  <si>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</si>
  <si>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</si>
  <si>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</si>
  <si>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</si>
  <si>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</si>
  <si>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</si>
  <si>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</si>
  <si>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</si>
  <si>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</si>
  <si>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</si>
  <si>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</si>
  <si>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</si>
  <si>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</si>
  <si>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</si>
  <si>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</si>
  <si>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</si>
  <si>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</si>
  <si>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</si>
  <si>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</si>
  <si>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</si>
  <si>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</si>
  <si>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</si>
  <si>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</si>
  <si>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</si>
  <si>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</si>
  <si>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</si>
  <si>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</si>
  <si>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</si>
  <si>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</si>
  <si>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</si>
  <si>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</si>
  <si>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</si>
  <si>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</si>
  <si>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</si>
  <si>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</si>
  <si>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</si>
  <si>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</si>
  <si>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</si>
  <si>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</si>
  <si>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</si>
  <si>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</si>
  <si>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</si>
  <si>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</si>
  <si>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</si>
  <si>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</si>
  <si>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</si>
  <si>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</si>
  <si>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</si>
  <si>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</si>
  <si>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</si>
  <si>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</si>
  <si>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</si>
  <si>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</si>
  <si>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</si>
  <si>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</si>
  <si>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</si>
  <si>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</si>
  <si>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</si>
  <si>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</si>
  <si>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</si>
  <si>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</si>
  <si>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</si>
  <si>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</si>
  <si>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</si>
  <si>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</si>
  <si>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</si>
  <si>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</si>
  <si>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</si>
  <si>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</si>
  <si>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</si>
  <si>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</si>
  <si>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</si>
  <si>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</si>
  <si>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</si>
  <si>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</si>
  <si>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</si>
  <si>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</si>
  <si>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</si>
  <si>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</si>
  <si>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</si>
  <si>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</si>
  <si>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</si>
  <si>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</si>
  <si>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</si>
  <si>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</si>
  <si>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</si>
  <si>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</si>
  <si>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</si>
  <si>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</si>
  <si>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</si>
  <si>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</si>
  <si>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</si>
  <si>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</si>
  <si>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</si>
  <si>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</si>
  <si>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</si>
  <si>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</si>
  <si>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</si>
  <si>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</si>
  <si>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</si>
  <si>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</si>
  <si>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</si>
  <si>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</si>
  <si>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</si>
  <si>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</si>
  <si>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</si>
  <si>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</si>
  <si>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</si>
  <si>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</si>
  <si>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</si>
  <si>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</si>
  <si>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</si>
  <si>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</si>
  <si>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</si>
  <si>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</si>
  <si>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</si>
  <si>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</si>
  <si>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</si>
  <si>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</si>
  <si>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</si>
  <si>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</si>
  <si>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</si>
  <si>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</si>
  <si>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</si>
  <si>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</si>
  <si>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</si>
  <si>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</si>
  <si>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</si>
  <si>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</si>
  <si>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</si>
  <si>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</si>
  <si>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</si>
  <si>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</si>
  <si>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</si>
  <si>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</si>
  <si>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</si>
  <si>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</si>
  <si>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</si>
  <si>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</si>
  <si>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</si>
  <si>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</si>
  <si>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</si>
  <si>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</si>
  <si>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</si>
  <si>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</si>
  <si>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</si>
  <si>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</si>
  <si>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</si>
  <si>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</si>
  <si>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</si>
  <si>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</si>
  <si>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</si>
  <si>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</si>
  <si>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</si>
  <si>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</si>
  <si>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</si>
  <si>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</si>
  <si>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</si>
  <si>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</si>
  <si>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</si>
  <si>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</si>
  <si>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</si>
  <si>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</si>
  <si>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</si>
  <si>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</si>
  <si>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</si>
  <si>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</si>
  <si>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</si>
  <si>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</si>
  <si>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</si>
  <si>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</si>
  <si>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</si>
  <si>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</si>
  <si>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</si>
  <si>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</si>
  <si>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</si>
  <si>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</si>
  <si>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</si>
  <si>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</si>
  <si>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</si>
  <si>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</si>
  <si>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</si>
  <si>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</si>
  <si>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</si>
  <si>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</si>
  <si>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</si>
  <si>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</si>
  <si>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</si>
  <si>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</si>
  <si>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</si>
  <si>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</si>
  <si>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</si>
  <si>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</si>
  <si>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</si>
  <si>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</si>
  <si>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</si>
  <si>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</si>
  <si>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</si>
  <si>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</si>
  <si>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</si>
  <si>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</si>
  <si>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</si>
  <si>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</si>
  <si>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</si>
  <si>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</si>
  <si>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</si>
  <si>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</si>
  <si>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</si>
  <si>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</si>
  <si>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</si>
  <si>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</si>
  <si>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</si>
  <si>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</si>
  <si>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</si>
  <si>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</si>
  <si>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</si>
  <si>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</si>
  <si>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</si>
  <si>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</si>
  <si>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</si>
  <si>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</si>
  <si>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</si>
  <si>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</si>
  <si>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</si>
  <si>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</si>
  <si>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</si>
  <si>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</si>
  <si>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</si>
  <si>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</si>
  <si>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</si>
  <si>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</si>
  <si>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</si>
  <si>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</si>
  <si>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</si>
  <si>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</si>
  <si>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</si>
  <si>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</si>
  <si>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</si>
  <si>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</si>
  <si>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</si>
  <si>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</si>
  <si>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</si>
  <si>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</si>
  <si>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</si>
  <si>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</si>
  <si>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</si>
  <si>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</si>
  <si>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</si>
  <si>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</si>
  <si>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</si>
  <si>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</si>
  <si>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</si>
  <si>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</si>
  <si>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</si>
  <si>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</si>
  <si>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</si>
  <si>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</si>
  <si>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</si>
  <si>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</si>
  <si>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</si>
  <si>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</si>
  <si>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</si>
  <si>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</si>
  <si>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</si>
  <si>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</si>
  <si>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</si>
  <si>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</si>
  <si>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</si>
  <si>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</si>
  <si>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</si>
  <si>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</si>
  <si>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</si>
  <si>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</si>
  <si>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</si>
  <si>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</si>
  <si>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</si>
  <si>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</si>
  <si>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</si>
  <si>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</si>
  <si>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</si>
  <si>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</si>
  <si>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</si>
  <si>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</si>
  <si>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</si>
  <si>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</si>
  <si>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</si>
  <si>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</si>
  <si>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</si>
  <si>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</si>
  <si>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</si>
  <si>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</si>
  <si>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</si>
  <si>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</si>
  <si>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</si>
  <si>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</si>
  <si>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</si>
  <si>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</si>
  <si>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</si>
  <si>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</si>
  <si>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</si>
  <si>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</si>
  <si>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</si>
  <si>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</si>
  <si>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</si>
  <si>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</si>
  <si>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</si>
  <si>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</si>
  <si>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</si>
  <si>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</si>
  <si>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</si>
  <si>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</si>
  <si>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</si>
  <si>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</si>
  <si>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</si>
  <si>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</si>
  <si>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</si>
  <si>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</si>
  <si>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</si>
  <si>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</si>
  <si>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</si>
  <si>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</si>
  <si>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</si>
  <si>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</si>
  <si>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</si>
  <si>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</si>
  <si>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</si>
  <si>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</si>
  <si>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</si>
  <si>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</si>
  <si>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</si>
  <si>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</si>
  <si>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</si>
  <si>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</si>
  <si>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</si>
  <si>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</si>
  <si>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</si>
  <si>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</si>
  <si>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</si>
  <si>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</si>
  <si>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</si>
  <si>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</si>
  <si>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</si>
  <si>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</si>
  <si>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</si>
  <si>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</si>
  <si>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</si>
  <si>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</si>
  <si>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</si>
  <si>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</si>
  <si>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</si>
  <si>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</si>
  <si>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</si>
  <si>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</si>
  <si>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</si>
  <si>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</si>
  <si>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</si>
  <si>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</si>
  <si>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</si>
  <si>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</si>
  <si>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</si>
  <si>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</si>
  <si>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</si>
  <si>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</si>
  <si>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</si>
  <si>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</si>
  <si>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</si>
  <si>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</si>
  <si>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</si>
  <si>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</si>
  <si>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</si>
  <si>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</si>
  <si>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</si>
  <si>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</si>
  <si>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</si>
  <si>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</si>
  <si>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</si>
  <si>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</si>
  <si>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</si>
  <si>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</si>
  <si>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</si>
  <si>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</si>
  <si>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</si>
  <si>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</si>
  <si>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</si>
  <si>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</si>
  <si>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</si>
  <si>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</si>
  <si>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</si>
  <si>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</si>
  <si>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</si>
  <si>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</si>
  <si>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</si>
  <si>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</si>
  <si>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</si>
  <si>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</si>
  <si>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</si>
  <si>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</si>
  <si>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</si>
  <si>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</si>
  <si>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</si>
  <si>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</si>
  <si>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</si>
  <si>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</si>
  <si>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</si>
  <si>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</si>
  <si>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</si>
  <si>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</si>
  <si>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</si>
  <si>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</si>
  <si>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</si>
  <si>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</si>
  <si>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</si>
  <si>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</si>
  <si>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</si>
  <si>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</si>
  <si>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</si>
  <si>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</si>
  <si>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</si>
  <si>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</si>
  <si>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</si>
  <si>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</si>
  <si>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</si>
  <si>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</si>
  <si>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</si>
  <si>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</si>
  <si>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</si>
  <si>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</si>
  <si>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</si>
  <si>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</si>
  <si>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</si>
  <si>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</si>
  <si>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</si>
  <si>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</si>
  <si>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</si>
  <si>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</si>
  <si>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</si>
  <si>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</si>
  <si>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</si>
  <si>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</si>
  <si>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</si>
  <si>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</si>
  <si>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</si>
  <si>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</si>
  <si>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</si>
  <si>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</si>
  <si>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</si>
  <si>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</si>
  <si>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</si>
  <si>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</si>
  <si>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</si>
  <si>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</si>
  <si>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</si>
  <si>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</si>
  <si>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</si>
  <si>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</si>
  <si>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</si>
  <si>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</si>
  <si>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</si>
  <si>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</si>
  <si>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</si>
  <si>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</si>
  <si>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</si>
  <si>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</si>
  <si>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</si>
  <si>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</si>
  <si>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</si>
  <si>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</si>
  <si>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</si>
  <si>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</si>
  <si>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</si>
  <si>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</si>
  <si>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</si>
  <si>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</si>
  <si>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</si>
  <si>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</si>
  <si>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</si>
  <si>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</si>
  <si>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</si>
  <si>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</si>
  <si>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</si>
  <si>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</si>
  <si>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</si>
  <si>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</si>
  <si>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</si>
  <si>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</si>
  <si>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</si>
  <si>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</si>
  <si>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</si>
  <si>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</si>
  <si>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</si>
  <si>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</si>
  <si>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</si>
  <si>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</si>
  <si>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</si>
  <si>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</si>
  <si>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</si>
  <si>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</si>
  <si>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</si>
  <si>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</si>
  <si>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</si>
  <si>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</si>
  <si>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</si>
  <si>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</si>
  <si>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</si>
  <si>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</si>
  <si>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</si>
  <si>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</si>
  <si>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</si>
  <si>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</si>
  <si>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</si>
  <si>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</si>
  <si>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</si>
  <si>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</si>
  <si>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</si>
  <si>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</si>
  <si>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</si>
  <si>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</si>
  <si>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</si>
  <si>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</si>
  <si>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</si>
  <si>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</si>
  <si>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</si>
  <si>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</si>
  <si>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</si>
  <si>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</si>
  <si>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</si>
  <si>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</si>
  <si>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</si>
  <si>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</si>
  <si>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</si>
  <si>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</si>
  <si>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</si>
  <si>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</si>
  <si>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</si>
  <si>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</si>
  <si>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</si>
  <si>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</si>
  <si>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</si>
  <si>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</si>
  <si>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</si>
  <si>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</si>
  <si>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</si>
  <si>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</si>
  <si>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</si>
  <si>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</si>
  <si>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</si>
  <si>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</si>
  <si>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</si>
  <si>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</si>
  <si>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</si>
  <si>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</si>
  <si>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</si>
  <si>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</si>
  <si>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</si>
  <si>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</si>
  <si>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</si>
  <si>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</si>
  <si>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</si>
  <si>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</si>
  <si>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</si>
  <si>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</si>
  <si>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</si>
  <si>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</si>
  <si>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</si>
  <si>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</si>
  <si>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</si>
  <si>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</si>
  <si>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</si>
  <si>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</si>
  <si>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</si>
  <si>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</si>
  <si>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</si>
  <si>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</si>
  <si>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</si>
  <si>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</si>
  <si>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</si>
  <si>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</si>
  <si>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</si>
  <si>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</si>
  <si>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</si>
  <si>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</si>
  <si>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</si>
  <si>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</si>
  <si>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</si>
  <si>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</si>
  <si>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</si>
  <si>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</si>
  <si>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</si>
  <si>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</si>
  <si>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</si>
  <si>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</si>
  <si>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</si>
  <si>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</si>
  <si>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</si>
  <si>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</si>
  <si>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</si>
  <si>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</si>
  <si>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</si>
  <si>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</si>
  <si>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</si>
  <si>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</si>
  <si>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</si>
  <si>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</si>
  <si>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</si>
  <si>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</si>
  <si>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</si>
  <si>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</si>
  <si>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</si>
  <si>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</si>
  <si>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</si>
  <si>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</si>
  <si>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</si>
  <si>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</si>
  <si>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</si>
  <si>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</si>
  <si>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</si>
  <si>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</si>
  <si>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</si>
  <si>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</si>
  <si>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</si>
  <si>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</si>
  <si>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</si>
  <si>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</si>
  <si>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</si>
  <si>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</si>
  <si>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</si>
  <si>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</si>
  <si>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</si>
  <si>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</si>
  <si>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</si>
  <si>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</si>
  <si>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</si>
  <si>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</si>
  <si>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</si>
  <si>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</si>
  <si>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</si>
  <si>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</si>
  <si>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</si>
  <si>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</si>
  <si>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</si>
  <si>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</si>
  <si>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</si>
  <si>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</si>
  <si>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</si>
  <si>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</si>
  <si>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</si>
  <si>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</si>
  <si>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</si>
  <si>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</si>
  <si>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</si>
  <si>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</si>
  <si>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</si>
  <si>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</si>
  <si>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</si>
  <si>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</si>
  <si>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</si>
  <si>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</si>
  <si>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</si>
  <si>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</si>
  <si>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</si>
  <si>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</si>
  <si>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</si>
  <si>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</si>
  <si>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</si>
  <si>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</si>
  <si>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</si>
  <si>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</si>
  <si>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</si>
  <si>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</si>
  <si>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</si>
  <si>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</si>
  <si>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</si>
  <si>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</si>
  <si>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</si>
  <si>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</si>
  <si>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</si>
  <si>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</si>
  <si>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</si>
  <si>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</si>
  <si>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</si>
  <si>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</si>
  <si>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</si>
  <si>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</si>
  <si>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</si>
  <si>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</si>
  <si>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</si>
  <si>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</si>
  <si>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</si>
  <si>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</si>
  <si>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</si>
  <si>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</si>
  <si>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</si>
  <si>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</si>
  <si>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</si>
  <si>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</si>
  <si>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</si>
  <si>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</si>
  <si>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</si>
  <si>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</si>
  <si>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</si>
  <si>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</si>
  <si>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</si>
  <si>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</si>
  <si>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</si>
  <si>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</si>
  <si>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</si>
  <si>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</si>
  <si>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</si>
  <si>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</si>
  <si>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</si>
  <si>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</si>
  <si>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</si>
  <si>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</si>
  <si>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</si>
  <si>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</si>
  <si>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</si>
  <si>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</si>
  <si>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</si>
  <si>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</si>
  <si>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</si>
  <si>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</si>
  <si>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</si>
  <si>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</si>
  <si>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</si>
  <si>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</si>
  <si>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</si>
  <si>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</si>
  <si>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</si>
  <si>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</si>
  <si>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</si>
  <si>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</si>
  <si>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</si>
  <si>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</si>
  <si>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</si>
  <si>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</si>
  <si>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</si>
  <si>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</si>
  <si>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</si>
  <si>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</si>
  <si>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</si>
  <si>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</si>
  <si>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</si>
  <si>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</si>
  <si>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</si>
  <si>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</si>
  <si>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</si>
  <si>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</si>
  <si>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</si>
  <si>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</si>
  <si>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</si>
  <si>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</si>
  <si>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</si>
  <si>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</si>
  <si>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</si>
  <si>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</si>
  <si>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</si>
  <si>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</si>
  <si>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</si>
  <si>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</si>
  <si>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</si>
  <si>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</si>
  <si>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</si>
  <si>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</si>
  <si>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</si>
  <si>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</si>
  <si>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</si>
  <si>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</si>
  <si>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</si>
  <si>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</si>
  <si>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</si>
  <si>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</si>
  <si>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</si>
  <si>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</si>
  <si>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</si>
  <si>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</si>
  <si>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</si>
  <si>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</si>
  <si>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</si>
  <si>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</si>
  <si>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</si>
  <si>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</si>
  <si>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</si>
  <si>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</si>
  <si>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</si>
  <si>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</si>
  <si>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</si>
  <si>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</si>
  <si>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</si>
  <si>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</si>
  <si>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</si>
  <si>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</si>
  <si>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</si>
  <si>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</si>
  <si>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</si>
  <si>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</si>
  <si>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</si>
  <si>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</si>
  <si>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</si>
  <si>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</si>
  <si>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</si>
  <si>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</si>
  <si>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</si>
  <si>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</si>
  <si>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</si>
  <si>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</si>
  <si>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</si>
  <si>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</si>
  <si>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</si>
  <si>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</si>
  <si>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</si>
  <si>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</si>
  <si>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</si>
  <si>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</si>
  <si>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</si>
  <si>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</si>
  <si>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</si>
  <si>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</si>
  <si>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</si>
  <si>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</si>
  <si>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</si>
  <si>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</si>
  <si>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</si>
  <si>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</si>
  <si>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</si>
  <si>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</si>
  <si>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</si>
  <si>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</si>
  <si>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</si>
  <si>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</si>
  <si>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</si>
  <si>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</si>
  <si>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</si>
  <si>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</si>
  <si>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</si>
  <si>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</si>
  <si>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</si>
  <si>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</si>
  <si>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</si>
  <si>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</si>
  <si>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</si>
  <si>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</si>
  <si>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</si>
  <si>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</si>
  <si>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</si>
  <si>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</si>
  <si>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</si>
  <si>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</si>
  <si>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</si>
  <si>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</si>
  <si>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</si>
  <si>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</si>
  <si>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</si>
  <si>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</si>
  <si>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</si>
  <si>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</si>
  <si>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</si>
  <si>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</si>
  <si>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</si>
  <si>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</si>
  <si>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</si>
  <si>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</si>
  <si>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</si>
  <si>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</si>
  <si>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</si>
  <si>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</si>
  <si>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</si>
  <si>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</si>
  <si>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</si>
  <si>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</si>
  <si>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</si>
  <si>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</si>
  <si>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</si>
  <si>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</si>
  <si>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</si>
  <si>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</si>
  <si>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</si>
  <si>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</si>
  <si>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</si>
  <si>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</si>
  <si>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</si>
  <si>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</si>
  <si>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</si>
  <si>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</si>
  <si>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</si>
  <si>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</si>
  <si>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</si>
  <si>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</si>
  <si>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</si>
  <si>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</si>
  <si>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</si>
  <si>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</si>
  <si>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</si>
  <si>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</si>
  <si>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</si>
  <si>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</si>
  <si>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</si>
  <si>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</si>
  <si>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</si>
  <si>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</si>
  <si>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</si>
  <si>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</si>
  <si>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</si>
  <si>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</si>
  <si>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</si>
  <si>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</si>
  <si>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</si>
  <si>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</si>
  <si>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</si>
  <si>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</si>
  <si>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</si>
  <si>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</si>
  <si>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</si>
  <si>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</si>
  <si>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</si>
  <si>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</si>
  <si>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</si>
  <si>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</si>
  <si>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</si>
  <si>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</si>
  <si>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</si>
  <si>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</si>
  <si>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</si>
  <si>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</si>
  <si>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</si>
  <si>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</si>
  <si>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</si>
  <si>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</si>
  <si>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</si>
  <si>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</si>
  <si>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</si>
  <si>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</si>
  <si>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</si>
  <si>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</si>
  <si>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</si>
  <si>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</si>
  <si>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</si>
  <si>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</si>
  <si>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</si>
  <si>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</si>
  <si>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</si>
  <si>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</si>
  <si>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</si>
  <si>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</si>
  <si>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</si>
  <si>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</si>
  <si>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</si>
  <si>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</si>
  <si>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</si>
  <si>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</si>
  <si>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</si>
  <si>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</si>
  <si>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</si>
  <si>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</si>
  <si>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</si>
  <si>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</si>
  <si>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</si>
  <si>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</si>
  <si>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</si>
  <si>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</si>
  <si>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</si>
  <si>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</si>
  <si>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</si>
  <si>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</si>
  <si>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</si>
  <si>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</si>
  <si>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</si>
  <si>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</si>
  <si>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</si>
  <si>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</si>
  <si>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</si>
  <si>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</si>
  <si>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</si>
  <si>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</si>
  <si>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</si>
  <si>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</si>
  <si>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</si>
  <si>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</si>
  <si>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</si>
  <si>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</si>
  <si>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</si>
  <si>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</si>
  <si>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</si>
  <si>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</si>
  <si>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</si>
  <si>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</si>
  <si>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</si>
  <si>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</si>
  <si>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</si>
  <si>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</si>
  <si>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</si>
  <si>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</si>
  <si>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</si>
  <si>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</si>
  <si>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</si>
  <si>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</si>
  <si>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</si>
  <si>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</si>
  <si>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</si>
  <si>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</si>
  <si>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</si>
  <si>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</si>
  <si>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</si>
  <si>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</si>
  <si>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</si>
  <si>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</si>
  <si>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</si>
  <si>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</si>
  <si>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</si>
  <si>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</si>
  <si>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</si>
  <si>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</si>
  <si>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</si>
  <si>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</si>
  <si>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</si>
  <si>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</si>
  <si>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</si>
  <si>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</si>
  <si>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</si>
  <si>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</si>
  <si>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</si>
  <si>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</si>
  <si>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</si>
  <si>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</si>
  <si>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</si>
  <si>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</si>
  <si>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</si>
  <si>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</si>
  <si>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</si>
  <si>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</si>
  <si>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</si>
  <si>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</si>
  <si>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</si>
  <si>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</si>
  <si>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</si>
  <si>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</si>
  <si>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</si>
  <si>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</si>
  <si>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</si>
  <si>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</si>
  <si>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</si>
  <si>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</si>
  <si>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</si>
  <si>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</si>
  <si>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</si>
  <si>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</si>
  <si>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</si>
  <si>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</si>
  <si>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</si>
  <si>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</si>
  <si>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</si>
  <si>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</si>
  <si>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</si>
  <si>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</si>
  <si>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</si>
  <si>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</si>
  <si>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</si>
  <si>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</si>
  <si>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</si>
  <si>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</si>
  <si>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</si>
  <si>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</si>
  <si>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</si>
  <si>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</si>
  <si>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</si>
  <si>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</si>
  <si>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</si>
  <si>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</si>
  <si>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</si>
  <si>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</si>
  <si>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</si>
  <si>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</si>
  <si>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</si>
  <si>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</si>
  <si>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</si>
  <si>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</si>
  <si>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</si>
  <si>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</si>
  <si>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</si>
  <si>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</si>
  <si>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</si>
  <si>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</si>
  <si>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</si>
  <si>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</si>
  <si>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</si>
  <si>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</si>
  <si>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</si>
  <si>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</si>
  <si>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</si>
  <si>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</si>
  <si>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</si>
  <si>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</si>
  <si>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</si>
  <si>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</si>
  <si>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</si>
  <si>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</si>
  <si>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</si>
  <si>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</si>
  <si>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</si>
  <si>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</si>
  <si>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</si>
  <si>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</si>
  <si>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</si>
  <si>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</si>
  <si>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</si>
  <si>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</si>
  <si>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</si>
  <si>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</si>
  <si>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</si>
  <si>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</si>
  <si>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</si>
  <si>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</si>
  <si>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</si>
  <si>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</si>
  <si>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</si>
  <si>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</si>
  <si>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</si>
  <si>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</si>
  <si>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</si>
  <si>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</si>
  <si>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</si>
  <si>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</si>
  <si>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</si>
  <si>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</si>
  <si>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</si>
  <si>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</si>
  <si>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</si>
  <si>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</si>
  <si>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</si>
  <si>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</si>
  <si>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</si>
  <si>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</si>
  <si>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</si>
  <si>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</si>
  <si>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</si>
  <si>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</si>
  <si>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</si>
  <si>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</si>
  <si>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</si>
  <si>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</si>
  <si>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</si>
  <si>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</si>
  <si>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</si>
  <si>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</si>
  <si>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</si>
  <si>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</si>
  <si>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</si>
  <si>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</si>
  <si>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</si>
  <si>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</si>
  <si>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</si>
  <si>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</si>
  <si>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</si>
  <si>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</si>
  <si>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</si>
  <si>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</si>
  <si>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</si>
  <si>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</si>
  <si>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</si>
  <si>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</si>
  <si>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</si>
  <si>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</si>
  <si>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</si>
  <si>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</si>
  <si>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</si>
  <si>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</si>
  <si>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</si>
  <si>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</si>
  <si>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</si>
  <si>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</si>
  <si>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</si>
  <si>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</si>
  <si>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</si>
  <si>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</si>
  <si>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</si>
  <si>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</si>
  <si>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</si>
  <si>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</si>
  <si>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</si>
  <si>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</si>
  <si>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</si>
  <si>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</si>
  <si>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</si>
  <si>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</si>
  <si>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</si>
  <si>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</si>
  <si>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</si>
  <si>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</si>
  <si>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</si>
  <si>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</si>
  <si>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</si>
  <si>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</si>
  <si>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</si>
  <si>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</si>
  <si>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</si>
  <si>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</si>
  <si>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</si>
  <si>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</si>
  <si>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</si>
  <si>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</si>
  <si>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</si>
  <si>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</si>
  <si>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</si>
  <si>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</si>
  <si>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</si>
  <si>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</si>
  <si>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</si>
  <si>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</si>
  <si>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</si>
  <si>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</si>
  <si>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</si>
  <si>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</si>
  <si>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</si>
  <si>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</si>
  <si>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</si>
  <si>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</si>
  <si>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</si>
  <si>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</si>
  <si>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</si>
  <si>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</si>
  <si>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</si>
  <si>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</si>
  <si>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</si>
  <si>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</si>
  <si>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</si>
  <si>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</si>
  <si>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</si>
  <si>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</si>
  <si>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</si>
  <si>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</si>
  <si>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</si>
  <si>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</si>
  <si>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</si>
  <si>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</si>
  <si>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</si>
  <si>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</si>
  <si>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</si>
  <si>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</si>
  <si>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</si>
  <si>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</si>
  <si>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</si>
  <si>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</si>
  <si>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</si>
  <si>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</si>
  <si>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</si>
  <si>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</si>
  <si>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</si>
  <si>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</si>
  <si>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</si>
  <si>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</si>
  <si>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</si>
  <si>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</si>
  <si>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</si>
  <si>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</si>
  <si>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</si>
  <si>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</si>
  <si>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</si>
  <si>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</si>
  <si>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</si>
  <si>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</si>
  <si>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</si>
  <si>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</si>
  <si>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</si>
  <si>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</si>
  <si>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</si>
  <si>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</si>
  <si>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</si>
  <si>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</si>
  <si>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</si>
  <si>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</si>
  <si>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</si>
  <si>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</si>
  <si>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</si>
  <si>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</si>
  <si>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</si>
  <si>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</si>
  <si>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</si>
  <si>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</si>
  <si>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</si>
  <si>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</si>
  <si>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</si>
  <si>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</si>
  <si>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</si>
  <si>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</si>
  <si>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</si>
  <si>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</si>
  <si>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</si>
  <si>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</si>
  <si>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</si>
  <si>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</si>
  <si>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</si>
  <si>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</si>
  <si>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</si>
  <si>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</si>
  <si>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</si>
  <si>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</si>
  <si>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</si>
  <si>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</si>
  <si>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</si>
  <si>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</si>
  <si>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</si>
  <si>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</si>
  <si>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</si>
  <si>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</si>
  <si>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</si>
  <si>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</si>
  <si>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</si>
  <si>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</si>
  <si>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</si>
  <si>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</si>
  <si>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</si>
  <si>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</si>
  <si>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</si>
  <si>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</si>
  <si>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</si>
  <si>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</si>
  <si>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</si>
  <si>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</si>
  <si>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</si>
  <si>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</si>
  <si>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</si>
  <si>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</si>
  <si>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</si>
  <si>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</si>
  <si>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</si>
  <si>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</si>
  <si>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</si>
  <si>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</si>
  <si>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</si>
  <si>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</si>
  <si>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</si>
  <si>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</si>
  <si>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</si>
  <si>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</si>
  <si>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</si>
  <si>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</si>
  <si>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</si>
  <si>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</si>
  <si>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</si>
  <si>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</si>
  <si>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</si>
  <si>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</si>
  <si>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</si>
  <si>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</si>
  <si>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</si>
  <si>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</si>
  <si>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</si>
  <si>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</si>
  <si>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</si>
  <si>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</si>
  <si>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</si>
  <si>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</si>
  <si>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</si>
  <si>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</si>
  <si>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</si>
  <si>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</si>
  <si>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</si>
  <si>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</si>
  <si>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</si>
  <si>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</si>
  <si>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</si>
  <si>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</si>
  <si>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</si>
  <si>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</si>
  <si>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</si>
  <si>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</si>
  <si>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</si>
  <si>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</si>
  <si>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</si>
  <si>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</si>
  <si>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</si>
  <si>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</si>
  <si>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</si>
  <si>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</si>
  <si>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</si>
  <si>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</si>
  <si>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</si>
  <si>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</si>
  <si>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</si>
  <si>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</si>
  <si>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</si>
  <si>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</si>
  <si>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</si>
  <si>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</si>
  <si>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</si>
  <si>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</si>
  <si>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</si>
  <si>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</si>
  <si>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</si>
  <si>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</si>
  <si>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</si>
  <si>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</si>
  <si>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</si>
  <si>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</si>
  <si>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</si>
  <si>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</si>
  <si>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</si>
  <si>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</si>
  <si>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</si>
  <si>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</si>
  <si>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</si>
  <si>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</si>
  <si>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</si>
  <si>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</si>
  <si>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</si>
  <si>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</si>
  <si>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</si>
  <si>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</si>
  <si>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</si>
  <si>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</si>
  <si>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</si>
  <si>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</si>
  <si>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</si>
  <si>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</si>
  <si>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</si>
  <si>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</si>
  <si>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</si>
  <si>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</si>
  <si>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</si>
  <si>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</si>
  <si>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</si>
  <si>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</si>
  <si>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</si>
  <si>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</si>
  <si>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</si>
  <si>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</si>
  <si>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</si>
  <si>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</si>
  <si>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</si>
  <si>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</si>
  <si>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</si>
  <si>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</si>
  <si>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</si>
  <si>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</si>
  <si>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</si>
  <si>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</si>
  <si>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</si>
  <si>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</si>
  <si>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</si>
  <si>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</si>
  <si>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</si>
  <si>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</si>
  <si>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</si>
  <si>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</si>
  <si>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</si>
  <si>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</si>
  <si>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</si>
  <si>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</si>
  <si>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</si>
  <si>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</si>
  <si>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</si>
  <si>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</si>
  <si>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</si>
  <si>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</si>
  <si>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</si>
  <si>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</si>
  <si>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</si>
  <si>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</si>
  <si>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</si>
  <si>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</si>
  <si>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</si>
  <si>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</si>
  <si>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</si>
  <si>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</si>
  <si>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</si>
  <si>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</si>
  <si>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</si>
  <si>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</si>
  <si>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</si>
  <si>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</si>
  <si>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</si>
  <si>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</si>
  <si>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</si>
  <si>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</si>
  <si>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</si>
  <si>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</si>
  <si>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</si>
  <si>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</si>
  <si>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</si>
  <si>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</si>
  <si>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</si>
  <si>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</si>
  <si>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</si>
  <si>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</si>
  <si>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</si>
  <si>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</si>
  <si>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</si>
  <si>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</si>
  <si>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</si>
  <si>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</si>
  <si>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</si>
  <si>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</si>
  <si>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</si>
  <si>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</si>
  <si>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</si>
  <si>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</si>
  <si>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</si>
  <si>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</si>
  <si>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</si>
  <si>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</si>
  <si>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</si>
  <si>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</si>
  <si>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</si>
  <si>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</si>
  <si>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</si>
  <si>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</si>
  <si>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</si>
  <si>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</si>
  <si>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</si>
  <si>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</si>
  <si>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</si>
  <si>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</si>
  <si>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</si>
  <si>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</si>
  <si>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</si>
  <si>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</si>
  <si>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</si>
  <si>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</si>
  <si>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</si>
  <si>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</si>
  <si>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</si>
  <si>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</si>
  <si>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</si>
  <si>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</si>
  <si>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</si>
  <si>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</si>
  <si>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</si>
  <si>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</si>
  <si>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</si>
  <si>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</si>
  <si>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</si>
  <si>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</si>
  <si>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</si>
  <si>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</si>
  <si>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</si>
  <si>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</si>
  <si>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</si>
  <si>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</si>
  <si>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</si>
  <si>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</si>
  <si>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</si>
  <si>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</si>
  <si>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</si>
  <si>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</si>
  <si>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</si>
  <si>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</si>
  <si>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</si>
  <si>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</si>
  <si>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</si>
  <si>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</si>
  <si>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</si>
  <si>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</si>
  <si>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</si>
  <si>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</si>
  <si>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</si>
  <si>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</si>
  <si>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</si>
  <si>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</si>
  <si>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</si>
  <si>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</si>
  <si>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</si>
  <si>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</si>
  <si>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</si>
  <si>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</si>
  <si>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</si>
  <si>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</si>
  <si>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</si>
  <si>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</si>
  <si>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</si>
  <si>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</si>
  <si>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</si>
  <si>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</si>
  <si>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</si>
  <si>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</si>
  <si>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</si>
  <si>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</si>
  <si>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</si>
  <si>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</si>
  <si>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</si>
  <si>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</si>
  <si>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</si>
  <si>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</si>
  <si>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</si>
  <si>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</si>
  <si>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</si>
  <si>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</si>
  <si>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</si>
  <si>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</si>
  <si>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</si>
  <si>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</si>
  <si>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</si>
  <si>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</si>
  <si>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</si>
  <si>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</si>
  <si>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</si>
  <si>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</si>
  <si>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</si>
  <si>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</si>
  <si>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</si>
  <si>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</si>
  <si>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</si>
  <si>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</si>
  <si>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</si>
  <si>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</si>
  <si>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</si>
  <si>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</si>
  <si>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</si>
  <si>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</si>
  <si>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</si>
  <si>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</si>
  <si>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</si>
  <si>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</si>
  <si>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</si>
  <si>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</si>
  <si>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</si>
  <si>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</si>
  <si>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</si>
  <si>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</si>
  <si>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</si>
  <si>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</si>
  <si>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</si>
  <si>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</si>
  <si>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</si>
  <si>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</si>
  <si>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</si>
  <si>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</si>
  <si>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</si>
  <si>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</si>
  <si>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</si>
  <si>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</si>
  <si>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</si>
  <si>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</si>
  <si>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</si>
  <si>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</si>
  <si>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</si>
  <si>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</si>
  <si>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</si>
  <si>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</si>
  <si>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</si>
  <si>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</si>
  <si>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</si>
  <si>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</si>
  <si>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</si>
  <si>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</si>
  <si>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</si>
  <si>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</si>
  <si>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</si>
  <si>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</si>
  <si>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</si>
  <si>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</si>
  <si>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</si>
  <si>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</si>
  <si>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</si>
  <si>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</si>
  <si>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</si>
  <si>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</si>
  <si>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</si>
  <si>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</si>
  <si>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</si>
  <si>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</si>
  <si>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</si>
  <si>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</si>
  <si>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</si>
  <si>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</si>
  <si>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</si>
  <si>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</si>
  <si>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</si>
  <si>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</si>
  <si>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</si>
  <si>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</si>
  <si>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</si>
  <si>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</si>
  <si>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</si>
  <si>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</si>
  <si>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</si>
  <si>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</si>
  <si>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</si>
  <si>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</si>
  <si>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</si>
  <si>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</si>
  <si>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</si>
  <si>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</si>
  <si>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</si>
  <si>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</si>
  <si>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</si>
  <si>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</si>
  <si>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</si>
  <si>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</si>
  <si>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</si>
  <si>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</si>
  <si>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</si>
  <si>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</si>
  <si>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</si>
  <si>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</si>
  <si>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</si>
  <si>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</si>
  <si>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</si>
  <si>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</si>
  <si>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</si>
  <si>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</si>
  <si>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</si>
  <si>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</si>
  <si>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</si>
  <si>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</si>
  <si>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</si>
  <si>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</si>
  <si>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</si>
  <si>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</si>
  <si>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</si>
  <si>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</si>
  <si>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</si>
  <si>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</si>
  <si>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</si>
  <si>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</si>
  <si>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</si>
  <si>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</si>
  <si>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</si>
  <si>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</si>
  <si>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</si>
  <si>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</si>
  <si>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</si>
  <si>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</si>
  <si>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</si>
  <si>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</si>
  <si>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</si>
  <si>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</si>
  <si>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</si>
  <si>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</si>
  <si>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</si>
  <si>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</si>
  <si>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</si>
  <si>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</si>
  <si>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</si>
  <si>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</si>
  <si>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</si>
  <si>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</si>
  <si>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</si>
  <si>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</si>
  <si>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</si>
  <si>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</si>
  <si>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</si>
  <si>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</si>
  <si>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</si>
  <si>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</si>
  <si>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r>
      <rPr>
        <b/>
        <sz val="9"/>
        <color indexed="8"/>
        <rFont val="宋体"/>
        <family val="3"/>
        <charset val="134"/>
      </rPr>
      <t>序号</t>
    </r>
  </si>
  <si>
    <r>
      <rPr>
        <b/>
        <sz val="9"/>
        <color indexed="8"/>
        <rFont val="宋体"/>
        <family val="3"/>
        <charset val="134"/>
      </rPr>
      <t>项目名称</t>
    </r>
  </si>
  <si>
    <r>
      <rPr>
        <b/>
        <sz val="9"/>
        <color indexed="8"/>
        <rFont val="宋体"/>
        <family val="3"/>
        <charset val="134"/>
      </rPr>
      <t>面积（m</t>
    </r>
    <r>
      <rPr>
        <b/>
        <vertAlign val="superscript"/>
        <sz val="9"/>
        <color indexed="8"/>
        <rFont val="宋体"/>
        <family val="3"/>
        <charset val="134"/>
      </rPr>
      <t>2</t>
    </r>
    <r>
      <rPr>
        <b/>
        <sz val="9"/>
        <color indexed="8"/>
        <rFont val="宋体"/>
        <family val="3"/>
        <charset val="134"/>
      </rPr>
      <t>）</t>
    </r>
  </si>
  <si>
    <r>
      <rPr>
        <b/>
        <sz val="9"/>
        <color indexed="8"/>
        <rFont val="宋体"/>
        <family val="3"/>
        <charset val="134"/>
      </rPr>
      <t>用途</t>
    </r>
  </si>
  <si>
    <r>
      <rPr>
        <sz val="9"/>
        <color indexed="8"/>
        <rFont val="宋体"/>
        <family val="3"/>
        <charset val="134"/>
      </rPr>
      <t>江汉区云霞路185号、云霞路187号、淮海路249号泛海国际中心1层商1号</t>
    </r>
  </si>
  <si>
    <r>
      <rPr>
        <sz val="9"/>
        <color indexed="8"/>
        <rFont val="宋体"/>
        <family val="3"/>
        <charset val="134"/>
      </rPr>
      <t>商务金融用地/商业服务</t>
    </r>
  </si>
  <si>
    <r>
      <rPr>
        <sz val="9"/>
        <color indexed="8"/>
        <rFont val="宋体"/>
        <family val="3"/>
        <charset val="134"/>
      </rPr>
      <t>江汉区云霞路185号、云霞路187号、淮海路249号泛海国际中心1层商2号</t>
    </r>
  </si>
  <si>
    <r>
      <rPr>
        <sz val="9"/>
        <color indexed="8"/>
        <rFont val="宋体"/>
        <family val="3"/>
        <charset val="134"/>
      </rPr>
      <t>江汉区云霞路185号、云霞路187号、淮海路249号泛海国际中心1层商3号</t>
    </r>
  </si>
  <si>
    <r>
      <rPr>
        <sz val="9"/>
        <color indexed="8"/>
        <rFont val="宋体"/>
        <family val="3"/>
        <charset val="134"/>
      </rPr>
      <t>江汉区云霞路185号、云霞路187号、淮海路249号泛海国际中心1层商4号</t>
    </r>
  </si>
  <si>
    <r>
      <rPr>
        <sz val="9"/>
        <color indexed="8"/>
        <rFont val="宋体"/>
        <family val="3"/>
        <charset val="134"/>
      </rPr>
      <t>江汉区云霞路185号、云霞路187号、淮海路249号泛海国际中心3层商1号</t>
    </r>
  </si>
  <si>
    <r>
      <rPr>
        <sz val="9"/>
        <color indexed="8"/>
        <rFont val="宋体"/>
        <family val="3"/>
        <charset val="134"/>
      </rPr>
      <t>江汉区云霞路185号、云霞路187号、淮海路249号泛海国际中心办公A单元4层1号</t>
    </r>
  </si>
  <si>
    <r>
      <rPr>
        <sz val="9"/>
        <color indexed="8"/>
        <rFont val="宋体"/>
        <family val="3"/>
        <charset val="134"/>
      </rPr>
      <t>商务金融用地/办公</t>
    </r>
  </si>
  <si>
    <r>
      <rPr>
        <sz val="9"/>
        <color indexed="8"/>
        <rFont val="宋体"/>
        <family val="3"/>
        <charset val="134"/>
      </rPr>
      <t>江汉区云霞路185号、云霞路187号、淮海路249号泛海国际中心办公A单元4层2号</t>
    </r>
  </si>
  <si>
    <r>
      <rPr>
        <sz val="9"/>
        <color indexed="8"/>
        <rFont val="宋体"/>
        <family val="3"/>
        <charset val="134"/>
      </rPr>
      <t>江汉区云霞路185号、云霞路187号、淮海路249号泛海国际中心办公A单元4层3号</t>
    </r>
  </si>
  <si>
    <r>
      <rPr>
        <sz val="9"/>
        <color indexed="8"/>
        <rFont val="宋体"/>
        <family val="3"/>
        <charset val="134"/>
      </rPr>
      <t>江汉区云霞路185号、云霞路187号、淮海路249号泛海国际中心办公A单元4层4号</t>
    </r>
  </si>
  <si>
    <r>
      <rPr>
        <sz val="9"/>
        <color indexed="8"/>
        <rFont val="宋体"/>
        <family val="3"/>
        <charset val="134"/>
      </rPr>
      <t>江汉区云霞路185号、云霞路187号、淮海路249号泛海国际中心办公A单元5层1号</t>
    </r>
  </si>
  <si>
    <r>
      <rPr>
        <sz val="9"/>
        <color indexed="8"/>
        <rFont val="宋体"/>
        <family val="3"/>
        <charset val="134"/>
      </rPr>
      <t>江汉区云霞路185号、云霞路187号、淮海路249号泛海国际中心办公A单元5层2号</t>
    </r>
  </si>
  <si>
    <r>
      <rPr>
        <sz val="9"/>
        <color indexed="8"/>
        <rFont val="宋体"/>
        <family val="3"/>
        <charset val="134"/>
      </rPr>
      <t>江汉区云霞路185号、云霞路187号、淮海路249号泛海国际中心办公A单元5层3号</t>
    </r>
  </si>
  <si>
    <r>
      <rPr>
        <sz val="9"/>
        <color indexed="8"/>
        <rFont val="宋体"/>
        <family val="3"/>
        <charset val="134"/>
      </rPr>
      <t>江汉区云霞路185号、云霞路187号、淮海路249号泛海国际中心办公A单元5层4号</t>
    </r>
  </si>
  <si>
    <r>
      <rPr>
        <sz val="9"/>
        <color indexed="8"/>
        <rFont val="宋体"/>
        <family val="3"/>
        <charset val="134"/>
      </rPr>
      <t>江汉区云霞路185号、云霞路187号、淮海路249号泛海国际中心办公A单元5层5号</t>
    </r>
  </si>
  <si>
    <r>
      <rPr>
        <sz val="9"/>
        <color indexed="8"/>
        <rFont val="宋体"/>
        <family val="3"/>
        <charset val="134"/>
      </rPr>
      <t>江汉区云霞路185号、云霞路187号、淮海路249号泛海国际中心办公A单元5层6号</t>
    </r>
  </si>
  <si>
    <r>
      <rPr>
        <sz val="9"/>
        <color indexed="8"/>
        <rFont val="宋体"/>
        <family val="3"/>
        <charset val="134"/>
      </rPr>
      <t>江汉区云霞路185号、云霞路187号、淮海路249号泛海国际中心办公A单元6层1号</t>
    </r>
  </si>
  <si>
    <r>
      <rPr>
        <sz val="9"/>
        <color indexed="8"/>
        <rFont val="宋体"/>
        <family val="3"/>
        <charset val="134"/>
      </rPr>
      <t>江汉区云霞路185号、云霞路187号、淮海路249号泛海国际中心办公A单元6层2号</t>
    </r>
  </si>
  <si>
    <r>
      <rPr>
        <sz val="9"/>
        <color indexed="8"/>
        <rFont val="宋体"/>
        <family val="3"/>
        <charset val="134"/>
      </rPr>
      <t>江汉区云霞路185号、云霞路187号、淮海路249号泛海国际中心办公A单元6层3号</t>
    </r>
  </si>
  <si>
    <r>
      <rPr>
        <sz val="9"/>
        <color indexed="8"/>
        <rFont val="宋体"/>
        <family val="3"/>
        <charset val="134"/>
      </rPr>
      <t>江汉区云霞路185号、云霞路187号、淮海路249号泛海国际中心办公A单元6层4号</t>
    </r>
  </si>
  <si>
    <r>
      <rPr>
        <sz val="9"/>
        <color indexed="8"/>
        <rFont val="宋体"/>
        <family val="3"/>
        <charset val="134"/>
      </rPr>
      <t>江汉区云霞路185号、云霞路187号、淮海路249号泛海国际中心办公A单元6层5号</t>
    </r>
  </si>
  <si>
    <r>
      <rPr>
        <sz val="9"/>
        <color indexed="8"/>
        <rFont val="宋体"/>
        <family val="3"/>
        <charset val="134"/>
      </rPr>
      <t>江汉区云霞路185号、云霞路187号、淮海路249号泛海国际中心办公A单元6层6号</t>
    </r>
  </si>
  <si>
    <r>
      <rPr>
        <sz val="9"/>
        <color indexed="8"/>
        <rFont val="宋体"/>
        <family val="3"/>
        <charset val="134"/>
      </rPr>
      <t>江汉区云霞路185号、云霞路187号、淮海路249号泛海国际中心办公A单元7层1号</t>
    </r>
  </si>
  <si>
    <r>
      <rPr>
        <sz val="9"/>
        <color indexed="8"/>
        <rFont val="宋体"/>
        <family val="3"/>
        <charset val="134"/>
      </rPr>
      <t>江汉区云霞路185号、云霞路187号、淮海路249号泛海国际中心办公A单元7层2号</t>
    </r>
  </si>
  <si>
    <r>
      <rPr>
        <sz val="9"/>
        <color indexed="8"/>
        <rFont val="宋体"/>
        <family val="3"/>
        <charset val="134"/>
      </rPr>
      <t>江汉区云霞路185号、云霞路187号、淮海路249号泛海国际中心办公A单元7层3号</t>
    </r>
  </si>
  <si>
    <r>
      <rPr>
        <sz val="9"/>
        <color indexed="8"/>
        <rFont val="宋体"/>
        <family val="3"/>
        <charset val="134"/>
      </rPr>
      <t>江汉区云霞路185号、云霞路187号、淮海路249号泛海国际中心办公A单元7层4号</t>
    </r>
  </si>
  <si>
    <r>
      <rPr>
        <sz val="9"/>
        <color indexed="8"/>
        <rFont val="宋体"/>
        <family val="3"/>
        <charset val="134"/>
      </rPr>
      <t>江汉区云霞路185号、云霞路187号、淮海路249号泛海国际中心办公A单元7层5号</t>
    </r>
  </si>
  <si>
    <r>
      <rPr>
        <sz val="9"/>
        <color indexed="8"/>
        <rFont val="宋体"/>
        <family val="3"/>
        <charset val="134"/>
      </rPr>
      <t>江汉区云霞路185号、云霞路187号、淮海路249号泛海国际中心办公A单元7层6号</t>
    </r>
  </si>
  <si>
    <r>
      <rPr>
        <sz val="9"/>
        <color indexed="8"/>
        <rFont val="宋体"/>
        <family val="3"/>
        <charset val="134"/>
      </rPr>
      <t>江汉区云霞路185号、云霞路187号、淮海路249号泛海国际中心办公A单元8层1号</t>
    </r>
  </si>
  <si>
    <r>
      <rPr>
        <sz val="9"/>
        <color indexed="8"/>
        <rFont val="宋体"/>
        <family val="3"/>
        <charset val="134"/>
      </rPr>
      <t>江汉区云霞路185号、云霞路187号、淮海路249号泛海国际中心办公A单元8层2号</t>
    </r>
  </si>
  <si>
    <r>
      <rPr>
        <sz val="9"/>
        <color indexed="8"/>
        <rFont val="宋体"/>
        <family val="3"/>
        <charset val="134"/>
      </rPr>
      <t>江汉区云霞路185号、云霞路187号、淮海路249号泛海国际中心办公A单元8层3号</t>
    </r>
  </si>
  <si>
    <r>
      <rPr>
        <sz val="9"/>
        <color indexed="8"/>
        <rFont val="宋体"/>
        <family val="3"/>
        <charset val="134"/>
      </rPr>
      <t>江汉区云霞路185号、云霞路187号、淮海路249号泛海国际中心办公A单元8层4号</t>
    </r>
  </si>
  <si>
    <r>
      <rPr>
        <sz val="9"/>
        <color indexed="8"/>
        <rFont val="宋体"/>
        <family val="3"/>
        <charset val="134"/>
      </rPr>
      <t>江汉区云霞路185号、云霞路187号、淮海路249号泛海国际中心办公A单元8层5号</t>
    </r>
  </si>
  <si>
    <r>
      <rPr>
        <sz val="9"/>
        <color indexed="8"/>
        <rFont val="宋体"/>
        <family val="3"/>
        <charset val="134"/>
      </rPr>
      <t>江汉区云霞路185号、云霞路187号、淮海路249号泛海国际中心办公A单元8层6号</t>
    </r>
  </si>
  <si>
    <r>
      <rPr>
        <sz val="9"/>
        <color indexed="8"/>
        <rFont val="宋体"/>
        <family val="3"/>
        <charset val="134"/>
      </rPr>
      <t>江汉区云霞路185号、云霞路187号、淮海路249号泛海国际中心办公A单元9层1号</t>
    </r>
  </si>
  <si>
    <r>
      <rPr>
        <sz val="9"/>
        <color indexed="8"/>
        <rFont val="宋体"/>
        <family val="3"/>
        <charset val="134"/>
      </rPr>
      <t>江汉区云霞路185号、云霞路187号、淮海路249号泛海国际中心办公A单元9层2号</t>
    </r>
  </si>
  <si>
    <r>
      <rPr>
        <sz val="9"/>
        <color indexed="8"/>
        <rFont val="宋体"/>
        <family val="3"/>
        <charset val="134"/>
      </rPr>
      <t>江汉区云霞路185号、云霞路187号、淮海路249号泛海国际中心办公A单元9层3号</t>
    </r>
  </si>
  <si>
    <r>
      <rPr>
        <sz val="9"/>
        <color indexed="8"/>
        <rFont val="宋体"/>
        <family val="3"/>
        <charset val="134"/>
      </rPr>
      <t>江汉区云霞路185号、云霞路187号、淮海路249号泛海国际中心办公A单元9层4号</t>
    </r>
  </si>
  <si>
    <r>
      <rPr>
        <sz val="9"/>
        <color indexed="8"/>
        <rFont val="宋体"/>
        <family val="3"/>
        <charset val="134"/>
      </rPr>
      <t>江汉区云霞路185号、云霞路187号、淮海路249号泛海国际中心办公A单元9层5号</t>
    </r>
  </si>
  <si>
    <r>
      <rPr>
        <sz val="9"/>
        <color indexed="8"/>
        <rFont val="宋体"/>
        <family val="3"/>
        <charset val="134"/>
      </rPr>
      <t>江汉区云霞路185号、云霞路187号、淮海路249号泛海国际中心办公A单元9层6号</t>
    </r>
  </si>
  <si>
    <r>
      <rPr>
        <sz val="9"/>
        <color indexed="8"/>
        <rFont val="宋体"/>
        <family val="3"/>
        <charset val="134"/>
      </rPr>
      <t>江汉区云霞路185号、云霞路187号、淮海路249号泛海国际中心办公A单元10层1号</t>
    </r>
  </si>
  <si>
    <r>
      <rPr>
        <sz val="9"/>
        <color indexed="8"/>
        <rFont val="宋体"/>
        <family val="3"/>
        <charset val="134"/>
      </rPr>
      <t>江汉区云霞路185号、云霞路187号、淮海路249号泛海国际中心办公A单元10层2号</t>
    </r>
  </si>
  <si>
    <r>
      <rPr>
        <sz val="9"/>
        <color indexed="8"/>
        <rFont val="宋体"/>
        <family val="3"/>
        <charset val="134"/>
      </rPr>
      <t>江汉区云霞路185号、云霞路187号、淮海路249号泛海国际中心办公A单元10层3号</t>
    </r>
  </si>
  <si>
    <r>
      <rPr>
        <sz val="9"/>
        <color indexed="8"/>
        <rFont val="宋体"/>
        <family val="3"/>
        <charset val="134"/>
      </rPr>
      <t>江汉区云霞路185号、云霞路187号、淮海路249号泛海国际中心办公A单元10层4号</t>
    </r>
  </si>
  <si>
    <r>
      <rPr>
        <sz val="9"/>
        <color indexed="8"/>
        <rFont val="宋体"/>
        <family val="3"/>
        <charset val="134"/>
      </rPr>
      <t>江汉区云霞路185号、云霞路187号、淮海路249号泛海国际中心办公A单元10层5号</t>
    </r>
  </si>
  <si>
    <r>
      <rPr>
        <sz val="9"/>
        <color indexed="8"/>
        <rFont val="宋体"/>
        <family val="3"/>
        <charset val="134"/>
      </rPr>
      <t>江汉区云霞路185号、云霞路187号、淮海路249号泛海国际中心办公A单元10层6号</t>
    </r>
  </si>
  <si>
    <r>
      <rPr>
        <sz val="9"/>
        <color indexed="8"/>
        <rFont val="宋体"/>
        <family val="3"/>
        <charset val="134"/>
      </rPr>
      <t>江汉区云霞路185号、云霞路187号、淮海路249号泛海国际中心办公A单元11层1号</t>
    </r>
  </si>
  <si>
    <r>
      <rPr>
        <sz val="9"/>
        <color indexed="8"/>
        <rFont val="宋体"/>
        <family val="3"/>
        <charset val="134"/>
      </rPr>
      <t>江汉区云霞路185号、云霞路187号、淮海路249号泛海国际中心办公A单元11层2号</t>
    </r>
  </si>
  <si>
    <r>
      <rPr>
        <sz val="9"/>
        <color indexed="8"/>
        <rFont val="宋体"/>
        <family val="3"/>
        <charset val="134"/>
      </rPr>
      <t>江汉区云霞路185号、云霞路187号、淮海路249号泛海国际中心办公A单元11层3号</t>
    </r>
  </si>
  <si>
    <r>
      <rPr>
        <sz val="9"/>
        <color indexed="8"/>
        <rFont val="宋体"/>
        <family val="3"/>
        <charset val="134"/>
      </rPr>
      <t>江汉区云霞路185号、云霞路187号、淮海路249号泛海国际中心办公A单元11层4号</t>
    </r>
  </si>
  <si>
    <r>
      <rPr>
        <sz val="9"/>
        <color indexed="8"/>
        <rFont val="宋体"/>
        <family val="3"/>
        <charset val="134"/>
      </rPr>
      <t>江汉区云霞路185号、云霞路187号、淮海路249号泛海国际中心办公A单元11层5号</t>
    </r>
  </si>
  <si>
    <r>
      <rPr>
        <sz val="9"/>
        <color indexed="8"/>
        <rFont val="宋体"/>
        <family val="3"/>
        <charset val="134"/>
      </rPr>
      <t>江汉区云霞路185号、云霞路187号、淮海路249号泛海国际中心办公A单元11层6号</t>
    </r>
  </si>
  <si>
    <r>
      <rPr>
        <sz val="9"/>
        <color indexed="8"/>
        <rFont val="宋体"/>
        <family val="3"/>
        <charset val="134"/>
      </rPr>
      <t>江汉区云霞路185号、云霞路187号、淮海路249号泛海国际中心办公A单元12层1号</t>
    </r>
  </si>
  <si>
    <r>
      <rPr>
        <sz val="9"/>
        <color indexed="8"/>
        <rFont val="宋体"/>
        <family val="3"/>
        <charset val="134"/>
      </rPr>
      <t>江汉区云霞路185号、云霞路187号、淮海路249号泛海国际中心办公A单元12层2号</t>
    </r>
  </si>
  <si>
    <r>
      <rPr>
        <sz val="9"/>
        <color indexed="8"/>
        <rFont val="宋体"/>
        <family val="3"/>
        <charset val="134"/>
      </rPr>
      <t>江汉区云霞路185号、云霞路187号、淮海路249号泛海国际中心办公A单元12层3号</t>
    </r>
  </si>
  <si>
    <r>
      <rPr>
        <sz val="9"/>
        <color indexed="8"/>
        <rFont val="宋体"/>
        <family val="3"/>
        <charset val="134"/>
      </rPr>
      <t>江汉区云霞路185号、云霞路187号、淮海路249号泛海国际中心办公A单元12层4号</t>
    </r>
  </si>
  <si>
    <r>
      <rPr>
        <sz val="9"/>
        <color indexed="8"/>
        <rFont val="宋体"/>
        <family val="3"/>
        <charset val="134"/>
      </rPr>
      <t>江汉区云霞路185号、云霞路187号、淮海路249号泛海国际中心办公A单元12层5号</t>
    </r>
  </si>
  <si>
    <r>
      <rPr>
        <sz val="9"/>
        <color indexed="8"/>
        <rFont val="宋体"/>
        <family val="3"/>
        <charset val="134"/>
      </rPr>
      <t>江汉区云霞路185号、云霞路187号、淮海路249号泛海国际中心办公A单元12层6号</t>
    </r>
  </si>
  <si>
    <r>
      <rPr>
        <sz val="9"/>
        <color indexed="8"/>
        <rFont val="宋体"/>
        <family val="3"/>
        <charset val="134"/>
      </rPr>
      <t>江汉区云霞路185号、云霞路187号、淮海路249号泛海国际中心办公A单元13层1号</t>
    </r>
  </si>
  <si>
    <r>
      <rPr>
        <sz val="9"/>
        <color indexed="8"/>
        <rFont val="宋体"/>
        <family val="3"/>
        <charset val="134"/>
      </rPr>
      <t>江汉区云霞路185号、云霞路187号、淮海路249号泛海国际中心办公A单元13层2号</t>
    </r>
  </si>
  <si>
    <r>
      <rPr>
        <sz val="9"/>
        <color indexed="8"/>
        <rFont val="宋体"/>
        <family val="3"/>
        <charset val="134"/>
      </rPr>
      <t>江汉区云霞路185号、云霞路187号、淮海路249号泛海国际中心办公A单元13层3号</t>
    </r>
  </si>
  <si>
    <r>
      <rPr>
        <sz val="9"/>
        <color indexed="8"/>
        <rFont val="宋体"/>
        <family val="3"/>
        <charset val="134"/>
      </rPr>
      <t>江汉区云霞路185号、云霞路187号、淮海路249号泛海国际中心办公A单元13层4号</t>
    </r>
  </si>
  <si>
    <r>
      <rPr>
        <sz val="9"/>
        <color indexed="8"/>
        <rFont val="宋体"/>
        <family val="3"/>
        <charset val="134"/>
      </rPr>
      <t>江汉区云霞路185号、云霞路187号、淮海路249号泛海国际中心办公A单元13层5号</t>
    </r>
  </si>
  <si>
    <r>
      <rPr>
        <sz val="9"/>
        <color indexed="8"/>
        <rFont val="宋体"/>
        <family val="3"/>
        <charset val="134"/>
      </rPr>
      <t>江汉区云霞路185号、云霞路187号、淮海路249号泛海国际中心办公A单元13层6号</t>
    </r>
  </si>
  <si>
    <r>
      <rPr>
        <sz val="9"/>
        <color indexed="8"/>
        <rFont val="宋体"/>
        <family val="3"/>
        <charset val="134"/>
      </rPr>
      <t>江汉区云霞路185号、云霞路187号、淮海路249号泛海国际中心办公A单元14层1号</t>
    </r>
  </si>
  <si>
    <r>
      <rPr>
        <sz val="9"/>
        <color indexed="8"/>
        <rFont val="宋体"/>
        <family val="3"/>
        <charset val="134"/>
      </rPr>
      <t>江汉区云霞路185号、云霞路187号、淮海路249号泛海国际中心办公A单元14层2号</t>
    </r>
  </si>
  <si>
    <r>
      <rPr>
        <sz val="9"/>
        <color indexed="8"/>
        <rFont val="宋体"/>
        <family val="3"/>
        <charset val="134"/>
      </rPr>
      <t>江汉区云霞路185号、云霞路187号、淮海路249号泛海国际中心办公A单元14层3号</t>
    </r>
  </si>
  <si>
    <r>
      <rPr>
        <sz val="9"/>
        <color indexed="8"/>
        <rFont val="宋体"/>
        <family val="3"/>
        <charset val="134"/>
      </rPr>
      <t>江汉区云霞路185号、云霞路187号、淮海路249号泛海国际中心办公A单元14层4号</t>
    </r>
  </si>
  <si>
    <r>
      <rPr>
        <sz val="9"/>
        <color indexed="8"/>
        <rFont val="宋体"/>
        <family val="3"/>
        <charset val="134"/>
      </rPr>
      <t>江汉区云霞路185号、云霞路187号、淮海路249号泛海国际中心办公A单元14层5号</t>
    </r>
  </si>
  <si>
    <r>
      <rPr>
        <sz val="9"/>
        <color indexed="8"/>
        <rFont val="宋体"/>
        <family val="3"/>
        <charset val="134"/>
      </rPr>
      <t>江汉区云霞路185号、云霞路187号、淮海路249号泛海国际中心办公A单元14层6号</t>
    </r>
  </si>
  <si>
    <r>
      <rPr>
        <sz val="9"/>
        <color indexed="8"/>
        <rFont val="宋体"/>
        <family val="3"/>
        <charset val="134"/>
      </rPr>
      <t>江汉区云霞路185号、云霞路187号、淮海路249号泛海国际中心办公A单元16层1号</t>
    </r>
  </si>
  <si>
    <r>
      <rPr>
        <sz val="9"/>
        <color indexed="8"/>
        <rFont val="宋体"/>
        <family val="3"/>
        <charset val="134"/>
      </rPr>
      <t>江汉区云霞路185号、云霞路187号、淮海路249号泛海国际中心办公A单元16层2号</t>
    </r>
  </si>
  <si>
    <r>
      <rPr>
        <sz val="9"/>
        <color indexed="8"/>
        <rFont val="宋体"/>
        <family val="3"/>
        <charset val="134"/>
      </rPr>
      <t>江汉区云霞路185号、云霞路187号、淮海路249号泛海国际中心办公A单元16层3号</t>
    </r>
  </si>
  <si>
    <r>
      <rPr>
        <sz val="9"/>
        <color indexed="8"/>
        <rFont val="宋体"/>
        <family val="3"/>
        <charset val="134"/>
      </rPr>
      <t>江汉区云霞路185号、云霞路187号、淮海路249号泛海国际中心办公A单元16层4号</t>
    </r>
  </si>
  <si>
    <r>
      <rPr>
        <sz val="9"/>
        <color indexed="8"/>
        <rFont val="宋体"/>
        <family val="3"/>
        <charset val="134"/>
      </rPr>
      <t>江汉区云霞路185号、云霞路187号、淮海路249号泛海国际中心办公A单元16层5号</t>
    </r>
  </si>
  <si>
    <r>
      <rPr>
        <sz val="9"/>
        <color indexed="8"/>
        <rFont val="宋体"/>
        <family val="3"/>
        <charset val="134"/>
      </rPr>
      <t>江汉区云霞路185号、云霞路187号、淮海路249号泛海国际中心办公A单元16层6号</t>
    </r>
  </si>
  <si>
    <r>
      <rPr>
        <sz val="9"/>
        <color indexed="8"/>
        <rFont val="宋体"/>
        <family val="3"/>
        <charset val="134"/>
      </rPr>
      <t>江汉区云霞路185号、云霞路187号、淮海路249号泛海国际中心办公A单元17层1号</t>
    </r>
  </si>
  <si>
    <r>
      <rPr>
        <sz val="9"/>
        <color indexed="8"/>
        <rFont val="宋体"/>
        <family val="3"/>
        <charset val="134"/>
      </rPr>
      <t>江汉区云霞路185号、云霞路187号、淮海路249号泛海国际中心办公A单元17层2号</t>
    </r>
  </si>
  <si>
    <r>
      <rPr>
        <sz val="9"/>
        <color indexed="8"/>
        <rFont val="宋体"/>
        <family val="3"/>
        <charset val="134"/>
      </rPr>
      <t>江汉区云霞路185号、云霞路187号、淮海路249号泛海国际中心办公A单元17层3号</t>
    </r>
  </si>
  <si>
    <r>
      <rPr>
        <sz val="9"/>
        <color indexed="8"/>
        <rFont val="宋体"/>
        <family val="3"/>
        <charset val="134"/>
      </rPr>
      <t>江汉区云霞路185号、云霞路187号、淮海路249号泛海国际中心办公A单元17层4号</t>
    </r>
  </si>
  <si>
    <r>
      <rPr>
        <sz val="9"/>
        <color indexed="8"/>
        <rFont val="宋体"/>
        <family val="3"/>
        <charset val="134"/>
      </rPr>
      <t>江汉区云霞路185号、云霞路187号、淮海路249号泛海国际中心办公A单元17层5号</t>
    </r>
  </si>
  <si>
    <r>
      <rPr>
        <sz val="9"/>
        <color indexed="8"/>
        <rFont val="宋体"/>
        <family val="3"/>
        <charset val="134"/>
      </rPr>
      <t>江汉区云霞路185号、云霞路187号、淮海路249号泛海国际中心办公A单元17层6号</t>
    </r>
  </si>
  <si>
    <r>
      <rPr>
        <sz val="9"/>
        <color indexed="8"/>
        <rFont val="宋体"/>
        <family val="3"/>
        <charset val="134"/>
      </rPr>
      <t>江汉区云霞路185号、云霞路187号、淮海路249号泛海国际中心办公A单元18层1号</t>
    </r>
  </si>
  <si>
    <r>
      <rPr>
        <sz val="9"/>
        <color indexed="8"/>
        <rFont val="宋体"/>
        <family val="3"/>
        <charset val="134"/>
      </rPr>
      <t>江汉区云霞路185号、云霞路187号、淮海路249号泛海国际中心办公A单元18层2号</t>
    </r>
  </si>
  <si>
    <r>
      <rPr>
        <sz val="9"/>
        <color indexed="8"/>
        <rFont val="宋体"/>
        <family val="3"/>
        <charset val="134"/>
      </rPr>
      <t>江汉区云霞路185号、云霞路187号、淮海路249号泛海国际中心办公A单元18层3号</t>
    </r>
  </si>
  <si>
    <r>
      <rPr>
        <sz val="9"/>
        <color indexed="8"/>
        <rFont val="宋体"/>
        <family val="3"/>
        <charset val="134"/>
      </rPr>
      <t>江汉区云霞路185号、云霞路187号、淮海路249号泛海国际中心办公A单元18层4号</t>
    </r>
  </si>
  <si>
    <r>
      <rPr>
        <sz val="9"/>
        <color indexed="8"/>
        <rFont val="宋体"/>
        <family val="3"/>
        <charset val="134"/>
      </rPr>
      <t>江汉区云霞路185号、云霞路187号、淮海路249号泛海国际中心办公A单元18层5号</t>
    </r>
  </si>
  <si>
    <r>
      <rPr>
        <sz val="9"/>
        <color indexed="8"/>
        <rFont val="宋体"/>
        <family val="3"/>
        <charset val="134"/>
      </rPr>
      <t>江汉区云霞路185号、云霞路187号、淮海路249号泛海国际中心办公A单元18层6号</t>
    </r>
  </si>
  <si>
    <r>
      <rPr>
        <sz val="9"/>
        <color indexed="8"/>
        <rFont val="宋体"/>
        <family val="3"/>
        <charset val="134"/>
      </rPr>
      <t>江汉区云霞路185号、云霞路187号、淮海路249号泛海国际中心办公A单元19层1号</t>
    </r>
  </si>
  <si>
    <r>
      <rPr>
        <sz val="9"/>
        <color indexed="8"/>
        <rFont val="宋体"/>
        <family val="3"/>
        <charset val="134"/>
      </rPr>
      <t>江汉区云霞路185号、云霞路187号、淮海路249号泛海国际中心办公A单元19层2号</t>
    </r>
  </si>
  <si>
    <r>
      <rPr>
        <sz val="9"/>
        <color indexed="8"/>
        <rFont val="宋体"/>
        <family val="3"/>
        <charset val="134"/>
      </rPr>
      <t>江汉区云霞路185号、云霞路187号、淮海路249号泛海国际中心办公A单元19层3号</t>
    </r>
  </si>
  <si>
    <r>
      <rPr>
        <sz val="9"/>
        <color indexed="8"/>
        <rFont val="宋体"/>
        <family val="3"/>
        <charset val="134"/>
      </rPr>
      <t>江汉区云霞路185号、云霞路187号、淮海路249号泛海国际中心办公A单元19层4号</t>
    </r>
  </si>
  <si>
    <r>
      <rPr>
        <sz val="9"/>
        <color indexed="8"/>
        <rFont val="宋体"/>
        <family val="3"/>
        <charset val="134"/>
      </rPr>
      <t>江汉区云霞路185号、云霞路187号、淮海路249号泛海国际中心办公A单元19层5号</t>
    </r>
  </si>
  <si>
    <r>
      <rPr>
        <sz val="9"/>
        <color indexed="8"/>
        <rFont val="宋体"/>
        <family val="3"/>
        <charset val="134"/>
      </rPr>
      <t>江汉区云霞路185号、云霞路187号、淮海路249号泛海国际中心办公A单元19层6号</t>
    </r>
  </si>
  <si>
    <r>
      <rPr>
        <sz val="9"/>
        <color indexed="8"/>
        <rFont val="宋体"/>
        <family val="3"/>
        <charset val="134"/>
      </rPr>
      <t>江汉区云霞路185号、云霞路187号、淮海路249号泛海国际中心办公A单元20层1号</t>
    </r>
  </si>
  <si>
    <r>
      <rPr>
        <sz val="9"/>
        <color indexed="8"/>
        <rFont val="宋体"/>
        <family val="3"/>
        <charset val="134"/>
      </rPr>
      <t>江汉区云霞路185号、云霞路187号、淮海路249号泛海国际中心办公A单元20层2号</t>
    </r>
  </si>
  <si>
    <r>
      <rPr>
        <sz val="9"/>
        <color indexed="8"/>
        <rFont val="宋体"/>
        <family val="3"/>
        <charset val="134"/>
      </rPr>
      <t>江汉区云霞路185号、云霞路187号、淮海路249号泛海国际中心办公A单元20层3号</t>
    </r>
  </si>
  <si>
    <r>
      <rPr>
        <sz val="9"/>
        <color indexed="8"/>
        <rFont val="宋体"/>
        <family val="3"/>
        <charset val="134"/>
      </rPr>
      <t>江汉区云霞路185号、云霞路187号、淮海路249号泛海国际中心办公A单元20层4号</t>
    </r>
  </si>
  <si>
    <r>
      <rPr>
        <sz val="9"/>
        <color indexed="8"/>
        <rFont val="宋体"/>
        <family val="3"/>
        <charset val="134"/>
      </rPr>
      <t>江汉区云霞路185号、云霞路187号、淮海路249号泛海国际中心办公A单元20层5号</t>
    </r>
  </si>
  <si>
    <r>
      <rPr>
        <sz val="9"/>
        <color indexed="8"/>
        <rFont val="宋体"/>
        <family val="3"/>
        <charset val="134"/>
      </rPr>
      <t>江汉区云霞路185号、云霞路187号、淮海路249号泛海国际中心办公A单元20层6号</t>
    </r>
  </si>
  <si>
    <r>
      <rPr>
        <sz val="9"/>
        <color indexed="8"/>
        <rFont val="宋体"/>
        <family val="3"/>
        <charset val="134"/>
      </rPr>
      <t>江汉区云霞路185号、云霞路187号、淮海路249号泛海国际中心办公A单元21层1号</t>
    </r>
  </si>
  <si>
    <r>
      <rPr>
        <sz val="9"/>
        <color indexed="8"/>
        <rFont val="宋体"/>
        <family val="3"/>
        <charset val="134"/>
      </rPr>
      <t>江汉区云霞路185号、云霞路187号、淮海路249号泛海国际中心办公A单元21层2号</t>
    </r>
  </si>
  <si>
    <r>
      <rPr>
        <sz val="9"/>
        <color indexed="8"/>
        <rFont val="宋体"/>
        <family val="3"/>
        <charset val="134"/>
      </rPr>
      <t>江汉区云霞路185号、云霞路187号、淮海路249号泛海国际中心办公A单元21层3号</t>
    </r>
  </si>
  <si>
    <r>
      <rPr>
        <sz val="9"/>
        <color indexed="8"/>
        <rFont val="宋体"/>
        <family val="3"/>
        <charset val="134"/>
      </rPr>
      <t>江汉区云霞路185号、云霞路187号、淮海路249号泛海国际中心办公A单元21层4号</t>
    </r>
  </si>
  <si>
    <r>
      <rPr>
        <sz val="9"/>
        <color indexed="8"/>
        <rFont val="宋体"/>
        <family val="3"/>
        <charset val="134"/>
      </rPr>
      <t>江汉区云霞路185号、云霞路187号、淮海路249号泛海国际中心办公A单元21层5号</t>
    </r>
  </si>
  <si>
    <r>
      <rPr>
        <sz val="9"/>
        <color indexed="8"/>
        <rFont val="宋体"/>
        <family val="3"/>
        <charset val="134"/>
      </rPr>
      <t>江汉区云霞路185号、云霞路187号、淮海路249号泛海国际中心办公A单元21层6号</t>
    </r>
  </si>
  <si>
    <r>
      <rPr>
        <sz val="9"/>
        <color indexed="8"/>
        <rFont val="宋体"/>
        <family val="3"/>
        <charset val="134"/>
      </rPr>
      <t>江汉区云霞路185号、云霞路187号、淮海路249号泛海国际中心/栋办公A单元22层1号</t>
    </r>
  </si>
  <si>
    <r>
      <rPr>
        <sz val="9"/>
        <color indexed="8"/>
        <rFont val="宋体"/>
        <family val="3"/>
        <charset val="134"/>
      </rPr>
      <t>江汉区江汉区云霞路185号、云霞路187号、淮海路249号泛海国际中心/栋办公A单元22层2号</t>
    </r>
  </si>
  <si>
    <r>
      <rPr>
        <sz val="9"/>
        <color indexed="8"/>
        <rFont val="宋体"/>
        <family val="3"/>
        <charset val="134"/>
      </rPr>
      <t>江汉区云霞路185号、云霞路187号、淮海路249号泛海国际中心办公A单元22层3号</t>
    </r>
  </si>
  <si>
    <r>
      <rPr>
        <sz val="9"/>
        <color indexed="8"/>
        <rFont val="宋体"/>
        <family val="3"/>
        <charset val="134"/>
      </rPr>
      <t>江汉区云霞路185号、云霞路187号、淮海路249号泛海国际中心办公A单元22层4号</t>
    </r>
  </si>
  <si>
    <r>
      <rPr>
        <sz val="9"/>
        <color indexed="8"/>
        <rFont val="宋体"/>
        <family val="3"/>
        <charset val="134"/>
      </rPr>
      <t>江汉区云霞路185号、云霞路187号、淮海路249号泛海国际中心办公A单元22层5号</t>
    </r>
  </si>
  <si>
    <r>
      <rPr>
        <sz val="9"/>
        <color indexed="8"/>
        <rFont val="宋体"/>
        <family val="3"/>
        <charset val="134"/>
      </rPr>
      <t>江汉区云霞路185号、云霞路187号、淮海路249号泛海国际中心办公A单元22层6号</t>
    </r>
  </si>
  <si>
    <r>
      <rPr>
        <sz val="9"/>
        <color indexed="8"/>
        <rFont val="宋体"/>
        <family val="3"/>
        <charset val="134"/>
      </rPr>
      <t>江汉区云霞路185号、云霞路187号、淮海路249号泛海国际中心办公A单元23层1号</t>
    </r>
  </si>
  <si>
    <r>
      <rPr>
        <sz val="9"/>
        <color indexed="8"/>
        <rFont val="宋体"/>
        <family val="3"/>
        <charset val="134"/>
      </rPr>
      <t>江汉区云霞路185号、云霞路187号、淮海路249号泛海国际中心办公A单元23层2号</t>
    </r>
  </si>
  <si>
    <r>
      <rPr>
        <sz val="9"/>
        <color indexed="8"/>
        <rFont val="宋体"/>
        <family val="3"/>
        <charset val="134"/>
      </rPr>
      <t>江汉区云霞路185号、云霞路187号、淮海路249号泛海国际中心办公A单元23层3号</t>
    </r>
  </si>
  <si>
    <r>
      <rPr>
        <sz val="9"/>
        <color indexed="8"/>
        <rFont val="宋体"/>
        <family val="3"/>
        <charset val="134"/>
      </rPr>
      <t>江汉区云霞路185号、云霞路187号、淮海路249号泛海国际中心办公A单元23层4号</t>
    </r>
  </si>
  <si>
    <r>
      <rPr>
        <sz val="9"/>
        <color indexed="8"/>
        <rFont val="宋体"/>
        <family val="3"/>
        <charset val="134"/>
      </rPr>
      <t>江汉区云霞路185号、云霞路187号、淮海路249号泛海国际中心办公A单元23层5号</t>
    </r>
  </si>
  <si>
    <r>
      <rPr>
        <sz val="9"/>
        <color indexed="8"/>
        <rFont val="宋体"/>
        <family val="3"/>
        <charset val="134"/>
      </rPr>
      <t>江汉区云霞路185号、云霞路187号、淮海路249号泛海国际中心办公A单元23层6号</t>
    </r>
  </si>
  <si>
    <r>
      <rPr>
        <sz val="9"/>
        <color indexed="8"/>
        <rFont val="宋体"/>
        <family val="3"/>
        <charset val="134"/>
      </rPr>
      <t>江汉区云霞路185号、云霞路187号、淮海路249号泛海国际中心办公A单元24层1号</t>
    </r>
  </si>
  <si>
    <r>
      <rPr>
        <sz val="9"/>
        <color indexed="8"/>
        <rFont val="宋体"/>
        <family val="3"/>
        <charset val="134"/>
      </rPr>
      <t>江汉区云霞路185号、云霞路187号、淮海路249号泛海国际中心办公A单元24层2号</t>
    </r>
  </si>
  <si>
    <r>
      <rPr>
        <sz val="9"/>
        <color indexed="8"/>
        <rFont val="宋体"/>
        <family val="3"/>
        <charset val="134"/>
      </rPr>
      <t>江汉区云霞路185号、云霞路187号、淮海路249号泛海国际中心办公A单元24层3号</t>
    </r>
  </si>
  <si>
    <r>
      <rPr>
        <sz val="9"/>
        <color indexed="8"/>
        <rFont val="宋体"/>
        <family val="3"/>
        <charset val="134"/>
      </rPr>
      <t>江汉区江汉区云霞路185号、云霞路187号、淮海路249号泛海国际中心/栋办公A单元24层4号</t>
    </r>
  </si>
  <si>
    <r>
      <rPr>
        <sz val="9"/>
        <color indexed="8"/>
        <rFont val="宋体"/>
        <family val="3"/>
        <charset val="134"/>
      </rPr>
      <t>江汉区江汉区云霞路185号、云霞路187号、淮海路249号泛海国际中心/栋办公A单元24层5号</t>
    </r>
  </si>
  <si>
    <r>
      <rPr>
        <sz val="9"/>
        <color indexed="8"/>
        <rFont val="宋体"/>
        <family val="3"/>
        <charset val="134"/>
      </rPr>
      <t>江汉区江汉区云霞路185号、云霞路187号、淮海路249号泛海国际中心/栋办公A单元24层6号</t>
    </r>
  </si>
  <si>
    <r>
      <rPr>
        <sz val="9"/>
        <color indexed="8"/>
        <rFont val="宋体"/>
        <family val="3"/>
        <charset val="134"/>
      </rPr>
      <t>江汉区云霞路185号、云霞路187号、淮海路249号泛海国际中心办公A单元25层1号</t>
    </r>
  </si>
  <si>
    <r>
      <rPr>
        <sz val="9"/>
        <color indexed="8"/>
        <rFont val="宋体"/>
        <family val="3"/>
        <charset val="134"/>
      </rPr>
      <t>江汉区云霞路185号、云霞路187号、淮海路249号泛海国际中心办公A单元25层2号</t>
    </r>
  </si>
  <si>
    <r>
      <rPr>
        <sz val="9"/>
        <color indexed="8"/>
        <rFont val="宋体"/>
        <family val="3"/>
        <charset val="134"/>
      </rPr>
      <t>江汉区云霞路185号、云霞路187号、淮海路249号泛海国际中心办公A单元25层3号</t>
    </r>
  </si>
  <si>
    <r>
      <rPr>
        <sz val="9"/>
        <color indexed="8"/>
        <rFont val="宋体"/>
        <family val="3"/>
        <charset val="134"/>
      </rPr>
      <t>江汉区云霞路185号、云霞路187号、淮海路249号泛海国际中心办公A单元25层4号</t>
    </r>
  </si>
  <si>
    <r>
      <rPr>
        <sz val="9"/>
        <color indexed="8"/>
        <rFont val="宋体"/>
        <family val="3"/>
        <charset val="134"/>
      </rPr>
      <t>江汉区云霞路185号、云霞路187号、淮海路249号泛海国际中心办公A单元25层5号</t>
    </r>
  </si>
  <si>
    <r>
      <rPr>
        <sz val="9"/>
        <color indexed="8"/>
        <rFont val="宋体"/>
        <family val="3"/>
        <charset val="134"/>
      </rPr>
      <t>江汉区云霞路185号、云霞路187号、淮海路249号泛海国际中心办公A单元25层6号</t>
    </r>
  </si>
  <si>
    <r>
      <rPr>
        <sz val="9"/>
        <color indexed="8"/>
        <rFont val="宋体"/>
        <family val="3"/>
        <charset val="134"/>
      </rPr>
      <t>江汉区云霞路185号、云霞路187号、淮海路249号泛海国际中心办公A单元26层1号</t>
    </r>
  </si>
  <si>
    <r>
      <rPr>
        <sz val="9"/>
        <color indexed="8"/>
        <rFont val="宋体"/>
        <family val="3"/>
        <charset val="134"/>
      </rPr>
      <t>江汉区云霞路185号、云霞路187号、淮海路249号泛海国际中心办公A单元26层2号</t>
    </r>
  </si>
  <si>
    <r>
      <rPr>
        <sz val="9"/>
        <color indexed="8"/>
        <rFont val="宋体"/>
        <family val="3"/>
        <charset val="134"/>
      </rPr>
      <t>江汉区云霞路185号、云霞路187号、淮海路249号泛海国际中心办公A单元26层3号</t>
    </r>
  </si>
  <si>
    <r>
      <rPr>
        <sz val="9"/>
        <color indexed="8"/>
        <rFont val="宋体"/>
        <family val="3"/>
        <charset val="134"/>
      </rPr>
      <t>江汉区云霞路185号、云霞路187号、淮海路249号泛海国际中心办公A单元26层4号</t>
    </r>
  </si>
  <si>
    <r>
      <rPr>
        <sz val="9"/>
        <color indexed="8"/>
        <rFont val="宋体"/>
        <family val="3"/>
        <charset val="134"/>
      </rPr>
      <t>江汉区云霞路185号、云霞路187号、淮海路249号泛海国际中心办公A单元26层5号</t>
    </r>
  </si>
  <si>
    <r>
      <rPr>
        <sz val="9"/>
        <color indexed="8"/>
        <rFont val="宋体"/>
        <family val="3"/>
        <charset val="134"/>
      </rPr>
      <t>江汉区云霞路185号、云霞路187号、淮海路249号泛海国际中心办公A单元26层6号</t>
    </r>
  </si>
  <si>
    <r>
      <rPr>
        <sz val="9"/>
        <color indexed="8"/>
        <rFont val="宋体"/>
        <family val="3"/>
        <charset val="134"/>
      </rPr>
      <t>江汉区云霞路185号、云霞路187号、淮海路249号泛海国际中心办公A单元27层1号</t>
    </r>
  </si>
  <si>
    <r>
      <rPr>
        <sz val="9"/>
        <color indexed="8"/>
        <rFont val="宋体"/>
        <family val="3"/>
        <charset val="134"/>
      </rPr>
      <t>江汉区云霞路185号、云霞路187号、淮海路249号泛海国际中心办公A单元27层2号</t>
    </r>
  </si>
  <si>
    <r>
      <rPr>
        <sz val="9"/>
        <color indexed="8"/>
        <rFont val="宋体"/>
        <family val="3"/>
        <charset val="134"/>
      </rPr>
      <t>江汉区云霞路185号、云霞路187号、淮海路249号泛海国际中心办公A单元27层3号</t>
    </r>
  </si>
  <si>
    <r>
      <rPr>
        <sz val="9"/>
        <color indexed="8"/>
        <rFont val="宋体"/>
        <family val="3"/>
        <charset val="134"/>
      </rPr>
      <t>江汉区云霞路185号、云霞路187号、淮海路249号泛海国际中心办公A单元27层4号</t>
    </r>
  </si>
  <si>
    <r>
      <rPr>
        <sz val="9"/>
        <color indexed="8"/>
        <rFont val="宋体"/>
        <family val="3"/>
        <charset val="134"/>
      </rPr>
      <t>江汉区云霞路185号、云霞路187号、淮海路249号泛海国际中心办公A单元27层5号</t>
    </r>
  </si>
  <si>
    <r>
      <rPr>
        <sz val="9"/>
        <color indexed="8"/>
        <rFont val="宋体"/>
        <family val="3"/>
        <charset val="134"/>
      </rPr>
      <t>江汉区云霞路185号、云霞路187号、淮海路249号泛海国际中心办公A单元27层6号</t>
    </r>
  </si>
  <si>
    <r>
      <rPr>
        <sz val="9"/>
        <color indexed="8"/>
        <rFont val="宋体"/>
        <family val="3"/>
        <charset val="134"/>
      </rPr>
      <t>江汉区江汉区云霞路185号、云霞路187号、淮海路249号泛海国际中心/栋办公A单元28层1号</t>
    </r>
  </si>
  <si>
    <r>
      <rPr>
        <sz val="9"/>
        <color indexed="8"/>
        <rFont val="宋体"/>
        <family val="3"/>
        <charset val="134"/>
      </rPr>
      <t>江汉区江汉区云霞路185号、云霞路187号、淮海路249号泛海国际中心/栋办公A单元28层2号</t>
    </r>
  </si>
  <si>
    <r>
      <rPr>
        <sz val="9"/>
        <color indexed="8"/>
        <rFont val="宋体"/>
        <family val="3"/>
        <charset val="134"/>
      </rPr>
      <t>江汉区江汉区云霞路185号、云霞路187号、淮海路249号泛海国际中心/栋办公A单元28层3号</t>
    </r>
  </si>
  <si>
    <r>
      <rPr>
        <sz val="9"/>
        <color indexed="8"/>
        <rFont val="宋体"/>
        <family val="3"/>
        <charset val="134"/>
      </rPr>
      <t>江汉区江汉区云霞路185号、云霞路187号、淮海路249号泛海国际中心/栋办公A单元28层4号</t>
    </r>
  </si>
  <si>
    <r>
      <rPr>
        <sz val="9"/>
        <color indexed="8"/>
        <rFont val="宋体"/>
        <family val="3"/>
        <charset val="134"/>
      </rPr>
      <t>江汉区江汉区云霞路185号、云霞路187号、淮海路249号泛海国际中心/栋办公A单元28层5号</t>
    </r>
  </si>
  <si>
    <r>
      <rPr>
        <sz val="9"/>
        <color indexed="8"/>
        <rFont val="宋体"/>
        <family val="3"/>
        <charset val="134"/>
      </rPr>
      <t>江汉区江汉区云霞路185号、云霞路187号、淮海路249号泛海国际中心/栋办公A单元28层6号</t>
    </r>
  </si>
  <si>
    <r>
      <rPr>
        <sz val="9"/>
        <color indexed="8"/>
        <rFont val="宋体"/>
        <family val="3"/>
        <charset val="134"/>
      </rPr>
      <t>江汉区云霞路185号、云霞路187号、淮海路249号泛海国际中心办公A单元29层1号</t>
    </r>
  </si>
  <si>
    <r>
      <rPr>
        <sz val="9"/>
        <color indexed="8"/>
        <rFont val="宋体"/>
        <family val="3"/>
        <charset val="134"/>
      </rPr>
      <t>江汉区云霞路185号、云霞路187号、淮海路249号泛海国际中心办公A单元29层2号</t>
    </r>
  </si>
  <si>
    <r>
      <rPr>
        <sz val="9"/>
        <color indexed="8"/>
        <rFont val="宋体"/>
        <family val="3"/>
        <charset val="134"/>
      </rPr>
      <t>江汉区云霞路185号、云霞路187号、淮海路249号泛海国际中心办公A单元29层3号</t>
    </r>
  </si>
  <si>
    <r>
      <rPr>
        <sz val="9"/>
        <color indexed="8"/>
        <rFont val="宋体"/>
        <family val="3"/>
        <charset val="134"/>
      </rPr>
      <t>江汉区云霞路185号、云霞路187号、淮海路249号泛海国际中心办公A单元29层4号</t>
    </r>
  </si>
  <si>
    <r>
      <rPr>
        <sz val="9"/>
        <color indexed="8"/>
        <rFont val="宋体"/>
        <family val="3"/>
        <charset val="134"/>
      </rPr>
      <t>江汉区云霞路185号、云霞路187号、淮海路249号泛海国际中心办公A单元29层5号</t>
    </r>
  </si>
  <si>
    <r>
      <rPr>
        <sz val="9"/>
        <color indexed="8"/>
        <rFont val="宋体"/>
        <family val="3"/>
        <charset val="134"/>
      </rPr>
      <t>江汉区云霞路185号、云霞路187号、淮海路249号泛海国际中心办公A单元29层6号</t>
    </r>
  </si>
  <si>
    <r>
      <rPr>
        <sz val="9"/>
        <color indexed="8"/>
        <rFont val="宋体"/>
        <family val="3"/>
        <charset val="134"/>
      </rPr>
      <t>江汉区云霞路185号、云霞路187号、淮海路249号泛海国际中心办公A单元31层1号</t>
    </r>
  </si>
  <si>
    <r>
      <rPr>
        <sz val="9"/>
        <color indexed="8"/>
        <rFont val="宋体"/>
        <family val="3"/>
        <charset val="134"/>
      </rPr>
      <t>江汉区云霞路185号、云霞路187号、淮海路249号泛海国际中心办公A单元31层2号</t>
    </r>
  </si>
  <si>
    <r>
      <rPr>
        <sz val="9"/>
        <color indexed="8"/>
        <rFont val="宋体"/>
        <family val="3"/>
        <charset val="134"/>
      </rPr>
      <t>江汉区云霞路185号、云霞路187号、淮海路249号泛海国际中心办公A单元31层3号</t>
    </r>
  </si>
  <si>
    <r>
      <rPr>
        <sz val="9"/>
        <color indexed="8"/>
        <rFont val="宋体"/>
        <family val="3"/>
        <charset val="134"/>
      </rPr>
      <t>江汉区云霞路185号、云霞路187号、淮海路249号泛海国际中心办公A单元31层4号</t>
    </r>
  </si>
  <si>
    <r>
      <rPr>
        <sz val="9"/>
        <color indexed="8"/>
        <rFont val="宋体"/>
        <family val="3"/>
        <charset val="134"/>
      </rPr>
      <t>江汉区云霞路185号、云霞路187号、淮海路249号泛海国际中心办公A单元31层5号</t>
    </r>
  </si>
  <si>
    <r>
      <rPr>
        <sz val="9"/>
        <color indexed="8"/>
        <rFont val="宋体"/>
        <family val="3"/>
        <charset val="134"/>
      </rPr>
      <t>江汉区云霞路185号、云霞路187号、淮海路249号泛海国际中心办公A单元31层6号</t>
    </r>
  </si>
  <si>
    <r>
      <rPr>
        <sz val="9"/>
        <color indexed="8"/>
        <rFont val="宋体"/>
        <family val="3"/>
        <charset val="134"/>
      </rPr>
      <t>江汉区云霞路185号、云霞路187号、淮海路249号泛海国际中心办公A单元32层1号</t>
    </r>
  </si>
  <si>
    <r>
      <rPr>
        <sz val="9"/>
        <color indexed="8"/>
        <rFont val="宋体"/>
        <family val="3"/>
        <charset val="134"/>
      </rPr>
      <t>江汉区云霞路185号、云霞路187号、淮海路249号泛海国际中心办公A单元32层2号</t>
    </r>
  </si>
  <si>
    <r>
      <rPr>
        <sz val="9"/>
        <color indexed="8"/>
        <rFont val="宋体"/>
        <family val="3"/>
        <charset val="134"/>
      </rPr>
      <t>江汉区云霞路185号、云霞路187号、淮海路249号泛海国际中心办公A单元32层3号</t>
    </r>
  </si>
  <si>
    <r>
      <rPr>
        <sz val="9"/>
        <color indexed="8"/>
        <rFont val="宋体"/>
        <family val="3"/>
        <charset val="134"/>
      </rPr>
      <t>江汉区云霞路185号、云霞路187号、淮海路249号泛海国际中心办公A单元32层4号</t>
    </r>
  </si>
  <si>
    <t>江汉区云霞路185号、云霞路187号、淮海路249号泛海国际中心办公A单元32层5号</t>
    <phoneticPr fontId="3" type="noConversion"/>
  </si>
  <si>
    <r>
      <rPr>
        <sz val="9"/>
        <color indexed="8"/>
        <rFont val="宋体"/>
        <family val="3"/>
        <charset val="134"/>
      </rPr>
      <t>江汉区云霞路185号、云霞路187号、淮海路249号泛海国际中心办公A单元32层6号</t>
    </r>
  </si>
  <si>
    <r>
      <rPr>
        <sz val="9"/>
        <color indexed="8"/>
        <rFont val="宋体"/>
        <family val="3"/>
        <charset val="134"/>
      </rPr>
      <t>江汉区云霞路185号、云霞路187号、淮海路249号泛海国际中心办公A单元35层1号</t>
    </r>
  </si>
  <si>
    <r>
      <rPr>
        <sz val="9"/>
        <color indexed="8"/>
        <rFont val="宋体"/>
        <family val="3"/>
        <charset val="134"/>
      </rPr>
      <t>江汉区云霞路185号、云霞路187号、淮海路249号泛海国际中心办公A单元36层1号</t>
    </r>
  </si>
  <si>
    <r>
      <rPr>
        <sz val="9"/>
        <color indexed="8"/>
        <rFont val="宋体"/>
        <family val="3"/>
        <charset val="134"/>
      </rPr>
      <t>江汉区云霞路185号、云霞路187号、淮海路249号泛海国际中心办公A单元37层1号</t>
    </r>
  </si>
  <si>
    <r>
      <rPr>
        <sz val="9"/>
        <color indexed="8"/>
        <rFont val="宋体"/>
        <family val="3"/>
        <charset val="134"/>
      </rPr>
      <t>江汉区云霞路185号、云霞路187号、淮海路249号泛海国际中心办公A单元38层1号</t>
    </r>
  </si>
  <si>
    <r>
      <rPr>
        <sz val="9"/>
        <color indexed="8"/>
        <rFont val="宋体"/>
        <family val="3"/>
        <charset val="134"/>
      </rPr>
      <t>江汉区云霞路185号、云霞路187号、淮海路249号泛海国际中心办公A单元39层1号</t>
    </r>
  </si>
  <si>
    <r>
      <rPr>
        <sz val="9"/>
        <color indexed="8"/>
        <rFont val="宋体"/>
        <family val="3"/>
        <charset val="134"/>
      </rPr>
      <t>江汉区云霞路185号、云霞路187号、淮海路249号泛海国际中心办公A单元40层1号</t>
    </r>
  </si>
  <si>
    <r>
      <rPr>
        <sz val="9"/>
        <color indexed="8"/>
        <rFont val="宋体"/>
        <family val="3"/>
        <charset val="134"/>
      </rPr>
      <t>江汉区云霞路185号、云霞路187号、淮海路249号泛海国际中心办公A单元41层1号</t>
    </r>
  </si>
  <si>
    <r>
      <rPr>
        <sz val="9"/>
        <color indexed="8"/>
        <rFont val="宋体"/>
        <family val="3"/>
        <charset val="134"/>
      </rPr>
      <t>江汉区云霞路185号、云霞路187号、淮海路249号泛海国际中心办公A单元42层1号</t>
    </r>
  </si>
  <si>
    <r>
      <rPr>
        <sz val="9"/>
        <color indexed="8"/>
        <rFont val="宋体"/>
        <family val="3"/>
        <charset val="134"/>
      </rPr>
      <t>江汉区云霞路185号、云霞路187号、淮海路249号泛海国际中心办公A单元43层1号</t>
    </r>
  </si>
  <si>
    <r>
      <rPr>
        <b/>
        <sz val="9"/>
        <color indexed="8"/>
        <rFont val="宋体"/>
        <family val="3"/>
        <charset val="134"/>
      </rPr>
      <t>-</t>
    </r>
  </si>
  <si>
    <r>
      <rPr>
        <b/>
        <sz val="9"/>
        <color indexed="8"/>
        <rFont val="宋体"/>
        <family val="3"/>
        <charset val="134"/>
      </rPr>
      <t>小计</t>
    </r>
  </si>
  <si>
    <r>
      <rPr>
        <sz val="9"/>
        <color indexed="8"/>
        <rFont val="宋体"/>
        <family val="3"/>
        <charset val="134"/>
      </rPr>
      <t>-</t>
    </r>
  </si>
  <si>
    <t>商业</t>
    <phoneticPr fontId="134" type="noConversion"/>
  </si>
  <si>
    <t>办公</t>
    <phoneticPr fontId="134" type="noConversion"/>
  </si>
  <si>
    <t>地上</t>
  </si>
  <si>
    <t>是</t>
  </si>
  <si>
    <t>商业</t>
    <phoneticPr fontId="7" type="noConversion"/>
  </si>
  <si>
    <t>办公</t>
    <phoneticPr fontId="7" type="noConversion"/>
  </si>
  <si>
    <t>成新度</t>
  </si>
  <si>
    <t>直线</t>
    <phoneticPr fontId="3" type="noConversion"/>
  </si>
  <si>
    <t>观察</t>
    <phoneticPr fontId="3" type="noConversion"/>
  </si>
  <si>
    <t>收益法</t>
  </si>
  <si>
    <t>押一</t>
  </si>
  <si>
    <t>钢混</t>
  </si>
  <si>
    <t>非生产用房</t>
  </si>
  <si>
    <t>否</t>
  </si>
  <si>
    <t>比较法-办公</t>
  </si>
  <si>
    <t>项目模式</t>
  </si>
  <si>
    <t>售价</t>
  </si>
  <si>
    <t>收益法(商业)</t>
  </si>
  <si>
    <t>收益法(商业)</t>
    <phoneticPr fontId="16" type="noConversion"/>
  </si>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</sst>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9"/>
      <color rgb="FF000000"/>
      <name val="宋体"/>
      <family val="3"/>
      <charset val="134"/>
    </font>
    <font>
      <b/>
      <sz val="9"/>
      <color indexed="8"/>
      <name val="宋体"/>
      <family val="3"/>
      <charset val="134"/>
    </font>
    <font>
      <b/>
      <vertAlign val="superscript"/>
      <sz val="9"/>
      <color indexed="8"/>
      <name val="宋体"/>
      <family val="3"/>
      <charset val="134"/>
    </font>
    <font>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69" fillId="0" borderId="82" xfId="0" applyFont="1" applyBorder="1" applyAlignment="1">
      <alignment horizontal="center" vertical="center" wrapText="1"/>
    </xf>
    <xf numFmtId="0" fontId="272" fillId="0" borderId="81" xfId="0" applyFont="1" applyBorder="1" applyAlignment="1">
      <alignment horizontal="center" vertical="center" wrapText="1"/>
    </xf>
    <xf numFmtId="4" fontId="272" fillId="0" borderId="81" xfId="0" applyNumberFormat="1" applyFont="1" applyBorder="1" applyAlignment="1">
      <alignment horizontal="center" vertical="center" wrapText="1"/>
    </xf>
    <xf numFmtId="0" fontId="221" fillId="0" borderId="81" xfId="0" applyFont="1" applyBorder="1" applyAlignment="1">
      <alignment horizontal="center" vertical="center" wrapText="1"/>
    </xf>
    <xf numFmtId="0" fontId="269" fillId="0" borderId="81" xfId="0" applyFont="1" applyBorder="1" applyAlignment="1">
      <alignment horizontal="center" vertical="center" wrapText="1"/>
    </xf>
    <xf numFmtId="0" fontId="95" fillId="0" borderId="0" xfId="0" applyFont="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9525</xdr:rowOff>
    </xdr:from>
    <xdr:to>
      <xdr:col>5</xdr:col>
      <xdr:colOff>485329</xdr:colOff>
      <xdr:row>21</xdr:row>
      <xdr:rowOff>85287</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180975"/>
          <a:ext cx="3571429" cy="3504762"/>
        </a:xfrm>
        <a:prstGeom prst="rect">
          <a:avLst/>
        </a:prstGeom>
      </xdr:spPr>
    </xdr:pic>
    <xdr:clientData/>
  </xdr:twoCellAnchor>
  <xdr:twoCellAnchor editAs="oneCell">
    <xdr:from>
      <xdr:col>6</xdr:col>
      <xdr:colOff>0</xdr:colOff>
      <xdr:row>2</xdr:row>
      <xdr:rowOff>0</xdr:rowOff>
    </xdr:from>
    <xdr:to>
      <xdr:col>11</xdr:col>
      <xdr:colOff>75762</xdr:colOff>
      <xdr:row>9</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342900"/>
          <a:ext cx="3504762" cy="1238095"/>
        </a:xfrm>
        <a:prstGeom prst="rect">
          <a:avLst/>
        </a:prstGeom>
      </xdr:spPr>
    </xdr:pic>
    <xdr:clientData/>
  </xdr:twoCellAnchor>
  <xdr:twoCellAnchor editAs="oneCell">
    <xdr:from>
      <xdr:col>0</xdr:col>
      <xdr:colOff>476250</xdr:colOff>
      <xdr:row>22</xdr:row>
      <xdr:rowOff>0</xdr:rowOff>
    </xdr:from>
    <xdr:to>
      <xdr:col>5</xdr:col>
      <xdr:colOff>561536</xdr:colOff>
      <xdr:row>45</xdr:row>
      <xdr:rowOff>170936</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0" y="3771900"/>
          <a:ext cx="3514286" cy="4114286"/>
        </a:xfrm>
        <a:prstGeom prst="rect">
          <a:avLst/>
        </a:prstGeom>
      </xdr:spPr>
    </xdr:pic>
    <xdr:clientData/>
  </xdr:twoCellAnchor>
  <xdr:twoCellAnchor editAs="oneCell">
    <xdr:from>
      <xdr:col>6</xdr:col>
      <xdr:colOff>0</xdr:colOff>
      <xdr:row>22</xdr:row>
      <xdr:rowOff>0</xdr:rowOff>
    </xdr:from>
    <xdr:to>
      <xdr:col>11</xdr:col>
      <xdr:colOff>123381</xdr:colOff>
      <xdr:row>46</xdr:row>
      <xdr:rowOff>47105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3771900"/>
          <a:ext cx="3552381" cy="4161905"/>
        </a:xfrm>
        <a:prstGeom prst="rect">
          <a:avLst/>
        </a:prstGeom>
      </xdr:spPr>
    </xdr:pic>
    <xdr:clientData/>
  </xdr:twoCellAnchor>
  <xdr:twoCellAnchor editAs="oneCell">
    <xdr:from>
      <xdr:col>11</xdr:col>
      <xdr:colOff>123825</xdr:colOff>
      <xdr:row>22</xdr:row>
      <xdr:rowOff>57150</xdr:rowOff>
    </xdr:from>
    <xdr:to>
      <xdr:col>16</xdr:col>
      <xdr:colOff>171015</xdr:colOff>
      <xdr:row>46</xdr:row>
      <xdr:rowOff>170921</xdr:rowOff>
    </xdr:to>
    <xdr:pic>
      <xdr:nvPicPr>
        <xdr:cNvPr id="6" name="图片 5"/>
        <xdr:cNvPicPr>
          <a:picLocks noChangeAspect="1"/>
        </xdr:cNvPicPr>
      </xdr:nvPicPr>
      <xdr:blipFill>
        <a:blip xmlns:r="http://schemas.openxmlformats.org/officeDocument/2006/relationships" r:embed="rId5"/>
        <a:stretch>
          <a:fillRect/>
        </a:stretch>
      </xdr:blipFill>
      <xdr:spPr>
        <a:xfrm>
          <a:off x="7667625" y="3829050"/>
          <a:ext cx="3476190" cy="4228571"/>
        </a:xfrm>
        <a:prstGeom prst="rect">
          <a:avLst/>
        </a:prstGeom>
      </xdr:spPr>
    </xdr:pic>
    <xdr:clientData/>
  </xdr:twoCellAnchor>
  <xdr:twoCellAnchor editAs="oneCell">
    <xdr:from>
      <xdr:col>0</xdr:col>
      <xdr:colOff>323850</xdr:colOff>
      <xdr:row>47</xdr:row>
      <xdr:rowOff>104775</xdr:rowOff>
    </xdr:from>
    <xdr:to>
      <xdr:col>14</xdr:col>
      <xdr:colOff>389317</xdr:colOff>
      <xdr:row>66</xdr:row>
      <xdr:rowOff>18654</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8162925"/>
          <a:ext cx="9666667" cy="3171429"/>
        </a:xfrm>
        <a:prstGeom prst="rect">
          <a:avLst/>
        </a:prstGeom>
      </xdr:spPr>
    </xdr:pic>
    <xdr:clientData/>
  </xdr:twoCellAnchor>
  <xdr:twoCellAnchor editAs="oneCell">
    <xdr:from>
      <xdr:col>1</xdr:col>
      <xdr:colOff>0</xdr:colOff>
      <xdr:row>66</xdr:row>
      <xdr:rowOff>0</xdr:rowOff>
    </xdr:from>
    <xdr:to>
      <xdr:col>15</xdr:col>
      <xdr:colOff>179752</xdr:colOff>
      <xdr:row>75</xdr:row>
      <xdr:rowOff>104569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1315700"/>
          <a:ext cx="9780952" cy="1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估价对象为房地产，为所有。根据《国有土地使用证》[]，估价对象（分摊）出让国有建设用地使用权面积为0平方米，建筑面积为73388.16平方米。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估价对象为房地产,属开发建设的，该项目尚在开发建设中。根据《国有土地使用证》[]，估价对象（分摊）出让国有建设用地使用权面积为0平方米，规划建筑面积为73388.16平方米。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2024年3月21日</v>
      </c>
    </row>
    <row r="13" spans="1:2" s="1203" customFormat="1">
      <c r="A13" s="1201" t="s">
        <v>529</v>
      </c>
      <c r="B13" s="1202"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92741</v>
      </c>
    </row>
    <row r="21" spans="1:2" s="1203" customFormat="1">
      <c r="A21" s="1201" t="s">
        <v>537</v>
      </c>
      <c r="B21" s="1202">
        <f ca="1">'预评函-2'!D7</f>
        <v>13070</v>
      </c>
    </row>
    <row r="22" spans="1:2" s="1203" customFormat="1">
      <c r="A22" s="1201" t="s">
        <v>538</v>
      </c>
      <c r="B22" s="1202" t="str">
        <f ca="1">'预评函-2'!D6</f>
        <v>玖亿贰仟柒佰肆拾壹万元整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92741</v>
      </c>
    </row>
    <row r="31" spans="1:2" s="1203" customFormat="1">
      <c r="A31" s="1201" t="s">
        <v>576</v>
      </c>
      <c r="B31" s="1202">
        <f ca="1">'预评函-2'!D15</f>
        <v>13070</v>
      </c>
    </row>
    <row r="32" spans="1:2" s="1203" customFormat="1">
      <c r="A32" s="1201" t="s">
        <v>543</v>
      </c>
      <c r="B32" s="1202" t="str">
        <f ca="1">'预评函-2'!D14</f>
        <v>玖亿贰仟柒佰肆拾壹万元整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73388.159999999989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3586</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21" t="s">
        <v>2584</v>
      </c>
      <c r="J2" s="3521"/>
      <c r="K2" s="3521"/>
      <c r="L2" s="3521"/>
      <c r="M2" s="3521"/>
      <c r="N2" s="3521"/>
      <c r="O2" s="3521"/>
      <c r="P2" s="3521"/>
      <c r="Q2" s="3521"/>
      <c r="R2" s="3521"/>
    </row>
    <row r="3" spans="1:18">
      <c r="A3" s="3020" t="s">
        <v>2505</v>
      </c>
      <c r="B3" s="3021">
        <f>项目基本情况!D3</f>
        <v>45372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2.74</v>
      </c>
      <c r="D5" s="3025">
        <f>IF(ISERROR(ROUND(POWER(1+E5,A5-C5)*(POWER(1+E5,C5)-1)/(POWER(1+E5,A5)-1),3)),0,ROUND(POWER(1+E5,A5-C5)*(POWER(1+E5,C5)-1)/(POWER(1+E5,A5)-1),4))</f>
        <v>0.12870000000000001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12.75</v>
      </c>
      <c r="D6" s="3025">
        <f>IF(ISERROR(ROUND(POWER(1+E6,A6-C6)*(POWER(1+E6,C6)-1)/(POWER(1+E6,A6)-1),3)),0,ROUND(POWER(1+E6,A6-C6)*(POWER(1+E6,C6)-1)/(POWER(1+E6,A6)-1),4))</f>
        <v>0.45789999999999997</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32.76</v>
      </c>
      <c r="D7" s="3025">
        <f>IF(ISERROR(ROUND(POWER(1+E7,A7-C7)*(POWER(1+E7,C7)-1)/(POWER(1+E7,A7)-1),3)),0,ROUND(POWER(1+E7,A7-C7)*(POWER(1+E7,C7)-1)/(POWER(1+E7,A7)-1),4))</f>
        <v>0.77300000000000002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3" sqref="L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45372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33"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34"/>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53964</v>
      </c>
      <c r="E13" s="856">
        <f>D13</f>
        <v>53964</v>
      </c>
      <c r="F13" s="856"/>
      <c r="G13" s="856"/>
      <c r="H13" s="856"/>
      <c r="I13" s="856"/>
      <c r="J13" s="3062"/>
      <c r="K13" s="2613"/>
      <c r="L13" s="2613"/>
      <c r="M13" s="2439"/>
      <c r="N13" s="2450"/>
      <c r="O13" s="2439"/>
      <c r="P13" s="2439"/>
      <c r="Q13" s="2439"/>
      <c r="AD13" s="1745"/>
    </row>
    <row r="14" spans="1:30">
      <c r="A14" s="1081"/>
      <c r="B14" s="2407" t="s">
        <v>2191</v>
      </c>
      <c r="C14" s="2408"/>
      <c r="D14" s="2408">
        <v>40</v>
      </c>
      <c r="E14" s="2408">
        <v>40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23.53</v>
      </c>
      <c r="E15" s="2410">
        <f>IF(A13="出让",IF(E13="","",ROUNDDOWN(MIN((E13-$D$3)/365,E14),2)),E14)</f>
        <v>23.53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73388.159999999989</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73388.159999999989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73388.159999999989</v>
      </c>
      <c r="H5" s="13">
        <f t="shared" ref="H5:AT5" si="0">SUM(H13:H656)</f>
        <v>73388.159999999989</v>
      </c>
      <c r="I5" s="13">
        <f t="shared" si="0"/>
        <v>2431.09</v>
      </c>
      <c r="J5" s="13">
        <f t="shared" si="0"/>
        <v>0</v>
      </c>
      <c r="K5" s="13">
        <f t="shared" si="0"/>
        <v>70957.069999999992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73388.159999999989</v>
      </c>
      <c r="BA5" s="15">
        <f t="shared" si="1"/>
        <v>73388.159999999989</v>
      </c>
      <c r="BB5" s="15">
        <f t="shared" si="1"/>
        <v>2431.09</v>
      </c>
      <c r="BC5" s="15">
        <f t="shared" si="1"/>
        <v>70957.069999999992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3570</v>
      </c>
      <c r="J9" s="809"/>
      <c r="K9" s="1603" t="s">
        <v>3570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3571</v>
      </c>
      <c r="E13" s="13">
        <f>IF($C$3="是",ROUND($A$3*G13/$B$3,2),ROUND($A$3*(G13-AT13)/$B$3,2))</f>
        <v>0</v>
      </c>
      <c r="F13" s="29"/>
      <c r="G13" s="30">
        <f>H13+AC13+AT13</f>
        <v>73388.159999999989</v>
      </c>
      <c r="H13" s="17">
        <f>SUMIF(I$12:AB$12,"总值",I13:AB13)</f>
        <v>73388.159999999989</v>
      </c>
      <c r="I13" s="1626">
        <f>清单!G3</f>
        <v>2431.09</v>
      </c>
      <c r="J13" s="1626"/>
      <c r="K13" s="1626">
        <f>清单!G4</f>
        <v>70957.069999999992</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73388.159999999989</v>
      </c>
      <c r="BA13" s="13">
        <f>SUM(BB13:BK13)</f>
        <v>73388.159999999989</v>
      </c>
      <c r="BB13" s="13">
        <f>IF($D13="是",I13-J13,0)</f>
        <v>2431.09</v>
      </c>
      <c r="BC13" s="13">
        <f>IF($D13="是",K13-L13,0)</f>
        <v>70957.069999999992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76"/>
  <sheetViews>
    <sheetView workbookViewId="0">
      <selection activeCell="C174" sqref="C167:C174"/>
    </sheetView>
  </sheetViews>
  <sheetFormatPr defaultColWidth="9" defaultRowHeight="13.5"/>
  <cols>
    <col min="2" max="2" width="28.875" customWidth="1"/>
    <col min="4" max="4" width="21.375" customWidth="1"/>
    <col min="258" max="258" width="28.875" customWidth="1"/>
    <col min="260" max="260" width="21.375" customWidth="1"/>
    <col min="514" max="514" width="28.875" customWidth="1"/>
    <col min="516" max="516" width="21.375" customWidth="1"/>
    <col min="770" max="770" width="28.875" customWidth="1"/>
    <col min="772" max="772" width="21.375" customWidth="1"/>
    <col min="1026" max="1026" width="28.875" customWidth="1"/>
    <col min="1028" max="1028" width="21.375" customWidth="1"/>
    <col min="1282" max="1282" width="28.875" customWidth="1"/>
    <col min="1284" max="1284" width="21.375" customWidth="1"/>
    <col min="1538" max="1538" width="28.875" customWidth="1"/>
    <col min="1540" max="1540" width="21.375" customWidth="1"/>
    <col min="1794" max="1794" width="28.875" customWidth="1"/>
    <col min="1796" max="1796" width="21.375" customWidth="1"/>
    <col min="2050" max="2050" width="28.875" customWidth="1"/>
    <col min="2052" max="2052" width="21.375" customWidth="1"/>
    <col min="2306" max="2306" width="28.875" customWidth="1"/>
    <col min="2308" max="2308" width="21.375" customWidth="1"/>
    <col min="2562" max="2562" width="28.875" customWidth="1"/>
    <col min="2564" max="2564" width="21.375" customWidth="1"/>
    <col min="2818" max="2818" width="28.875" customWidth="1"/>
    <col min="2820" max="2820" width="21.375" customWidth="1"/>
    <col min="3074" max="3074" width="28.875" customWidth="1"/>
    <col min="3076" max="3076" width="21.375" customWidth="1"/>
    <col min="3330" max="3330" width="28.875" customWidth="1"/>
    <col min="3332" max="3332" width="21.375" customWidth="1"/>
    <col min="3586" max="3586" width="28.875" customWidth="1"/>
    <col min="3588" max="3588" width="21.375" customWidth="1"/>
    <col min="3842" max="3842" width="28.875" customWidth="1"/>
    <col min="3844" max="3844" width="21.375" customWidth="1"/>
    <col min="4098" max="4098" width="28.875" customWidth="1"/>
    <col min="4100" max="4100" width="21.375" customWidth="1"/>
    <col min="4354" max="4354" width="28.875" customWidth="1"/>
    <col min="4356" max="4356" width="21.375" customWidth="1"/>
    <col min="4610" max="4610" width="28.875" customWidth="1"/>
    <col min="4612" max="4612" width="21.375" customWidth="1"/>
    <col min="4866" max="4866" width="28.875" customWidth="1"/>
    <col min="4868" max="4868" width="21.375" customWidth="1"/>
    <col min="5122" max="5122" width="28.875" customWidth="1"/>
    <col min="5124" max="5124" width="21.375" customWidth="1"/>
    <col min="5378" max="5378" width="28.875" customWidth="1"/>
    <col min="5380" max="5380" width="21.375" customWidth="1"/>
    <col min="5634" max="5634" width="28.875" customWidth="1"/>
    <col min="5636" max="5636" width="21.375" customWidth="1"/>
    <col min="5890" max="5890" width="28.875" customWidth="1"/>
    <col min="5892" max="5892" width="21.375" customWidth="1"/>
    <col min="6146" max="6146" width="28.875" customWidth="1"/>
    <col min="6148" max="6148" width="21.375" customWidth="1"/>
    <col min="6402" max="6402" width="28.875" customWidth="1"/>
    <col min="6404" max="6404" width="21.375" customWidth="1"/>
    <col min="6658" max="6658" width="28.875" customWidth="1"/>
    <col min="6660" max="6660" width="21.375" customWidth="1"/>
    <col min="6914" max="6914" width="28.875" customWidth="1"/>
    <col min="6916" max="6916" width="21.375" customWidth="1"/>
    <col min="7170" max="7170" width="28.875" customWidth="1"/>
    <col min="7172" max="7172" width="21.375" customWidth="1"/>
    <col min="7426" max="7426" width="28.875" customWidth="1"/>
    <col min="7428" max="7428" width="21.375" customWidth="1"/>
    <col min="7682" max="7682" width="28.875" customWidth="1"/>
    <col min="7684" max="7684" width="21.375" customWidth="1"/>
    <col min="7938" max="7938" width="28.875" customWidth="1"/>
    <col min="7940" max="7940" width="21.375" customWidth="1"/>
    <col min="8194" max="8194" width="28.875" customWidth="1"/>
    <col min="8196" max="8196" width="21.375" customWidth="1"/>
    <col min="8450" max="8450" width="28.875" customWidth="1"/>
    <col min="8452" max="8452" width="21.375" customWidth="1"/>
    <col min="8706" max="8706" width="28.875" customWidth="1"/>
    <col min="8708" max="8708" width="21.375" customWidth="1"/>
    <col min="8962" max="8962" width="28.875" customWidth="1"/>
    <col min="8964" max="8964" width="21.375" customWidth="1"/>
    <col min="9218" max="9218" width="28.875" customWidth="1"/>
    <col min="9220" max="9220" width="21.375" customWidth="1"/>
    <col min="9474" max="9474" width="28.875" customWidth="1"/>
    <col min="9476" max="9476" width="21.375" customWidth="1"/>
    <col min="9730" max="9730" width="28.875" customWidth="1"/>
    <col min="9732" max="9732" width="21.375" customWidth="1"/>
    <col min="9986" max="9986" width="28.875" customWidth="1"/>
    <col min="9988" max="9988" width="21.375" customWidth="1"/>
    <col min="10242" max="10242" width="28.875" customWidth="1"/>
    <col min="10244" max="10244" width="21.375" customWidth="1"/>
    <col min="10498" max="10498" width="28.875" customWidth="1"/>
    <col min="10500" max="10500" width="21.375" customWidth="1"/>
    <col min="10754" max="10754" width="28.875" customWidth="1"/>
    <col min="10756" max="10756" width="21.375" customWidth="1"/>
    <col min="11010" max="11010" width="28.875" customWidth="1"/>
    <col min="11012" max="11012" width="21.375" customWidth="1"/>
    <col min="11266" max="11266" width="28.875" customWidth="1"/>
    <col min="11268" max="11268" width="21.375" customWidth="1"/>
    <col min="11522" max="11522" width="28.875" customWidth="1"/>
    <col min="11524" max="11524" width="21.375" customWidth="1"/>
    <col min="11778" max="11778" width="28.875" customWidth="1"/>
    <col min="11780" max="11780" width="21.375" customWidth="1"/>
    <col min="12034" max="12034" width="28.875" customWidth="1"/>
    <col min="12036" max="12036" width="21.375" customWidth="1"/>
    <col min="12290" max="12290" width="28.875" customWidth="1"/>
    <col min="12292" max="12292" width="21.375" customWidth="1"/>
    <col min="12546" max="12546" width="28.875" customWidth="1"/>
    <col min="12548" max="12548" width="21.375" customWidth="1"/>
    <col min="12802" max="12802" width="28.875" customWidth="1"/>
    <col min="12804" max="12804" width="21.375" customWidth="1"/>
    <col min="13058" max="13058" width="28.875" customWidth="1"/>
    <col min="13060" max="13060" width="21.375" customWidth="1"/>
    <col min="13314" max="13314" width="28.875" customWidth="1"/>
    <col min="13316" max="13316" width="21.375" customWidth="1"/>
    <col min="13570" max="13570" width="28.875" customWidth="1"/>
    <col min="13572" max="13572" width="21.375" customWidth="1"/>
    <col min="13826" max="13826" width="28.875" customWidth="1"/>
    <col min="13828" max="13828" width="21.375" customWidth="1"/>
    <col min="14082" max="14082" width="28.875" customWidth="1"/>
    <col min="14084" max="14084" width="21.375" customWidth="1"/>
    <col min="14338" max="14338" width="28.875" customWidth="1"/>
    <col min="14340" max="14340" width="21.375" customWidth="1"/>
    <col min="14594" max="14594" width="28.875" customWidth="1"/>
    <col min="14596" max="14596" width="21.375" customWidth="1"/>
    <col min="14850" max="14850" width="28.875" customWidth="1"/>
    <col min="14852" max="14852" width="21.375" customWidth="1"/>
    <col min="15106" max="15106" width="28.875" customWidth="1"/>
    <col min="15108" max="15108" width="21.375" customWidth="1"/>
    <col min="15362" max="15362" width="28.875" customWidth="1"/>
    <col min="15364" max="15364" width="21.375" customWidth="1"/>
    <col min="15618" max="15618" width="28.875" customWidth="1"/>
    <col min="15620" max="15620" width="21.375" customWidth="1"/>
    <col min="15874" max="15874" width="28.875" customWidth="1"/>
    <col min="15876" max="15876" width="21.375" customWidth="1"/>
    <col min="16130" max="16130" width="28.875" customWidth="1"/>
    <col min="16132" max="16132" width="21.375" customWidth="1"/>
  </cols>
  <sheetData>
    <row r="1" spans="1:7" ht="14.25" thickBot="1">
      <c r="A1" s="3473" t="s">
        <v>3385</v>
      </c>
      <c r="B1" s="3473" t="s">
        <v>3386</v>
      </c>
      <c r="C1" s="3473" t="s">
        <v>3387</v>
      </c>
      <c r="D1" s="3473" t="s">
        <v>3388</v>
      </c>
    </row>
    <row r="2" spans="1:7" ht="23.25" thickBot="1">
      <c r="A2" s="3474">
        <v>1</v>
      </c>
      <c r="B2" s="3474" t="s">
        <v>3389</v>
      </c>
      <c r="C2" s="3474">
        <v>171.56</v>
      </c>
      <c r="D2" s="3474" t="s">
        <v>3390</v>
      </c>
    </row>
    <row r="3" spans="1:7" ht="23.25" thickBot="1">
      <c r="A3" s="3474">
        <v>2</v>
      </c>
      <c r="B3" s="3474" t="s">
        <v>3391</v>
      </c>
      <c r="C3" s="3474">
        <v>137.80000000000001</v>
      </c>
      <c r="D3" s="3474" t="s">
        <v>3390</v>
      </c>
      <c r="F3" s="3478" t="s">
        <v>3568</v>
      </c>
      <c r="G3">
        <f>SUM(C2:C6)</f>
        <v>2431.09</v>
      </c>
    </row>
    <row r="4" spans="1:7" ht="23.25" thickBot="1">
      <c r="A4" s="3474">
        <v>3</v>
      </c>
      <c r="B4" s="3474" t="s">
        <v>3392</v>
      </c>
      <c r="C4" s="3474">
        <v>69.680000000000007</v>
      </c>
      <c r="D4" s="3474" t="s">
        <v>3390</v>
      </c>
      <c r="F4" s="3478" t="s">
        <v>3569</v>
      </c>
      <c r="G4">
        <f>SUM(C7:C175)</f>
        <v>70957.069999999992</v>
      </c>
    </row>
    <row r="5" spans="1:7" ht="23.25" thickBot="1">
      <c r="A5" s="3474">
        <v>4</v>
      </c>
      <c r="B5" s="3474" t="s">
        <v>3393</v>
      </c>
      <c r="C5" s="3474">
        <v>247.32</v>
      </c>
      <c r="D5" s="3474" t="s">
        <v>3390</v>
      </c>
      <c r="G5">
        <f>G3+G4</f>
        <v>73388.159999999989</v>
      </c>
    </row>
    <row r="6" spans="1:7" ht="23.25" thickBot="1">
      <c r="A6" s="3474">
        <v>5</v>
      </c>
      <c r="B6" s="3474" t="s">
        <v>3394</v>
      </c>
      <c r="C6" s="3475">
        <v>1804.73</v>
      </c>
      <c r="D6" s="3474" t="s">
        <v>3390</v>
      </c>
    </row>
    <row r="7" spans="1:7" ht="23.25" thickBot="1">
      <c r="A7" s="3474">
        <v>6</v>
      </c>
      <c r="B7" s="3474" t="s">
        <v>3395</v>
      </c>
      <c r="C7" s="3474">
        <v>386.73</v>
      </c>
      <c r="D7" s="3474" t="s">
        <v>3396</v>
      </c>
    </row>
    <row r="8" spans="1:7" ht="23.25" thickBot="1">
      <c r="A8" s="3474">
        <v>7</v>
      </c>
      <c r="B8" s="3474" t="s">
        <v>3397</v>
      </c>
      <c r="C8" s="3474">
        <v>160.62</v>
      </c>
      <c r="D8" s="3474" t="s">
        <v>3396</v>
      </c>
    </row>
    <row r="9" spans="1:7" ht="23.25" thickBot="1">
      <c r="A9" s="3474">
        <v>8</v>
      </c>
      <c r="B9" s="3474" t="s">
        <v>3398</v>
      </c>
      <c r="C9" s="3474">
        <v>235.24</v>
      </c>
      <c r="D9" s="3474" t="s">
        <v>3396</v>
      </c>
    </row>
    <row r="10" spans="1:7" ht="23.25" thickBot="1">
      <c r="A10" s="3474">
        <v>9</v>
      </c>
      <c r="B10" s="3474" t="s">
        <v>3399</v>
      </c>
      <c r="C10" s="3474">
        <v>363.07</v>
      </c>
      <c r="D10" s="3474" t="s">
        <v>3396</v>
      </c>
    </row>
    <row r="11" spans="1:7" ht="23.25" thickBot="1">
      <c r="A11" s="3474">
        <v>10</v>
      </c>
      <c r="B11" s="3474" t="s">
        <v>3400</v>
      </c>
      <c r="C11" s="3474">
        <v>229.7</v>
      </c>
      <c r="D11" s="3474" t="s">
        <v>3396</v>
      </c>
    </row>
    <row r="12" spans="1:7" ht="23.25" thickBot="1">
      <c r="A12" s="3474">
        <v>11</v>
      </c>
      <c r="B12" s="3474" t="s">
        <v>3401</v>
      </c>
      <c r="C12" s="3474">
        <v>390.83</v>
      </c>
      <c r="D12" s="3474" t="s">
        <v>3396</v>
      </c>
    </row>
    <row r="13" spans="1:7" ht="23.25" thickBot="1">
      <c r="A13" s="3474">
        <v>12</v>
      </c>
      <c r="B13" s="3474" t="s">
        <v>3402</v>
      </c>
      <c r="C13" s="3474">
        <v>235.35</v>
      </c>
      <c r="D13" s="3474" t="s">
        <v>3396</v>
      </c>
    </row>
    <row r="14" spans="1:7" ht="23.25" thickBot="1">
      <c r="A14" s="3474">
        <v>13</v>
      </c>
      <c r="B14" s="3474" t="s">
        <v>3403</v>
      </c>
      <c r="C14" s="3474">
        <v>363.12</v>
      </c>
      <c r="D14" s="3474" t="s">
        <v>3396</v>
      </c>
    </row>
    <row r="15" spans="1:7" ht="23.25" thickBot="1">
      <c r="A15" s="3474">
        <v>14</v>
      </c>
      <c r="B15" s="3474" t="s">
        <v>3404</v>
      </c>
      <c r="C15" s="3474">
        <v>386.71</v>
      </c>
      <c r="D15" s="3474" t="s">
        <v>3396</v>
      </c>
    </row>
    <row r="16" spans="1:7" ht="23.25" thickBot="1">
      <c r="A16" s="3474">
        <v>15</v>
      </c>
      <c r="B16" s="3474" t="s">
        <v>3405</v>
      </c>
      <c r="C16" s="3474">
        <v>356.34</v>
      </c>
      <c r="D16" s="3474" t="s">
        <v>3396</v>
      </c>
    </row>
    <row r="17" spans="1:4" ht="23.25" thickBot="1">
      <c r="A17" s="3474">
        <v>16</v>
      </c>
      <c r="B17" s="3474" t="s">
        <v>3406</v>
      </c>
      <c r="C17" s="3474">
        <v>229.7</v>
      </c>
      <c r="D17" s="3474" t="s">
        <v>3396</v>
      </c>
    </row>
    <row r="18" spans="1:4" ht="23.25" thickBot="1">
      <c r="A18" s="3474">
        <v>17</v>
      </c>
      <c r="B18" s="3474" t="s">
        <v>3407</v>
      </c>
      <c r="C18" s="3474">
        <v>390.83</v>
      </c>
      <c r="D18" s="3474" t="s">
        <v>3396</v>
      </c>
    </row>
    <row r="19" spans="1:4" ht="23.25" thickBot="1">
      <c r="A19" s="3474">
        <v>18</v>
      </c>
      <c r="B19" s="3474" t="s">
        <v>3408</v>
      </c>
      <c r="C19" s="3474">
        <v>235.35</v>
      </c>
      <c r="D19" s="3474" t="s">
        <v>3396</v>
      </c>
    </row>
    <row r="20" spans="1:4" ht="23.25" thickBot="1">
      <c r="A20" s="3474">
        <v>19</v>
      </c>
      <c r="B20" s="3474" t="s">
        <v>3409</v>
      </c>
      <c r="C20" s="3474">
        <v>363.12</v>
      </c>
      <c r="D20" s="3474" t="s">
        <v>3396</v>
      </c>
    </row>
    <row r="21" spans="1:4" ht="23.25" thickBot="1">
      <c r="A21" s="3474">
        <v>20</v>
      </c>
      <c r="B21" s="3474" t="s">
        <v>3410</v>
      </c>
      <c r="C21" s="3474">
        <v>386.71</v>
      </c>
      <c r="D21" s="3474" t="s">
        <v>3396</v>
      </c>
    </row>
    <row r="22" spans="1:4" ht="23.25" thickBot="1">
      <c r="A22" s="3474">
        <v>21</v>
      </c>
      <c r="B22" s="3474" t="s">
        <v>3411</v>
      </c>
      <c r="C22" s="3474">
        <v>356.34</v>
      </c>
      <c r="D22" s="3474" t="s">
        <v>3396</v>
      </c>
    </row>
    <row r="23" spans="1:4" ht="23.25" thickBot="1">
      <c r="A23" s="3474">
        <v>22</v>
      </c>
      <c r="B23" s="3474" t="s">
        <v>3412</v>
      </c>
      <c r="C23" s="3474">
        <v>235.35</v>
      </c>
      <c r="D23" s="3474" t="s">
        <v>3396</v>
      </c>
    </row>
    <row r="24" spans="1:4" ht="23.25" thickBot="1">
      <c r="A24" s="3474">
        <v>23</v>
      </c>
      <c r="B24" s="3474" t="s">
        <v>3413</v>
      </c>
      <c r="C24" s="3474">
        <v>390.83</v>
      </c>
      <c r="D24" s="3474" t="s">
        <v>3396</v>
      </c>
    </row>
    <row r="25" spans="1:4" ht="23.25" thickBot="1">
      <c r="A25" s="3474">
        <v>24</v>
      </c>
      <c r="B25" s="3474" t="s">
        <v>3414</v>
      </c>
      <c r="C25" s="3474">
        <v>235.35</v>
      </c>
      <c r="D25" s="3474" t="s">
        <v>3396</v>
      </c>
    </row>
    <row r="26" spans="1:4" ht="23.25" thickBot="1">
      <c r="A26" s="3474">
        <v>25</v>
      </c>
      <c r="B26" s="3474" t="s">
        <v>3415</v>
      </c>
      <c r="C26" s="3474">
        <v>363.12</v>
      </c>
      <c r="D26" s="3474" t="s">
        <v>3396</v>
      </c>
    </row>
    <row r="27" spans="1:4" ht="23.25" thickBot="1">
      <c r="A27" s="3474">
        <v>26</v>
      </c>
      <c r="B27" s="3474" t="s">
        <v>3416</v>
      </c>
      <c r="C27" s="3474">
        <v>386.71</v>
      </c>
      <c r="D27" s="3474" t="s">
        <v>3396</v>
      </c>
    </row>
    <row r="28" spans="1:4" ht="23.25" thickBot="1">
      <c r="A28" s="3474">
        <v>27</v>
      </c>
      <c r="B28" s="3474" t="s">
        <v>3417</v>
      </c>
      <c r="C28" s="3474">
        <v>363.12</v>
      </c>
      <c r="D28" s="3474" t="s">
        <v>3396</v>
      </c>
    </row>
    <row r="29" spans="1:4" ht="23.25" thickBot="1">
      <c r="A29" s="3474">
        <v>28</v>
      </c>
      <c r="B29" s="3474" t="s">
        <v>3418</v>
      </c>
      <c r="C29" s="3474">
        <v>235.35</v>
      </c>
      <c r="D29" s="3474" t="s">
        <v>3396</v>
      </c>
    </row>
    <row r="30" spans="1:4" ht="23.25" thickBot="1">
      <c r="A30" s="3474">
        <v>29</v>
      </c>
      <c r="B30" s="3474" t="s">
        <v>3419</v>
      </c>
      <c r="C30" s="3474">
        <v>390.83</v>
      </c>
      <c r="D30" s="3474" t="s">
        <v>3396</v>
      </c>
    </row>
    <row r="31" spans="1:4" ht="23.25" thickBot="1">
      <c r="A31" s="3474">
        <v>30</v>
      </c>
      <c r="B31" s="3474" t="s">
        <v>3420</v>
      </c>
      <c r="C31" s="3474">
        <v>235.35</v>
      </c>
      <c r="D31" s="3474" t="s">
        <v>3396</v>
      </c>
    </row>
    <row r="32" spans="1:4" ht="23.25" thickBot="1">
      <c r="A32" s="3474">
        <v>31</v>
      </c>
      <c r="B32" s="3474" t="s">
        <v>3421</v>
      </c>
      <c r="C32" s="3474">
        <v>363.12</v>
      </c>
      <c r="D32" s="3474" t="s">
        <v>3396</v>
      </c>
    </row>
    <row r="33" spans="1:4" ht="23.25" thickBot="1">
      <c r="A33" s="3474">
        <v>32</v>
      </c>
      <c r="B33" s="3474" t="s">
        <v>3422</v>
      </c>
      <c r="C33" s="3474">
        <v>386.71</v>
      </c>
      <c r="D33" s="3474" t="s">
        <v>3396</v>
      </c>
    </row>
    <row r="34" spans="1:4" ht="23.25" thickBot="1">
      <c r="A34" s="3474">
        <v>33</v>
      </c>
      <c r="B34" s="3474" t="s">
        <v>3423</v>
      </c>
      <c r="C34" s="3474">
        <v>363.12</v>
      </c>
      <c r="D34" s="3474" t="s">
        <v>3396</v>
      </c>
    </row>
    <row r="35" spans="1:4" ht="23.25" thickBot="1">
      <c r="A35" s="3474">
        <v>34</v>
      </c>
      <c r="B35" s="3474" t="s">
        <v>3424</v>
      </c>
      <c r="C35" s="3474">
        <v>235.35</v>
      </c>
      <c r="D35" s="3474" t="s">
        <v>3396</v>
      </c>
    </row>
    <row r="36" spans="1:4" ht="23.25" thickBot="1">
      <c r="A36" s="3474">
        <v>35</v>
      </c>
      <c r="B36" s="3474" t="s">
        <v>3425</v>
      </c>
      <c r="C36" s="3474">
        <v>390.83</v>
      </c>
      <c r="D36" s="3474" t="s">
        <v>3396</v>
      </c>
    </row>
    <row r="37" spans="1:4" ht="23.25" thickBot="1">
      <c r="A37" s="3474">
        <v>36</v>
      </c>
      <c r="B37" s="3474" t="s">
        <v>3426</v>
      </c>
      <c r="C37" s="3474">
        <v>235.35</v>
      </c>
      <c r="D37" s="3474" t="s">
        <v>3396</v>
      </c>
    </row>
    <row r="38" spans="1:4" ht="23.25" thickBot="1">
      <c r="A38" s="3474">
        <v>37</v>
      </c>
      <c r="B38" s="3474" t="s">
        <v>3427</v>
      </c>
      <c r="C38" s="3474">
        <v>363.12</v>
      </c>
      <c r="D38" s="3474" t="s">
        <v>3396</v>
      </c>
    </row>
    <row r="39" spans="1:4" ht="23.25" thickBot="1">
      <c r="A39" s="3474">
        <v>38</v>
      </c>
      <c r="B39" s="3474" t="s">
        <v>3428</v>
      </c>
      <c r="C39" s="3474">
        <v>386.71</v>
      </c>
      <c r="D39" s="3474" t="s">
        <v>3396</v>
      </c>
    </row>
    <row r="40" spans="1:4" ht="23.25" thickBot="1">
      <c r="A40" s="3474">
        <v>39</v>
      </c>
      <c r="B40" s="3474" t="s">
        <v>3429</v>
      </c>
      <c r="C40" s="3474">
        <v>363.12</v>
      </c>
      <c r="D40" s="3474" t="s">
        <v>3396</v>
      </c>
    </row>
    <row r="41" spans="1:4" ht="23.25" thickBot="1">
      <c r="A41" s="3474">
        <v>40</v>
      </c>
      <c r="B41" s="3474" t="s">
        <v>3430</v>
      </c>
      <c r="C41" s="3474">
        <v>235.35</v>
      </c>
      <c r="D41" s="3474" t="s">
        <v>3396</v>
      </c>
    </row>
    <row r="42" spans="1:4" ht="23.25" thickBot="1">
      <c r="A42" s="3474">
        <v>41</v>
      </c>
      <c r="B42" s="3474" t="s">
        <v>3431</v>
      </c>
      <c r="C42" s="3474">
        <v>390.83</v>
      </c>
      <c r="D42" s="3474" t="s">
        <v>3396</v>
      </c>
    </row>
    <row r="43" spans="1:4" ht="23.25" thickBot="1">
      <c r="A43" s="3474">
        <v>42</v>
      </c>
      <c r="B43" s="3474" t="s">
        <v>3432</v>
      </c>
      <c r="C43" s="3474">
        <v>235.35</v>
      </c>
      <c r="D43" s="3474" t="s">
        <v>3396</v>
      </c>
    </row>
    <row r="44" spans="1:4" ht="23.25" thickBot="1">
      <c r="A44" s="3474">
        <v>43</v>
      </c>
      <c r="B44" s="3474" t="s">
        <v>3433</v>
      </c>
      <c r="C44" s="3474">
        <v>363.12</v>
      </c>
      <c r="D44" s="3474" t="s">
        <v>3396</v>
      </c>
    </row>
    <row r="45" spans="1:4" ht="23.25" thickBot="1">
      <c r="A45" s="3474">
        <v>44</v>
      </c>
      <c r="B45" s="3474" t="s">
        <v>3434</v>
      </c>
      <c r="C45" s="3474">
        <v>386.71</v>
      </c>
      <c r="D45" s="3474" t="s">
        <v>3396</v>
      </c>
    </row>
    <row r="46" spans="1:4" ht="23.25" thickBot="1">
      <c r="A46" s="3474">
        <v>45</v>
      </c>
      <c r="B46" s="3474" t="s">
        <v>3435</v>
      </c>
      <c r="C46" s="3474">
        <v>363.12</v>
      </c>
      <c r="D46" s="3474" t="s">
        <v>3396</v>
      </c>
    </row>
    <row r="47" spans="1:4" ht="23.25" thickBot="1">
      <c r="A47" s="3474">
        <v>46</v>
      </c>
      <c r="B47" s="3474" t="s">
        <v>3436</v>
      </c>
      <c r="C47" s="3474">
        <v>235.35</v>
      </c>
      <c r="D47" s="3474" t="s">
        <v>3396</v>
      </c>
    </row>
    <row r="48" spans="1:4" ht="23.25" thickBot="1">
      <c r="A48" s="3474">
        <v>47</v>
      </c>
      <c r="B48" s="3474" t="s">
        <v>3437</v>
      </c>
      <c r="C48" s="3474">
        <v>390.83</v>
      </c>
      <c r="D48" s="3474" t="s">
        <v>3396</v>
      </c>
    </row>
    <row r="49" spans="1:4" ht="23.25" thickBot="1">
      <c r="A49" s="3474">
        <v>48</v>
      </c>
      <c r="B49" s="3474" t="s">
        <v>3438</v>
      </c>
      <c r="C49" s="3474">
        <v>235.35</v>
      </c>
      <c r="D49" s="3474" t="s">
        <v>3396</v>
      </c>
    </row>
    <row r="50" spans="1:4" ht="23.25" thickBot="1">
      <c r="A50" s="3474">
        <v>49</v>
      </c>
      <c r="B50" s="3474" t="s">
        <v>3439</v>
      </c>
      <c r="C50" s="3474">
        <v>363.12</v>
      </c>
      <c r="D50" s="3474" t="s">
        <v>3396</v>
      </c>
    </row>
    <row r="51" spans="1:4" ht="23.25" thickBot="1">
      <c r="A51" s="3474">
        <v>50</v>
      </c>
      <c r="B51" s="3474" t="s">
        <v>3440</v>
      </c>
      <c r="C51" s="3474">
        <v>386.71</v>
      </c>
      <c r="D51" s="3474" t="s">
        <v>3396</v>
      </c>
    </row>
    <row r="52" spans="1:4" ht="23.25" thickBot="1">
      <c r="A52" s="3474">
        <v>51</v>
      </c>
      <c r="B52" s="3474" t="s">
        <v>3441</v>
      </c>
      <c r="C52" s="3474">
        <v>363.12</v>
      </c>
      <c r="D52" s="3474" t="s">
        <v>3396</v>
      </c>
    </row>
    <row r="53" spans="1:4" ht="23.25" thickBot="1">
      <c r="A53" s="3474">
        <v>52</v>
      </c>
      <c r="B53" s="3474" t="s">
        <v>3442</v>
      </c>
      <c r="C53" s="3474">
        <v>235.35</v>
      </c>
      <c r="D53" s="3474" t="s">
        <v>3396</v>
      </c>
    </row>
    <row r="54" spans="1:4" ht="23.25" thickBot="1">
      <c r="A54" s="3474">
        <v>53</v>
      </c>
      <c r="B54" s="3474" t="s">
        <v>3443</v>
      </c>
      <c r="C54" s="3474">
        <v>390.83</v>
      </c>
      <c r="D54" s="3474" t="s">
        <v>3396</v>
      </c>
    </row>
    <row r="55" spans="1:4" ht="23.25" thickBot="1">
      <c r="A55" s="3474">
        <v>54</v>
      </c>
      <c r="B55" s="3474" t="s">
        <v>3444</v>
      </c>
      <c r="C55" s="3474">
        <v>235.35</v>
      </c>
      <c r="D55" s="3474" t="s">
        <v>3396</v>
      </c>
    </row>
    <row r="56" spans="1:4" ht="23.25" thickBot="1">
      <c r="A56" s="3474">
        <v>55</v>
      </c>
      <c r="B56" s="3474" t="s">
        <v>3445</v>
      </c>
      <c r="C56" s="3474">
        <v>363.12</v>
      </c>
      <c r="D56" s="3474" t="s">
        <v>3396</v>
      </c>
    </row>
    <row r="57" spans="1:4" ht="23.25" thickBot="1">
      <c r="A57" s="3474">
        <v>56</v>
      </c>
      <c r="B57" s="3474" t="s">
        <v>3446</v>
      </c>
      <c r="C57" s="3474">
        <v>386.71</v>
      </c>
      <c r="D57" s="3474" t="s">
        <v>3396</v>
      </c>
    </row>
    <row r="58" spans="1:4" ht="23.25" thickBot="1">
      <c r="A58" s="3474">
        <v>57</v>
      </c>
      <c r="B58" s="3474" t="s">
        <v>3447</v>
      </c>
      <c r="C58" s="3474">
        <v>363.12</v>
      </c>
      <c r="D58" s="3474" t="s">
        <v>3396</v>
      </c>
    </row>
    <row r="59" spans="1:4" ht="23.25" thickBot="1">
      <c r="A59" s="3474">
        <v>58</v>
      </c>
      <c r="B59" s="3474" t="s">
        <v>3448</v>
      </c>
      <c r="C59" s="3474">
        <v>235.35</v>
      </c>
      <c r="D59" s="3474" t="s">
        <v>3396</v>
      </c>
    </row>
    <row r="60" spans="1:4" ht="23.25" thickBot="1">
      <c r="A60" s="3474">
        <v>59</v>
      </c>
      <c r="B60" s="3474" t="s">
        <v>3449</v>
      </c>
      <c r="C60" s="3474">
        <v>390.83</v>
      </c>
      <c r="D60" s="3474" t="s">
        <v>3396</v>
      </c>
    </row>
    <row r="61" spans="1:4" ht="23.25" thickBot="1">
      <c r="A61" s="3474">
        <v>60</v>
      </c>
      <c r="B61" s="3474" t="s">
        <v>3450</v>
      </c>
      <c r="C61" s="3474">
        <v>235.35</v>
      </c>
      <c r="D61" s="3474" t="s">
        <v>3396</v>
      </c>
    </row>
    <row r="62" spans="1:4" ht="23.25" thickBot="1">
      <c r="A62" s="3474">
        <v>61</v>
      </c>
      <c r="B62" s="3474" t="s">
        <v>3451</v>
      </c>
      <c r="C62" s="3474">
        <v>363.12</v>
      </c>
      <c r="D62" s="3474" t="s">
        <v>3396</v>
      </c>
    </row>
    <row r="63" spans="1:4" ht="23.25" thickBot="1">
      <c r="A63" s="3474">
        <v>62</v>
      </c>
      <c r="B63" s="3474" t="s">
        <v>3452</v>
      </c>
      <c r="C63" s="3474">
        <v>386.71</v>
      </c>
      <c r="D63" s="3474" t="s">
        <v>3396</v>
      </c>
    </row>
    <row r="64" spans="1:4" ht="23.25" thickBot="1">
      <c r="A64" s="3474">
        <v>63</v>
      </c>
      <c r="B64" s="3474" t="s">
        <v>3453</v>
      </c>
      <c r="C64" s="3474">
        <v>363.12</v>
      </c>
      <c r="D64" s="3474" t="s">
        <v>3396</v>
      </c>
    </row>
    <row r="65" spans="1:4" ht="23.25" thickBot="1">
      <c r="A65" s="3474">
        <v>64</v>
      </c>
      <c r="B65" s="3474" t="s">
        <v>3454</v>
      </c>
      <c r="C65" s="3474">
        <v>235.35</v>
      </c>
      <c r="D65" s="3474" t="s">
        <v>3396</v>
      </c>
    </row>
    <row r="66" spans="1:4" ht="23.25" thickBot="1">
      <c r="A66" s="3474">
        <v>65</v>
      </c>
      <c r="B66" s="3474" t="s">
        <v>3455</v>
      </c>
      <c r="C66" s="3474">
        <v>390.83</v>
      </c>
      <c r="D66" s="3474" t="s">
        <v>3396</v>
      </c>
    </row>
    <row r="67" spans="1:4" ht="23.25" thickBot="1">
      <c r="A67" s="3474">
        <v>66</v>
      </c>
      <c r="B67" s="3474" t="s">
        <v>3456</v>
      </c>
      <c r="C67" s="3474">
        <v>235.35</v>
      </c>
      <c r="D67" s="3474" t="s">
        <v>3396</v>
      </c>
    </row>
    <row r="68" spans="1:4" ht="23.25" thickBot="1">
      <c r="A68" s="3474">
        <v>67</v>
      </c>
      <c r="B68" s="3474" t="s">
        <v>3457</v>
      </c>
      <c r="C68" s="3474">
        <v>363.12</v>
      </c>
      <c r="D68" s="3474" t="s">
        <v>3396</v>
      </c>
    </row>
    <row r="69" spans="1:4" ht="23.25" thickBot="1">
      <c r="A69" s="3474">
        <v>68</v>
      </c>
      <c r="B69" s="3474" t="s">
        <v>3458</v>
      </c>
      <c r="C69" s="3474">
        <v>386.71</v>
      </c>
      <c r="D69" s="3474" t="s">
        <v>3396</v>
      </c>
    </row>
    <row r="70" spans="1:4" ht="23.25" thickBot="1">
      <c r="A70" s="3474">
        <v>69</v>
      </c>
      <c r="B70" s="3474" t="s">
        <v>3459</v>
      </c>
      <c r="C70" s="3474">
        <v>363.12</v>
      </c>
      <c r="D70" s="3474" t="s">
        <v>3396</v>
      </c>
    </row>
    <row r="71" spans="1:4" ht="23.25" thickBot="1">
      <c r="A71" s="3474">
        <v>70</v>
      </c>
      <c r="B71" s="3474" t="s">
        <v>3460</v>
      </c>
      <c r="C71" s="3474">
        <v>235.35</v>
      </c>
      <c r="D71" s="3474" t="s">
        <v>3396</v>
      </c>
    </row>
    <row r="72" spans="1:4" ht="23.25" thickBot="1">
      <c r="A72" s="3474">
        <v>71</v>
      </c>
      <c r="B72" s="3474" t="s">
        <v>3461</v>
      </c>
      <c r="C72" s="3474">
        <v>390.83</v>
      </c>
      <c r="D72" s="3474" t="s">
        <v>3396</v>
      </c>
    </row>
    <row r="73" spans="1:4" ht="23.25" thickBot="1">
      <c r="A73" s="3474">
        <v>72</v>
      </c>
      <c r="B73" s="3474" t="s">
        <v>3462</v>
      </c>
      <c r="C73" s="3474">
        <v>235.35</v>
      </c>
      <c r="D73" s="3474" t="s">
        <v>3396</v>
      </c>
    </row>
    <row r="74" spans="1:4" ht="23.25" thickBot="1">
      <c r="A74" s="3474">
        <v>73</v>
      </c>
      <c r="B74" s="3474" t="s">
        <v>3463</v>
      </c>
      <c r="C74" s="3474">
        <v>363.12</v>
      </c>
      <c r="D74" s="3474" t="s">
        <v>3396</v>
      </c>
    </row>
    <row r="75" spans="1:4" ht="23.25" thickBot="1">
      <c r="A75" s="3474">
        <v>74</v>
      </c>
      <c r="B75" s="3474" t="s">
        <v>3464</v>
      </c>
      <c r="C75" s="3474">
        <v>386.71</v>
      </c>
      <c r="D75" s="3474" t="s">
        <v>3396</v>
      </c>
    </row>
    <row r="76" spans="1:4" ht="23.25" thickBot="1">
      <c r="A76" s="3474">
        <v>75</v>
      </c>
      <c r="B76" s="3474" t="s">
        <v>3465</v>
      </c>
      <c r="C76" s="3474">
        <v>363.12</v>
      </c>
      <c r="D76" s="3474" t="s">
        <v>3396</v>
      </c>
    </row>
    <row r="77" spans="1:4" ht="23.25" thickBot="1">
      <c r="A77" s="3474">
        <v>76</v>
      </c>
      <c r="B77" s="3474" t="s">
        <v>3466</v>
      </c>
      <c r="C77" s="3474">
        <v>235.35</v>
      </c>
      <c r="D77" s="3474" t="s">
        <v>3396</v>
      </c>
    </row>
    <row r="78" spans="1:4" ht="23.25" thickBot="1">
      <c r="A78" s="3474">
        <v>77</v>
      </c>
      <c r="B78" s="3474" t="s">
        <v>3467</v>
      </c>
      <c r="C78" s="3474">
        <v>390.83</v>
      </c>
      <c r="D78" s="3474" t="s">
        <v>3396</v>
      </c>
    </row>
    <row r="79" spans="1:4" ht="23.25" thickBot="1">
      <c r="A79" s="3474">
        <v>78</v>
      </c>
      <c r="B79" s="3474" t="s">
        <v>3468</v>
      </c>
      <c r="C79" s="3474">
        <v>235.35</v>
      </c>
      <c r="D79" s="3474" t="s">
        <v>3396</v>
      </c>
    </row>
    <row r="80" spans="1:4" ht="23.25" thickBot="1">
      <c r="A80" s="3474">
        <v>79</v>
      </c>
      <c r="B80" s="3474" t="s">
        <v>3469</v>
      </c>
      <c r="C80" s="3474">
        <v>363.12</v>
      </c>
      <c r="D80" s="3474" t="s">
        <v>3396</v>
      </c>
    </row>
    <row r="81" spans="1:4" ht="23.25" thickBot="1">
      <c r="A81" s="3474">
        <v>80</v>
      </c>
      <c r="B81" s="3474" t="s">
        <v>3470</v>
      </c>
      <c r="C81" s="3474">
        <v>386.71</v>
      </c>
      <c r="D81" s="3474" t="s">
        <v>3396</v>
      </c>
    </row>
    <row r="82" spans="1:4" ht="23.25" thickBot="1">
      <c r="A82" s="3474">
        <v>81</v>
      </c>
      <c r="B82" s="3474" t="s">
        <v>3471</v>
      </c>
      <c r="C82" s="3474">
        <v>363.12</v>
      </c>
      <c r="D82" s="3474" t="s">
        <v>3396</v>
      </c>
    </row>
    <row r="83" spans="1:4" ht="23.25" thickBot="1">
      <c r="A83" s="3474">
        <v>82</v>
      </c>
      <c r="B83" s="3474" t="s">
        <v>3472</v>
      </c>
      <c r="C83" s="3474">
        <v>235.35</v>
      </c>
      <c r="D83" s="3474" t="s">
        <v>3396</v>
      </c>
    </row>
    <row r="84" spans="1:4" ht="23.25" thickBot="1">
      <c r="A84" s="3474">
        <v>83</v>
      </c>
      <c r="B84" s="3474" t="s">
        <v>3473</v>
      </c>
      <c r="C84" s="3474">
        <v>390.83</v>
      </c>
      <c r="D84" s="3474" t="s">
        <v>3396</v>
      </c>
    </row>
    <row r="85" spans="1:4" ht="23.25" thickBot="1">
      <c r="A85" s="3474">
        <v>84</v>
      </c>
      <c r="B85" s="3474" t="s">
        <v>3474</v>
      </c>
      <c r="C85" s="3474">
        <v>235.35</v>
      </c>
      <c r="D85" s="3474" t="s">
        <v>3396</v>
      </c>
    </row>
    <row r="86" spans="1:4" ht="23.25" thickBot="1">
      <c r="A86" s="3474">
        <v>85</v>
      </c>
      <c r="B86" s="3474" t="s">
        <v>3475</v>
      </c>
      <c r="C86" s="3474">
        <v>363.12</v>
      </c>
      <c r="D86" s="3474" t="s">
        <v>3396</v>
      </c>
    </row>
    <row r="87" spans="1:4" ht="23.25" thickBot="1">
      <c r="A87" s="3474">
        <v>86</v>
      </c>
      <c r="B87" s="3474" t="s">
        <v>3476</v>
      </c>
      <c r="C87" s="3474">
        <v>386.71</v>
      </c>
      <c r="D87" s="3474" t="s">
        <v>3396</v>
      </c>
    </row>
    <row r="88" spans="1:4" ht="23.25" thickBot="1">
      <c r="A88" s="3474">
        <v>87</v>
      </c>
      <c r="B88" s="3474" t="s">
        <v>3477</v>
      </c>
      <c r="C88" s="3474">
        <v>363.12</v>
      </c>
      <c r="D88" s="3474" t="s">
        <v>3396</v>
      </c>
    </row>
    <row r="89" spans="1:4" ht="23.25" thickBot="1">
      <c r="A89" s="3474">
        <v>88</v>
      </c>
      <c r="B89" s="3474" t="s">
        <v>3478</v>
      </c>
      <c r="C89" s="3474">
        <v>235.35</v>
      </c>
      <c r="D89" s="3474" t="s">
        <v>3396</v>
      </c>
    </row>
    <row r="90" spans="1:4" ht="23.25" thickBot="1">
      <c r="A90" s="3474">
        <v>89</v>
      </c>
      <c r="B90" s="3474" t="s">
        <v>3479</v>
      </c>
      <c r="C90" s="3474">
        <v>390.83</v>
      </c>
      <c r="D90" s="3474" t="s">
        <v>3396</v>
      </c>
    </row>
    <row r="91" spans="1:4" ht="23.25" thickBot="1">
      <c r="A91" s="3474">
        <v>90</v>
      </c>
      <c r="B91" s="3474" t="s">
        <v>3480</v>
      </c>
      <c r="C91" s="3474">
        <v>235.35</v>
      </c>
      <c r="D91" s="3474" t="s">
        <v>3396</v>
      </c>
    </row>
    <row r="92" spans="1:4" ht="23.25" thickBot="1">
      <c r="A92" s="3474">
        <v>91</v>
      </c>
      <c r="B92" s="3474" t="s">
        <v>3481</v>
      </c>
      <c r="C92" s="3474">
        <v>363.12</v>
      </c>
      <c r="D92" s="3474" t="s">
        <v>3396</v>
      </c>
    </row>
    <row r="93" spans="1:4" ht="23.25" thickBot="1">
      <c r="A93" s="3474">
        <v>92</v>
      </c>
      <c r="B93" s="3474" t="s">
        <v>3482</v>
      </c>
      <c r="C93" s="3474">
        <v>386.71</v>
      </c>
      <c r="D93" s="3474" t="s">
        <v>3396</v>
      </c>
    </row>
    <row r="94" spans="1:4" ht="23.25" thickBot="1">
      <c r="A94" s="3474">
        <v>93</v>
      </c>
      <c r="B94" s="3474" t="s">
        <v>3483</v>
      </c>
      <c r="C94" s="3474">
        <v>363.12</v>
      </c>
      <c r="D94" s="3474" t="s">
        <v>3396</v>
      </c>
    </row>
    <row r="95" spans="1:4" ht="23.25" thickBot="1">
      <c r="A95" s="3474">
        <v>94</v>
      </c>
      <c r="B95" s="3474" t="s">
        <v>3484</v>
      </c>
      <c r="C95" s="3474">
        <v>235.35</v>
      </c>
      <c r="D95" s="3474" t="s">
        <v>3396</v>
      </c>
    </row>
    <row r="96" spans="1:4" ht="23.25" thickBot="1">
      <c r="A96" s="3474">
        <v>95</v>
      </c>
      <c r="B96" s="3474" t="s">
        <v>3485</v>
      </c>
      <c r="C96" s="3474">
        <v>390.83</v>
      </c>
      <c r="D96" s="3474" t="s">
        <v>3396</v>
      </c>
    </row>
    <row r="97" spans="1:4" ht="23.25" thickBot="1">
      <c r="A97" s="3474">
        <v>96</v>
      </c>
      <c r="B97" s="3474" t="s">
        <v>3486</v>
      </c>
      <c r="C97" s="3474">
        <v>235.35</v>
      </c>
      <c r="D97" s="3474" t="s">
        <v>3396</v>
      </c>
    </row>
    <row r="98" spans="1:4" ht="23.25" thickBot="1">
      <c r="A98" s="3474">
        <v>97</v>
      </c>
      <c r="B98" s="3474" t="s">
        <v>3487</v>
      </c>
      <c r="C98" s="3474">
        <v>363.12</v>
      </c>
      <c r="D98" s="3474" t="s">
        <v>3396</v>
      </c>
    </row>
    <row r="99" spans="1:4" ht="23.25" thickBot="1">
      <c r="A99" s="3474">
        <v>98</v>
      </c>
      <c r="B99" s="3474" t="s">
        <v>3488</v>
      </c>
      <c r="C99" s="3474">
        <v>386.71</v>
      </c>
      <c r="D99" s="3474" t="s">
        <v>3396</v>
      </c>
    </row>
    <row r="100" spans="1:4" ht="23.25" thickBot="1">
      <c r="A100" s="3474">
        <v>99</v>
      </c>
      <c r="B100" s="3474" t="s">
        <v>3489</v>
      </c>
      <c r="C100" s="3474">
        <v>363.12</v>
      </c>
      <c r="D100" s="3474" t="s">
        <v>3396</v>
      </c>
    </row>
    <row r="101" spans="1:4" ht="23.25" thickBot="1">
      <c r="A101" s="3474">
        <v>100</v>
      </c>
      <c r="B101" s="3474" t="s">
        <v>3490</v>
      </c>
      <c r="C101" s="3474">
        <v>235.35</v>
      </c>
      <c r="D101" s="3474" t="s">
        <v>3396</v>
      </c>
    </row>
    <row r="102" spans="1:4" ht="23.25" thickBot="1">
      <c r="A102" s="3474">
        <v>101</v>
      </c>
      <c r="B102" s="3474" t="s">
        <v>3491</v>
      </c>
      <c r="C102" s="3474">
        <v>390.83</v>
      </c>
      <c r="D102" s="3474" t="s">
        <v>3396</v>
      </c>
    </row>
    <row r="103" spans="1:4" ht="23.25" thickBot="1">
      <c r="A103" s="3474">
        <v>102</v>
      </c>
      <c r="B103" s="3474" t="s">
        <v>3492</v>
      </c>
      <c r="C103" s="3474">
        <v>235.35</v>
      </c>
      <c r="D103" s="3474" t="s">
        <v>3396</v>
      </c>
    </row>
    <row r="104" spans="1:4" ht="23.25" thickBot="1">
      <c r="A104" s="3474">
        <v>103</v>
      </c>
      <c r="B104" s="3474" t="s">
        <v>3493</v>
      </c>
      <c r="C104" s="3474">
        <v>363.12</v>
      </c>
      <c r="D104" s="3474" t="s">
        <v>3396</v>
      </c>
    </row>
    <row r="105" spans="1:4" ht="23.25" thickBot="1">
      <c r="A105" s="3474">
        <v>104</v>
      </c>
      <c r="B105" s="3474" t="s">
        <v>3494</v>
      </c>
      <c r="C105" s="3474">
        <v>386.71</v>
      </c>
      <c r="D105" s="3474" t="s">
        <v>3396</v>
      </c>
    </row>
    <row r="106" spans="1:4" ht="23.25" thickBot="1">
      <c r="A106" s="3474">
        <v>105</v>
      </c>
      <c r="B106" s="3474" t="s">
        <v>3495</v>
      </c>
      <c r="C106" s="3474">
        <v>363.12</v>
      </c>
      <c r="D106" s="3474" t="s">
        <v>3396</v>
      </c>
    </row>
    <row r="107" spans="1:4" ht="34.5" thickBot="1">
      <c r="A107" s="3474">
        <v>106</v>
      </c>
      <c r="B107" s="3474" t="s">
        <v>3496</v>
      </c>
      <c r="C107" s="3474">
        <v>235.35</v>
      </c>
      <c r="D107" s="3474" t="s">
        <v>3396</v>
      </c>
    </row>
    <row r="108" spans="1:4" ht="34.5" thickBot="1">
      <c r="A108" s="3474">
        <v>107</v>
      </c>
      <c r="B108" s="3474" t="s">
        <v>3497</v>
      </c>
      <c r="C108" s="3474">
        <v>390.83</v>
      </c>
      <c r="D108" s="3474" t="s">
        <v>3396</v>
      </c>
    </row>
    <row r="109" spans="1:4" ht="23.25" thickBot="1">
      <c r="A109" s="3474">
        <v>108</v>
      </c>
      <c r="B109" s="3474" t="s">
        <v>3498</v>
      </c>
      <c r="C109" s="3474">
        <v>235.35</v>
      </c>
      <c r="D109" s="3474" t="s">
        <v>3396</v>
      </c>
    </row>
    <row r="110" spans="1:4" ht="23.25" thickBot="1">
      <c r="A110" s="3474">
        <v>109</v>
      </c>
      <c r="B110" s="3474" t="s">
        <v>3499</v>
      </c>
      <c r="C110" s="3474">
        <v>363.12</v>
      </c>
      <c r="D110" s="3474" t="s">
        <v>3396</v>
      </c>
    </row>
    <row r="111" spans="1:4" ht="23.25" thickBot="1">
      <c r="A111" s="3474">
        <v>110</v>
      </c>
      <c r="B111" s="3474" t="s">
        <v>3500</v>
      </c>
      <c r="C111" s="3474">
        <v>386.71</v>
      </c>
      <c r="D111" s="3474" t="s">
        <v>3396</v>
      </c>
    </row>
    <row r="112" spans="1:4" ht="23.25" thickBot="1">
      <c r="A112" s="3474">
        <v>111</v>
      </c>
      <c r="B112" s="3474" t="s">
        <v>3501</v>
      </c>
      <c r="C112" s="3474">
        <v>363.12</v>
      </c>
      <c r="D112" s="3474" t="s">
        <v>3396</v>
      </c>
    </row>
    <row r="113" spans="1:4" ht="23.25" thickBot="1">
      <c r="A113" s="3474">
        <v>112</v>
      </c>
      <c r="B113" s="3474" t="s">
        <v>3502</v>
      </c>
      <c r="C113" s="3474">
        <v>235.35</v>
      </c>
      <c r="D113" s="3474" t="s">
        <v>3396</v>
      </c>
    </row>
    <row r="114" spans="1:4" ht="23.25" thickBot="1">
      <c r="A114" s="3474">
        <v>113</v>
      </c>
      <c r="B114" s="3474" t="s">
        <v>3503</v>
      </c>
      <c r="C114" s="3474">
        <v>390.83</v>
      </c>
      <c r="D114" s="3474" t="s">
        <v>3396</v>
      </c>
    </row>
    <row r="115" spans="1:4" ht="23.25" thickBot="1">
      <c r="A115" s="3474">
        <v>114</v>
      </c>
      <c r="B115" s="3474" t="s">
        <v>3504</v>
      </c>
      <c r="C115" s="3474">
        <v>235.35</v>
      </c>
      <c r="D115" s="3474" t="s">
        <v>3396</v>
      </c>
    </row>
    <row r="116" spans="1:4" ht="23.25" thickBot="1">
      <c r="A116" s="3474">
        <v>115</v>
      </c>
      <c r="B116" s="3474" t="s">
        <v>3505</v>
      </c>
      <c r="C116" s="3474">
        <v>363.12</v>
      </c>
      <c r="D116" s="3474" t="s">
        <v>3396</v>
      </c>
    </row>
    <row r="117" spans="1:4" ht="23.25" thickBot="1">
      <c r="A117" s="3474">
        <v>116</v>
      </c>
      <c r="B117" s="3474" t="s">
        <v>3506</v>
      </c>
      <c r="C117" s="3474">
        <v>386.71</v>
      </c>
      <c r="D117" s="3474" t="s">
        <v>3396</v>
      </c>
    </row>
    <row r="118" spans="1:4" ht="23.25" thickBot="1">
      <c r="A118" s="3474">
        <v>117</v>
      </c>
      <c r="B118" s="3474" t="s">
        <v>3507</v>
      </c>
      <c r="C118" s="3474">
        <v>363.12</v>
      </c>
      <c r="D118" s="3474" t="s">
        <v>3396</v>
      </c>
    </row>
    <row r="119" spans="1:4" ht="23.25" thickBot="1">
      <c r="A119" s="3474">
        <v>118</v>
      </c>
      <c r="B119" s="3474" t="s">
        <v>3508</v>
      </c>
      <c r="C119" s="3474">
        <v>235.35</v>
      </c>
      <c r="D119" s="3474" t="s">
        <v>3396</v>
      </c>
    </row>
    <row r="120" spans="1:4" ht="23.25" thickBot="1">
      <c r="A120" s="3474">
        <v>119</v>
      </c>
      <c r="B120" s="3474" t="s">
        <v>3509</v>
      </c>
      <c r="C120" s="3474">
        <v>390.83</v>
      </c>
      <c r="D120" s="3474" t="s">
        <v>3396</v>
      </c>
    </row>
    <row r="121" spans="1:4" ht="23.25" thickBot="1">
      <c r="A121" s="3474">
        <v>120</v>
      </c>
      <c r="B121" s="3474" t="s">
        <v>3510</v>
      </c>
      <c r="C121" s="3474">
        <v>235.35</v>
      </c>
      <c r="D121" s="3474" t="s">
        <v>3396</v>
      </c>
    </row>
    <row r="122" spans="1:4" ht="34.5" thickBot="1">
      <c r="A122" s="3474">
        <v>121</v>
      </c>
      <c r="B122" s="3474" t="s">
        <v>3511</v>
      </c>
      <c r="C122" s="3474">
        <v>363.12</v>
      </c>
      <c r="D122" s="3474" t="s">
        <v>3396</v>
      </c>
    </row>
    <row r="123" spans="1:4" ht="34.5" thickBot="1">
      <c r="A123" s="3474">
        <v>122</v>
      </c>
      <c r="B123" s="3474" t="s">
        <v>3512</v>
      </c>
      <c r="C123" s="3474">
        <v>386.71</v>
      </c>
      <c r="D123" s="3474" t="s">
        <v>3396</v>
      </c>
    </row>
    <row r="124" spans="1:4" ht="34.5" thickBot="1">
      <c r="A124" s="3474">
        <v>123</v>
      </c>
      <c r="B124" s="3474" t="s">
        <v>3513</v>
      </c>
      <c r="C124" s="3474">
        <v>363.12</v>
      </c>
      <c r="D124" s="3474" t="s">
        <v>3396</v>
      </c>
    </row>
    <row r="125" spans="1:4" ht="23.25" thickBot="1">
      <c r="A125" s="3474">
        <v>124</v>
      </c>
      <c r="B125" s="3474" t="s">
        <v>3514</v>
      </c>
      <c r="C125" s="3474">
        <v>235.35</v>
      </c>
      <c r="D125" s="3474" t="s">
        <v>3396</v>
      </c>
    </row>
    <row r="126" spans="1:4" ht="23.25" thickBot="1">
      <c r="A126" s="3474">
        <v>125</v>
      </c>
      <c r="B126" s="3474" t="s">
        <v>3515</v>
      </c>
      <c r="C126" s="3474">
        <v>390.83</v>
      </c>
      <c r="D126" s="3474" t="s">
        <v>3396</v>
      </c>
    </row>
    <row r="127" spans="1:4" ht="23.25" thickBot="1">
      <c r="A127" s="3474">
        <v>126</v>
      </c>
      <c r="B127" s="3474" t="s">
        <v>3516</v>
      </c>
      <c r="C127" s="3474">
        <v>235.35</v>
      </c>
      <c r="D127" s="3474" t="s">
        <v>3396</v>
      </c>
    </row>
    <row r="128" spans="1:4" ht="23.25" thickBot="1">
      <c r="A128" s="3474">
        <v>127</v>
      </c>
      <c r="B128" s="3474" t="s">
        <v>3517</v>
      </c>
      <c r="C128" s="3474">
        <v>363.12</v>
      </c>
      <c r="D128" s="3474" t="s">
        <v>3396</v>
      </c>
    </row>
    <row r="129" spans="1:4" ht="23.25" thickBot="1">
      <c r="A129" s="3474">
        <v>128</v>
      </c>
      <c r="B129" s="3474" t="s">
        <v>3518</v>
      </c>
      <c r="C129" s="3474">
        <v>386.71</v>
      </c>
      <c r="D129" s="3474" t="s">
        <v>3396</v>
      </c>
    </row>
    <row r="130" spans="1:4" ht="23.25" thickBot="1">
      <c r="A130" s="3474">
        <v>129</v>
      </c>
      <c r="B130" s="3474" t="s">
        <v>3519</v>
      </c>
      <c r="C130" s="3474">
        <v>363.12</v>
      </c>
      <c r="D130" s="3474" t="s">
        <v>3396</v>
      </c>
    </row>
    <row r="131" spans="1:4" ht="23.25" thickBot="1">
      <c r="A131" s="3474">
        <v>130</v>
      </c>
      <c r="B131" s="3474" t="s">
        <v>3520</v>
      </c>
      <c r="C131" s="3474">
        <v>235.35</v>
      </c>
      <c r="D131" s="3474" t="s">
        <v>3396</v>
      </c>
    </row>
    <row r="132" spans="1:4" ht="23.25" thickBot="1">
      <c r="A132" s="3474">
        <v>131</v>
      </c>
      <c r="B132" s="3474" t="s">
        <v>3521</v>
      </c>
      <c r="C132" s="3474">
        <v>390.83</v>
      </c>
      <c r="D132" s="3474" t="s">
        <v>3396</v>
      </c>
    </row>
    <row r="133" spans="1:4" ht="23.25" thickBot="1">
      <c r="A133" s="3474">
        <v>132</v>
      </c>
      <c r="B133" s="3474" t="s">
        <v>3522</v>
      </c>
      <c r="C133" s="3474">
        <v>235.35</v>
      </c>
      <c r="D133" s="3474" t="s">
        <v>3396</v>
      </c>
    </row>
    <row r="134" spans="1:4" ht="23.25" thickBot="1">
      <c r="A134" s="3474">
        <v>133</v>
      </c>
      <c r="B134" s="3474" t="s">
        <v>3523</v>
      </c>
      <c r="C134" s="3474">
        <v>363.12</v>
      </c>
      <c r="D134" s="3474" t="s">
        <v>3396</v>
      </c>
    </row>
    <row r="135" spans="1:4" ht="23.25" thickBot="1">
      <c r="A135" s="3474">
        <v>134</v>
      </c>
      <c r="B135" s="3474" t="s">
        <v>3524</v>
      </c>
      <c r="C135" s="3474">
        <v>386.71</v>
      </c>
      <c r="D135" s="3474" t="s">
        <v>3396</v>
      </c>
    </row>
    <row r="136" spans="1:4" ht="23.25" thickBot="1">
      <c r="A136" s="3474">
        <v>135</v>
      </c>
      <c r="B136" s="3474" t="s">
        <v>3525</v>
      </c>
      <c r="C136" s="3474">
        <v>363.12</v>
      </c>
      <c r="D136" s="3474" t="s">
        <v>3396</v>
      </c>
    </row>
    <row r="137" spans="1:4" ht="23.25" thickBot="1">
      <c r="A137" s="3474">
        <v>136</v>
      </c>
      <c r="B137" s="3474" t="s">
        <v>3526</v>
      </c>
      <c r="C137" s="3474">
        <v>235.35</v>
      </c>
      <c r="D137" s="3474" t="s">
        <v>3396</v>
      </c>
    </row>
    <row r="138" spans="1:4" ht="23.25" thickBot="1">
      <c r="A138" s="3474">
        <v>137</v>
      </c>
      <c r="B138" s="3474" t="s">
        <v>3527</v>
      </c>
      <c r="C138" s="3474">
        <v>390.83</v>
      </c>
      <c r="D138" s="3474" t="s">
        <v>3396</v>
      </c>
    </row>
    <row r="139" spans="1:4" ht="23.25" thickBot="1">
      <c r="A139" s="3474">
        <v>138</v>
      </c>
      <c r="B139" s="3474" t="s">
        <v>3528</v>
      </c>
      <c r="C139" s="3474">
        <v>235.35</v>
      </c>
      <c r="D139" s="3474" t="s">
        <v>3396</v>
      </c>
    </row>
    <row r="140" spans="1:4" ht="23.25" thickBot="1">
      <c r="A140" s="3474">
        <v>139</v>
      </c>
      <c r="B140" s="3474" t="s">
        <v>3529</v>
      </c>
      <c r="C140" s="3474">
        <v>363.12</v>
      </c>
      <c r="D140" s="3474" t="s">
        <v>3396</v>
      </c>
    </row>
    <row r="141" spans="1:4" ht="23.25" thickBot="1">
      <c r="A141" s="3474">
        <v>140</v>
      </c>
      <c r="B141" s="3474" t="s">
        <v>3530</v>
      </c>
      <c r="C141" s="3474">
        <v>386.71</v>
      </c>
      <c r="D141" s="3474" t="s">
        <v>3396</v>
      </c>
    </row>
    <row r="142" spans="1:4" ht="23.25" thickBot="1">
      <c r="A142" s="3474">
        <v>141</v>
      </c>
      <c r="B142" s="3474" t="s">
        <v>3531</v>
      </c>
      <c r="C142" s="3474">
        <v>363.12</v>
      </c>
      <c r="D142" s="3474" t="s">
        <v>3396</v>
      </c>
    </row>
    <row r="143" spans="1:4" ht="34.5" thickBot="1">
      <c r="A143" s="3474">
        <v>142</v>
      </c>
      <c r="B143" s="3474" t="s">
        <v>3532</v>
      </c>
      <c r="C143" s="3474">
        <v>235.35</v>
      </c>
      <c r="D143" s="3474" t="s">
        <v>3396</v>
      </c>
    </row>
    <row r="144" spans="1:4" ht="34.5" thickBot="1">
      <c r="A144" s="3474">
        <v>143</v>
      </c>
      <c r="B144" s="3474" t="s">
        <v>3533</v>
      </c>
      <c r="C144" s="3474">
        <v>390.83</v>
      </c>
      <c r="D144" s="3474" t="s">
        <v>3396</v>
      </c>
    </row>
    <row r="145" spans="1:4" ht="34.5" thickBot="1">
      <c r="A145" s="3474">
        <v>144</v>
      </c>
      <c r="B145" s="3474" t="s">
        <v>3534</v>
      </c>
      <c r="C145" s="3474">
        <v>235.35</v>
      </c>
      <c r="D145" s="3474" t="s">
        <v>3396</v>
      </c>
    </row>
    <row r="146" spans="1:4" ht="34.5" thickBot="1">
      <c r="A146" s="3474">
        <v>145</v>
      </c>
      <c r="B146" s="3474" t="s">
        <v>3535</v>
      </c>
      <c r="C146" s="3474">
        <v>363.12</v>
      </c>
      <c r="D146" s="3474" t="s">
        <v>3396</v>
      </c>
    </row>
    <row r="147" spans="1:4" ht="34.5" thickBot="1">
      <c r="A147" s="3474">
        <v>146</v>
      </c>
      <c r="B147" s="3474" t="s">
        <v>3536</v>
      </c>
      <c r="C147" s="3474">
        <v>386.71</v>
      </c>
      <c r="D147" s="3474" t="s">
        <v>3396</v>
      </c>
    </row>
    <row r="148" spans="1:4" ht="34.5" thickBot="1">
      <c r="A148" s="3474">
        <v>147</v>
      </c>
      <c r="B148" s="3474" t="s">
        <v>3537</v>
      </c>
      <c r="C148" s="3474">
        <v>363.12</v>
      </c>
      <c r="D148" s="3474" t="s">
        <v>3396</v>
      </c>
    </row>
    <row r="149" spans="1:4" ht="23.25" thickBot="1">
      <c r="A149" s="3474">
        <v>148</v>
      </c>
      <c r="B149" s="3474" t="s">
        <v>3538</v>
      </c>
      <c r="C149" s="3474">
        <v>235.35</v>
      </c>
      <c r="D149" s="3474" t="s">
        <v>3396</v>
      </c>
    </row>
    <row r="150" spans="1:4" ht="23.25" thickBot="1">
      <c r="A150" s="3474">
        <v>149</v>
      </c>
      <c r="B150" s="3474" t="s">
        <v>3539</v>
      </c>
      <c r="C150" s="3474">
        <v>390.83</v>
      </c>
      <c r="D150" s="3474" t="s">
        <v>3396</v>
      </c>
    </row>
    <row r="151" spans="1:4" ht="23.25" thickBot="1">
      <c r="A151" s="3474">
        <v>150</v>
      </c>
      <c r="B151" s="3474" t="s">
        <v>3540</v>
      </c>
      <c r="C151" s="3474">
        <v>235.35</v>
      </c>
      <c r="D151" s="3474" t="s">
        <v>3396</v>
      </c>
    </row>
    <row r="152" spans="1:4" ht="23.25" thickBot="1">
      <c r="A152" s="3474">
        <v>151</v>
      </c>
      <c r="B152" s="3474" t="s">
        <v>3541</v>
      </c>
      <c r="C152" s="3474">
        <v>363.12</v>
      </c>
      <c r="D152" s="3474" t="s">
        <v>3396</v>
      </c>
    </row>
    <row r="153" spans="1:4" ht="23.25" thickBot="1">
      <c r="A153" s="3474">
        <v>152</v>
      </c>
      <c r="B153" s="3474" t="s">
        <v>3542</v>
      </c>
      <c r="C153" s="3474">
        <v>386.71</v>
      </c>
      <c r="D153" s="3474" t="s">
        <v>3396</v>
      </c>
    </row>
    <row r="154" spans="1:4" ht="23.25" thickBot="1">
      <c r="A154" s="3474">
        <v>153</v>
      </c>
      <c r="B154" s="3474" t="s">
        <v>3543</v>
      </c>
      <c r="C154" s="3474">
        <v>363.12</v>
      </c>
      <c r="D154" s="3474" t="s">
        <v>3396</v>
      </c>
    </row>
    <row r="155" spans="1:4" ht="23.25" thickBot="1">
      <c r="A155" s="3474">
        <v>154</v>
      </c>
      <c r="B155" s="3474" t="s">
        <v>3544</v>
      </c>
      <c r="C155" s="3474">
        <v>235.35</v>
      </c>
      <c r="D155" s="3474" t="s">
        <v>3396</v>
      </c>
    </row>
    <row r="156" spans="1:4" ht="23.25" thickBot="1">
      <c r="A156" s="3474">
        <v>155</v>
      </c>
      <c r="B156" s="3474" t="s">
        <v>3545</v>
      </c>
      <c r="C156" s="3474">
        <v>390.83</v>
      </c>
      <c r="D156" s="3474" t="s">
        <v>3396</v>
      </c>
    </row>
    <row r="157" spans="1:4" ht="23.25" thickBot="1">
      <c r="A157" s="3474">
        <v>156</v>
      </c>
      <c r="B157" s="3474" t="s">
        <v>3546</v>
      </c>
      <c r="C157" s="3474">
        <v>235.35</v>
      </c>
      <c r="D157" s="3474" t="s">
        <v>3396</v>
      </c>
    </row>
    <row r="158" spans="1:4" ht="23.25" thickBot="1">
      <c r="A158" s="3474">
        <v>157</v>
      </c>
      <c r="B158" s="3474" t="s">
        <v>3547</v>
      </c>
      <c r="C158" s="3474">
        <v>363.12</v>
      </c>
      <c r="D158" s="3474" t="s">
        <v>3396</v>
      </c>
    </row>
    <row r="159" spans="1:4" ht="23.25" thickBot="1">
      <c r="A159" s="3474">
        <v>158</v>
      </c>
      <c r="B159" s="3474" t="s">
        <v>3548</v>
      </c>
      <c r="C159" s="3474">
        <v>386.71</v>
      </c>
      <c r="D159" s="3474" t="s">
        <v>3396</v>
      </c>
    </row>
    <row r="160" spans="1:4" ht="23.25" thickBot="1">
      <c r="A160" s="3474">
        <v>159</v>
      </c>
      <c r="B160" s="3474" t="s">
        <v>3549</v>
      </c>
      <c r="C160" s="3474">
        <v>363.12</v>
      </c>
      <c r="D160" s="3474" t="s">
        <v>3396</v>
      </c>
    </row>
    <row r="161" spans="1:4" ht="23.25" thickBot="1">
      <c r="A161" s="3474">
        <v>160</v>
      </c>
      <c r="B161" s="3474" t="s">
        <v>3550</v>
      </c>
      <c r="C161" s="3474">
        <v>235.35</v>
      </c>
      <c r="D161" s="3474" t="s">
        <v>3396</v>
      </c>
    </row>
    <row r="162" spans="1:4" ht="23.25" thickBot="1">
      <c r="A162" s="3474">
        <v>161</v>
      </c>
      <c r="B162" s="3474" t="s">
        <v>3551</v>
      </c>
      <c r="C162" s="3474">
        <v>390.83</v>
      </c>
      <c r="D162" s="3474" t="s">
        <v>3396</v>
      </c>
    </row>
    <row r="163" spans="1:4" ht="23.25" thickBot="1">
      <c r="A163" s="3474">
        <v>162</v>
      </c>
      <c r="B163" s="3474" t="s">
        <v>3552</v>
      </c>
      <c r="C163" s="3474">
        <v>235.35</v>
      </c>
      <c r="D163" s="3474" t="s">
        <v>3396</v>
      </c>
    </row>
    <row r="164" spans="1:4" ht="23.25" thickBot="1">
      <c r="A164" s="3474">
        <v>163</v>
      </c>
      <c r="B164" s="3474" t="s">
        <v>3553</v>
      </c>
      <c r="C164" s="3474">
        <v>363.12</v>
      </c>
      <c r="D164" s="3474" t="s">
        <v>3396</v>
      </c>
    </row>
    <row r="165" spans="1:4" ht="23.25" thickBot="1">
      <c r="A165" s="3474">
        <v>164</v>
      </c>
      <c r="B165" s="3476" t="s">
        <v>3554</v>
      </c>
      <c r="C165" s="3474">
        <v>386.71</v>
      </c>
      <c r="D165" s="3474" t="s">
        <v>3396</v>
      </c>
    </row>
    <row r="166" spans="1:4" ht="23.25" thickBot="1">
      <c r="A166" s="3474">
        <v>165</v>
      </c>
      <c r="B166" s="3474" t="s">
        <v>3555</v>
      </c>
      <c r="C166" s="3474">
        <v>363.12</v>
      </c>
      <c r="D166" s="3474" t="s">
        <v>3396</v>
      </c>
    </row>
    <row r="167" spans="1:4" ht="23.25" thickBot="1">
      <c r="A167" s="3474">
        <v>166</v>
      </c>
      <c r="B167" s="3474" t="s">
        <v>3556</v>
      </c>
      <c r="C167" s="3475">
        <v>2069.11</v>
      </c>
      <c r="D167" s="3474" t="s">
        <v>3396</v>
      </c>
    </row>
    <row r="168" spans="1:4" ht="23.25" thickBot="1">
      <c r="A168" s="3474">
        <v>167</v>
      </c>
      <c r="B168" s="3474" t="s">
        <v>3557</v>
      </c>
      <c r="C168" s="3475">
        <v>2069.11</v>
      </c>
      <c r="D168" s="3474" t="s">
        <v>3396</v>
      </c>
    </row>
    <row r="169" spans="1:4" ht="23.25" thickBot="1">
      <c r="A169" s="3474">
        <v>168</v>
      </c>
      <c r="B169" s="3474" t="s">
        <v>3558</v>
      </c>
      <c r="C169" s="3475">
        <v>2069.11</v>
      </c>
      <c r="D169" s="3474" t="s">
        <v>3396</v>
      </c>
    </row>
    <row r="170" spans="1:4" ht="23.25" thickBot="1">
      <c r="A170" s="3474">
        <v>169</v>
      </c>
      <c r="B170" s="3474" t="s">
        <v>3559</v>
      </c>
      <c r="C170" s="3475">
        <v>2069.11</v>
      </c>
      <c r="D170" s="3474" t="s">
        <v>3396</v>
      </c>
    </row>
    <row r="171" spans="1:4" ht="23.25" thickBot="1">
      <c r="A171" s="3474">
        <v>170</v>
      </c>
      <c r="B171" s="3474" t="s">
        <v>3560</v>
      </c>
      <c r="C171" s="3475">
        <v>2069.11</v>
      </c>
      <c r="D171" s="3474" t="s">
        <v>3396</v>
      </c>
    </row>
    <row r="172" spans="1:4" ht="23.25" thickBot="1">
      <c r="A172" s="3474">
        <v>171</v>
      </c>
      <c r="B172" s="3474" t="s">
        <v>3561</v>
      </c>
      <c r="C172" s="3475">
        <v>2069.11</v>
      </c>
      <c r="D172" s="3474" t="s">
        <v>3396</v>
      </c>
    </row>
    <row r="173" spans="1:4" ht="23.25" thickBot="1">
      <c r="A173" s="3474">
        <v>172</v>
      </c>
      <c r="B173" s="3474" t="s">
        <v>3562</v>
      </c>
      <c r="C173" s="3475">
        <v>2069.11</v>
      </c>
      <c r="D173" s="3474" t="s">
        <v>3396</v>
      </c>
    </row>
    <row r="174" spans="1:4" ht="23.25" thickBot="1">
      <c r="A174" s="3474">
        <v>173</v>
      </c>
      <c r="B174" s="3474" t="s">
        <v>3563</v>
      </c>
      <c r="C174" s="3475">
        <v>2008.01</v>
      </c>
      <c r="D174" s="3474" t="s">
        <v>3396</v>
      </c>
    </row>
    <row r="175" spans="1:4" ht="23.25" thickBot="1">
      <c r="A175" s="3474">
        <v>174</v>
      </c>
      <c r="B175" s="3474" t="s">
        <v>3564</v>
      </c>
      <c r="C175" s="3475">
        <v>2008.01</v>
      </c>
      <c r="D175" s="3474" t="s">
        <v>3396</v>
      </c>
    </row>
    <row r="176" spans="1:4" ht="14.25" thickBot="1">
      <c r="A176" s="3477" t="s">
        <v>3565</v>
      </c>
      <c r="B176" s="3477" t="s">
        <v>3566</v>
      </c>
      <c r="C176" s="3475">
        <v>73388.160000000003</v>
      </c>
      <c r="D176" s="3474" t="s">
        <v>3567</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f>'数据-基础表'!AY6</f>
        <v>0</v>
      </c>
      <c r="E3" s="43">
        <f>'数据-基础表'!AZ5</f>
        <v>73388.159999999989</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f>ROUND($D$3*E6/$E$3,2)</f>
        <v>0</v>
      </c>
      <c r="E6" s="46">
        <f>E3-E5</f>
        <v>73388.159999999989</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73388.159999999989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73388.159999999989</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3572</v>
      </c>
      <c r="D19" s="45">
        <f>ROUND($D$3*E19/$E$3,2)</f>
        <v>0</v>
      </c>
      <c r="E19" s="53">
        <f t="shared" ref="E19:E26" si="1">SUM(F19:G19)</f>
        <v>2431.09</v>
      </c>
      <c r="F19" s="2795">
        <f>'数据-基础表'!I5</f>
        <v>2431.09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2431.09</v>
      </c>
    </row>
    <row r="20" spans="1:19">
      <c r="A20" s="1670"/>
      <c r="B20" s="47" t="s">
        <v>1153</v>
      </c>
      <c r="C20" s="3417" t="s">
        <v>3573</v>
      </c>
      <c r="D20" s="45">
        <f t="shared" ref="D20:D26" si="6">ROUND($D$3*E20/$E$3,2)</f>
        <v>0</v>
      </c>
      <c r="E20" s="53">
        <f t="shared" si="1"/>
        <v>70957.069999999992</v>
      </c>
      <c r="F20" s="2795">
        <f>'数据-基础表'!K5</f>
        <v>70957.069999999992</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70957.069999999992</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73388.159999999989</v>
      </c>
      <c r="F27" s="1140">
        <f>IF(SUM(F19:F26)=E8,SUM(F19:F26),"地上面积有误")</f>
        <v>73388.159999999989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73388.159999999989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73388.159999999989</v>
      </c>
      <c r="F31" s="677">
        <f>F27+F30</f>
        <v>73388.159999999989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3574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53964</v>
      </c>
      <c r="F6" s="64">
        <f>SUMIF(项目基本情况!C$12:I$12,C6,项目基本情况!C$15:I$15)</f>
        <v>23.53</v>
      </c>
      <c r="G6" s="65">
        <f>IF(ISERROR(ROUND(POWER(1+H6,D6-F6)*(POWER(1+H6,F6)-1)/(POWER(1+H6,D6)-1),3)),0,ROUND(POWER(1+H6,D6-F6)*(POWER(1+H6,F6)-1)/(POWER(1+H6,D6)-1),3))</f>
        <v>0.79600000000000004</v>
      </c>
      <c r="H6" s="732">
        <v>0.05</v>
      </c>
      <c r="I6" s="732">
        <v>5.5E-2</v>
      </c>
      <c r="J6" s="66">
        <v>7.0000000000000007E-2</v>
      </c>
      <c r="K6" s="1030">
        <f>SUMIF('数据-汇总表'!C$19:C$33,A6,'数据-汇总表'!E$19:E$33)</f>
        <v>2431.09</v>
      </c>
      <c r="L6" s="733">
        <v>6000</v>
      </c>
      <c r="M6" s="67">
        <f t="shared" ref="M6:M14" si="0">ROUND(K6*L6/10000,0)</f>
        <v>1459</v>
      </c>
      <c r="N6" s="731">
        <f>N19</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v>
      </c>
      <c r="V6" s="70">
        <v>2.5000000000000001E-2</v>
      </c>
      <c r="W6" s="70">
        <v>0.1</v>
      </c>
      <c r="X6" s="1040"/>
      <c r="Y6" s="71">
        <f>N6</f>
        <v>0.87</v>
      </c>
      <c r="Z6" s="72"/>
      <c r="AA6" s="66"/>
      <c r="AB6" s="66"/>
      <c r="AC6" s="1040"/>
      <c r="AD6" s="73"/>
      <c r="AE6" s="1041">
        <f ca="1">IF(AN6="",0,SUMIF(INDIRECT("'"&amp;AN6&amp;"'"&amp;"!E:E"),$AE$5,INDIRECT("'"&amp;AN6&amp;"'"&amp;"!F:F")))</f>
        <v>23.53</v>
      </c>
      <c r="AF6" s="1348"/>
      <c r="AG6" s="138">
        <f>IF(AF6="",0,AE6-AF6)</f>
        <v>0</v>
      </c>
      <c r="AH6" s="74"/>
      <c r="AI6" s="76">
        <v>365</v>
      </c>
      <c r="AJ6" s="77"/>
      <c r="AK6" s="78">
        <v>5.0000000000000001E-3</v>
      </c>
      <c r="AL6" s="79">
        <v>1E-3</v>
      </c>
      <c r="AM6" s="80">
        <v>5.0000000000000001E-3</v>
      </c>
      <c r="AN6" s="1715" t="s">
        <v>3585</v>
      </c>
      <c r="AO6" s="52">
        <f ca="1">SUMIF(INDIRECT("'"&amp;AN6&amp;"'"&amp;"!A:A"),"总价",INDIRECT("'"&amp;AN6&amp;"'"&amp;"!B:B"))</f>
        <v>6506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40</v>
      </c>
      <c r="E7" s="857">
        <f>IF(B7="","",SUMIF(项目基本情况!C$12:I$12,C7,项目基本情况!C$13:I$13))</f>
        <v>53964</v>
      </c>
      <c r="F7" s="64">
        <f>SUMIF(项目基本情况!C$12:I$12,C7,项目基本情况!C$15:I$15)</f>
        <v>23.53</v>
      </c>
      <c r="G7" s="65">
        <f t="shared" ref="G7:G11" si="2">IF(ISERROR(ROUND(POWER(1+H7,D7-F7)*(POWER(1+H7,F7)-1)/(POWER(1+H7,D7)-1),3)),0,ROUND(POWER(1+H7,D7-F7)*(POWER(1+H7,F7)-1)/(POWER(1+H7,D7)-1),3))</f>
        <v>0.79600000000000004</v>
      </c>
      <c r="H7" s="732">
        <v>0.05</v>
      </c>
      <c r="I7" s="732">
        <v>5.5E-2</v>
      </c>
      <c r="J7" s="66">
        <v>7.0000000000000007E-2</v>
      </c>
      <c r="K7" s="1030">
        <f>SUMIF('数据-汇总表'!C$19:C$33,A7,'数据-汇总表'!E$19:E$33)</f>
        <v>70957.069999999992</v>
      </c>
      <c r="L7" s="733">
        <f>L6</f>
        <v>6000</v>
      </c>
      <c r="M7" s="67">
        <f t="shared" si="0"/>
        <v>42574</v>
      </c>
      <c r="N7" s="731">
        <f>N6</f>
        <v>0.87</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80</v>
      </c>
      <c r="V7" s="70">
        <v>2.5000000000000001E-2</v>
      </c>
      <c r="W7" s="70">
        <v>0.1</v>
      </c>
      <c r="X7" s="1040"/>
      <c r="Y7" s="71">
        <f>N7</f>
        <v>0.87</v>
      </c>
      <c r="Z7" s="72"/>
      <c r="AA7" s="66"/>
      <c r="AB7" s="66"/>
      <c r="AC7" s="1040"/>
      <c r="AD7" s="73"/>
      <c r="AE7" s="1041">
        <f t="shared" ref="AE7:AE13" ca="1" si="6">IF(AN7="",0,SUMIF(INDIRECT("'"&amp;AN7&amp;"'"&amp;"!E:E"),$AE$5,INDIRECT("'"&amp;AN7&amp;"'"&amp;"!F:F")))</f>
        <v>23.53</v>
      </c>
      <c r="AF7" s="1348"/>
      <c r="AG7" s="138">
        <f t="shared" ref="AG7:AG13" si="7">IF(AF7="",0,AE7-AF7)</f>
        <v>0</v>
      </c>
      <c r="AH7" s="74"/>
      <c r="AI7" s="76">
        <v>12</v>
      </c>
      <c r="AJ7" s="77"/>
      <c r="AK7" s="78">
        <v>5.0000000000000001E-3</v>
      </c>
      <c r="AL7" s="79">
        <v>1E-3</v>
      </c>
      <c r="AM7" s="80">
        <v>5.0000000000000001E-3</v>
      </c>
      <c r="AN7" s="1715" t="s">
        <v>3577</v>
      </c>
      <c r="AO7" s="52">
        <f t="shared" ref="AO7:AO13" ca="1" si="8">SUMIF(INDIRECT("'"&amp;AN7&amp;"'"&amp;"!A:A"),"总价",INDIRECT("'"&amp;AN7&amp;"'"&amp;"!B:B"))</f>
        <v>82848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0.79600000000000004</v>
      </c>
      <c r="H16" s="90">
        <f>ROUND(SUMPRODUCT(H6:H13,K6:K13)/SUMPRODUCT((H6:H13&gt;0)*(K6:K13)),3)</f>
        <v>0.05</v>
      </c>
      <c r="I16" s="91"/>
      <c r="J16" s="91"/>
      <c r="K16" s="92">
        <f>SUM(K6:K15)</f>
        <v>73388.159999999989</v>
      </c>
      <c r="L16" s="93">
        <f>ROUND(M16*10000/SUM(K6:K14),0)</f>
        <v>6000</v>
      </c>
      <c r="M16" s="93">
        <f>SUM(M6:M14)</f>
        <v>44033</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79" t="s">
        <v>3575</v>
      </c>
      <c r="N19" s="2671">
        <f>ROUND(1-(2024-2016)/60,2)</f>
        <v>0.87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79" t="s">
        <v>3576</v>
      </c>
      <c r="N20" s="2671">
        <v>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60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6" sqref="D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73388.159999999989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45372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101502</v>
      </c>
      <c r="C5" s="2512">
        <f ca="1">IF(B5=D14,结果表!H102,ROUND(B5*10000/$B$1,0))</f>
        <v>13831</v>
      </c>
      <c r="D5" s="2512" t="e">
        <f ca="1">ROUND(B5*10000/$B$2,0)</f>
        <v>#DIV/0!</v>
      </c>
      <c r="E5" s="2686"/>
      <c r="F5" s="2687"/>
      <c r="G5" s="2687"/>
      <c r="H5" s="2688"/>
      <c r="I5" s="2688"/>
      <c r="J5" s="2688"/>
      <c r="K5" s="2688"/>
    </row>
    <row r="6" spans="1:11" ht="16.5">
      <c r="A6" s="2512" t="s">
        <v>656</v>
      </c>
      <c r="B6" s="2512">
        <f>SUM(G14:G23)</f>
        <v>0</v>
      </c>
      <c r="C6" s="2512">
        <f ca="1">IF(B6=G14,结果表!H108,ROUND(B6*10000/$B$1,0))</f>
        <v>13070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'数据-汇总表'!F20</f>
        <v>70957.069999999992</v>
      </c>
      <c r="C14" s="2518"/>
      <c r="D14" s="2518">
        <f ca="1">结果表!G19</f>
        <v>92743</v>
      </c>
      <c r="E14" s="2518">
        <f ca="1">ROUND(D14*10000/B14,0)</f>
        <v>13070</v>
      </c>
      <c r="F14" s="2518" t="e">
        <f ca="1">ROUND(D14*10000/C14,0)</f>
        <v>#DIV/0!</v>
      </c>
      <c r="G14" s="2518"/>
      <c r="H14" s="2518"/>
      <c r="I14" s="2518"/>
      <c r="J14" s="2687"/>
      <c r="K14" s="2688"/>
    </row>
    <row r="15" spans="1:11" ht="16.5">
      <c r="A15" s="2517" t="s">
        <v>649</v>
      </c>
      <c r="B15" s="2519">
        <f>'数据-汇总表'!F19</f>
        <v>2431.09</v>
      </c>
      <c r="C15" s="2519"/>
      <c r="D15" s="2519">
        <f ca="1">'结果表(商业)'!G19</f>
        <v>8759</v>
      </c>
      <c r="E15" s="2518">
        <f t="shared" ref="E15:E23" ca="1" si="0">ROUND(D15*10000/B15,0)</f>
        <v>36029</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3" sqref="H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t="s">
        <v>3582</v>
      </c>
      <c r="D4" s="1756" t="s">
        <v>3577</v>
      </c>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v>6</v>
      </c>
      <c r="D14" s="3606">
        <v>4</v>
      </c>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3" t="s">
        <v>2131</v>
      </c>
      <c r="F18" s="3594"/>
      <c r="G18" s="3594"/>
      <c r="H18" s="3594"/>
      <c r="I18" s="3594"/>
      <c r="K18" s="302" t="s">
        <v>1289</v>
      </c>
      <c r="L18" s="302">
        <f>IF(C1="",'数据-汇总表'!E3,SUMIF(项目类型,C1,'数据-汇总表'!E17:E26)+SUMIF(项目类型,C1,'数据-汇总表'!I17:I26))</f>
        <v>70957.069999999992</v>
      </c>
      <c r="M18" s="302">
        <f>IF(C1="",'数据-汇总表'!E3,SUMIF(项目类型,C1,'数据-汇总表'!E17:E26))</f>
        <v>70957.069999999992</v>
      </c>
    </row>
    <row r="19" spans="1:36" ht="15">
      <c r="A19" s="1761" t="s">
        <v>1290</v>
      </c>
      <c r="B19" s="1762" t="s">
        <v>1291</v>
      </c>
      <c r="C19" s="134">
        <f ca="1">SUMIF(INDIRECT("'"&amp;C4&amp;"'"&amp;"!A:A"),结果表!B19,INDIRECT("'"&amp;C4&amp;"'"&amp;"!B:B"))</f>
        <v>99340</v>
      </c>
      <c r="D19" s="135">
        <f ca="1">SUMIF(INDIRECT("'"&amp;D4&amp;"'"&amp;"!A:A"),结果表!B19,INDIRECT("'"&amp;D4&amp;"'"&amp;"!B:B"))</f>
        <v>82848</v>
      </c>
      <c r="E19" s="1761" t="s">
        <v>1292</v>
      </c>
      <c r="F19" s="1762" t="s">
        <v>1291</v>
      </c>
      <c r="G19" s="136">
        <f ca="1">ROUND(C19*$C$18+D19*$D$18,0)</f>
        <v>92743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14000</v>
      </c>
      <c r="D20" s="138">
        <f ca="1">SUMIF(INDIRECT("'"&amp;D4&amp;"'"&amp;"!A:A"),结果表!B20,INDIRECT("'"&amp;D4&amp;"'"&amp;"!B:B"))</f>
        <v>11676</v>
      </c>
      <c r="E20" s="1764"/>
      <c r="F20" s="1026" t="s">
        <v>1295</v>
      </c>
      <c r="G20" s="139">
        <f ca="1">ROUND(C20*$C$18+D20*$D$18,0)</f>
        <v>13070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0.19906334492081879</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13070</v>
      </c>
      <c r="D32" s="1775" t="s">
        <v>3588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f ca="1">ROUND(H101*F45,0)</f>
        <v>92741</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45372</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3" t="s">
        <v>1340</v>
      </c>
      <c r="L48" s="3633"/>
      <c r="M48" s="3655">
        <f ca="1">H101</f>
        <v>92741</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房地产抵押价值</v>
      </c>
      <c r="L49" s="3633"/>
      <c r="M49" s="3655">
        <f ca="1">IF(项目基本情况!E8="房地产抵押价值",H107,H109)</f>
        <v>92741</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f ca="1">ROUND(D45*'数据-取费表'!B41/(1+'数据-取费表'!C42),0)</f>
        <v>4946</v>
      </c>
      <c r="E52" s="2334" t="s">
        <v>1354</v>
      </c>
      <c r="F52" s="2554">
        <f>'数据-取费表'!B41</f>
        <v>5.6000000000000001E-2</v>
      </c>
      <c r="G52" s="2555"/>
      <c r="H52" s="2544"/>
      <c r="I52" s="1807"/>
      <c r="J52" s="2523">
        <v>1</v>
      </c>
      <c r="K52" s="3634" t="s">
        <v>1355</v>
      </c>
      <c r="L52" s="3634"/>
      <c r="M52" s="2525" t="b">
        <f>D48</f>
        <v>0</v>
      </c>
      <c r="N52" s="2523" t="str">
        <f>E48</f>
        <v>销售额×税（费）率</v>
      </c>
      <c r="O52" s="2526">
        <f>F48</f>
        <v>5.6000000000000001E-2</v>
      </c>
    </row>
    <row r="53" spans="1:35" ht="12" customHeight="1">
      <c r="A53" s="2335" t="s">
        <v>1356</v>
      </c>
      <c r="B53" s="3595" t="s">
        <v>2291</v>
      </c>
      <c r="C53" s="3596"/>
      <c r="D53" s="1087">
        <f ca="1">ROUND(D45*'数据-取费表'!B41/(1+'数据-取费表'!C42),0)</f>
        <v>4946</v>
      </c>
      <c r="E53" s="2334" t="s">
        <v>1354</v>
      </c>
      <c r="F53" s="2554">
        <f>'数据-取费表'!B41</f>
        <v>5.6000000000000001E-2</v>
      </c>
      <c r="G53" s="2555"/>
      <c r="H53" s="2544"/>
      <c r="I53" s="1807"/>
      <c r="J53" s="2523">
        <v>2</v>
      </c>
      <c r="K53" s="3634" t="s">
        <v>1357</v>
      </c>
      <c r="L53" s="3634"/>
      <c r="M53" s="2525">
        <f t="shared" ref="M53:O54" ca="1" si="0">D55</f>
        <v>46</v>
      </c>
      <c r="N53" s="2523" t="str">
        <f t="shared" si="0"/>
        <v>销售额×税（费）率</v>
      </c>
      <c r="O53" s="2526" t="str">
        <f t="shared" si="0"/>
        <v>免征</v>
      </c>
    </row>
    <row r="54" spans="1:35" ht="12" customHeight="1">
      <c r="A54" s="2335" t="s">
        <v>1358</v>
      </c>
      <c r="B54" s="3595" t="s">
        <v>2292</v>
      </c>
      <c r="C54" s="3596"/>
      <c r="D54" s="1087">
        <f ca="1">C68</f>
        <v>4946</v>
      </c>
      <c r="E54" s="327" t="s">
        <v>1359</v>
      </c>
      <c r="F54" s="2554">
        <f>'数据-取费表'!B41</f>
        <v>5.6000000000000001E-2</v>
      </c>
      <c r="G54" s="2555"/>
      <c r="H54" s="2556"/>
      <c r="I54" s="1807"/>
      <c r="J54" s="2523">
        <v>3</v>
      </c>
      <c r="K54" s="3634" t="s">
        <v>1360</v>
      </c>
      <c r="L54" s="3634"/>
      <c r="M54" s="2525">
        <f t="shared" ca="1" si="0"/>
        <v>52492</v>
      </c>
      <c r="N54" s="2523" t="str">
        <f t="shared" si="0"/>
        <v>增值额×税（费）率</v>
      </c>
      <c r="O54" s="2527" t="str">
        <f t="shared" si="0"/>
        <v>免征</v>
      </c>
    </row>
    <row r="55" spans="1:35" ht="24" customHeight="1">
      <c r="A55" s="3584" t="s">
        <v>1361</v>
      </c>
      <c r="B55" s="3585"/>
      <c r="C55" s="3585"/>
      <c r="D55" s="2324">
        <f ca="1">IF(H55="个人住宅",0,ROUND(D45*I55,0))</f>
        <v>46</v>
      </c>
      <c r="E55" s="2334" t="s">
        <v>1362</v>
      </c>
      <c r="F55" s="2554" t="str">
        <f>IF(H55="正常",I55,"免征")</f>
        <v>免征</v>
      </c>
      <c r="G55" s="2555"/>
      <c r="H55" s="2550"/>
      <c r="I55" s="165">
        <f>'数据-取费表'!B49</f>
        <v>5.0000000000000001E-4</v>
      </c>
      <c r="J55" s="2523">
        <f>IF(H59="非个人房产","",4)</f>
        <v>4</v>
      </c>
      <c r="K55" s="3634" t="str">
        <f>IF(H59="非个人房产","——","个人所得税")</f>
        <v>个人所得税</v>
      </c>
      <c r="L55" s="3634"/>
      <c r="M55" s="2528">
        <f ca="1">D59</f>
        <v>883</v>
      </c>
      <c r="N55" s="2040" t="str">
        <f>E59</f>
        <v>差额计税</v>
      </c>
      <c r="O55" s="2529">
        <f>F59</f>
        <v>0.01</v>
      </c>
    </row>
    <row r="56" spans="1:35" ht="24.75">
      <c r="A56" s="3584" t="s">
        <v>1363</v>
      </c>
      <c r="B56" s="3585"/>
      <c r="C56" s="3585"/>
      <c r="D56" s="2324">
        <f ca="1">IF(H56="个人住宅",D57,D58)</f>
        <v>52492</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53421</v>
      </c>
      <c r="O57" s="2533"/>
      <c r="P57" s="2690">
        <f ca="1">N57/M49</f>
        <v>0.57602354945493361</v>
      </c>
    </row>
    <row r="58" spans="1:35" ht="24.75">
      <c r="A58" s="2335" t="s">
        <v>1352</v>
      </c>
      <c r="B58" s="3595" t="s">
        <v>1369</v>
      </c>
      <c r="C58" s="3569"/>
      <c r="D58" s="2324">
        <f ca="1">IF(H58="转让取得",C81,C97)</f>
        <v>52492</v>
      </c>
      <c r="E58" s="2334" t="s">
        <v>1364</v>
      </c>
      <c r="F58" s="302" t="s">
        <v>28</v>
      </c>
      <c r="G58" s="2555"/>
      <c r="H58" s="2558"/>
      <c r="I58" s="1808"/>
      <c r="J58" s="3634"/>
      <c r="K58" s="3634"/>
      <c r="L58" s="2530" t="s">
        <v>1370</v>
      </c>
      <c r="M58" s="2534"/>
      <c r="N58" s="2535" t="str">
        <f ca="1">NUMBERSTRING(INT(N57*10000),2)&amp;"元整"</f>
        <v>伍亿叁仟肆佰贰拾壹万元整</v>
      </c>
      <c r="O58" s="2536"/>
    </row>
    <row r="59" spans="1:35" ht="24.75" thickBot="1">
      <c r="A59" s="3637" t="s">
        <v>1371</v>
      </c>
      <c r="B59" s="3638"/>
      <c r="C59" s="3638"/>
      <c r="D59" s="2560">
        <f ca="1">IF(H59="非个人房产","——",IF(H59="个人住宅（满五唯一有凭证）",0,IF(H59="个人其他（无凭证）",ROUND(D45*F59,0),ROUND(C67*F59,0))))</f>
        <v>883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f ca="1">M49-N57</f>
        <v>39320</v>
      </c>
      <c r="O59" s="2539"/>
    </row>
    <row r="60" spans="1:35" ht="12" customHeight="1">
      <c r="A60" s="1809"/>
      <c r="B60" s="1747"/>
      <c r="C60" s="1747"/>
      <c r="D60" s="1747"/>
      <c r="E60" s="1578"/>
      <c r="F60" s="1808"/>
      <c r="G60" s="1808"/>
      <c r="H60" s="1810"/>
      <c r="I60" s="129"/>
      <c r="J60" s="3636"/>
      <c r="K60" s="3634"/>
      <c r="L60" s="2530" t="s">
        <v>1370</v>
      </c>
      <c r="M60" s="2534"/>
      <c r="N60" s="2535" t="str">
        <f ca="1">NUMBERSTRING(INT(N59*10000),2)&amp;"元整"</f>
        <v>叁亿玖仟叁佰贰拾万元整</v>
      </c>
      <c r="O60" s="2536"/>
    </row>
    <row r="61" spans="1:35" ht="13.5" thickBot="1">
      <c r="A61" s="3582" t="s">
        <v>1373</v>
      </c>
      <c r="B61" s="3582"/>
      <c r="C61" s="3582"/>
      <c r="D61" s="3582"/>
      <c r="E61" s="3582"/>
      <c r="F61" s="1808"/>
      <c r="G61" s="1808"/>
      <c r="H61" s="1810"/>
      <c r="I61" s="129"/>
      <c r="J61" s="2523">
        <f>J59+1</f>
        <v>7</v>
      </c>
      <c r="K61" s="3634" t="s">
        <v>1374</v>
      </c>
      <c r="L61" s="3634"/>
      <c r="M61" s="2540"/>
      <c r="N61" s="2541">
        <f ca="1">ROUND(N59*10000/'数据-汇总表'!E3,0)</f>
        <v>5358</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f ca="1">ROUND((C64+C65)/(1+'数据-取费表'!C42),0)</f>
        <v>88325</v>
      </c>
      <c r="D63" s="167"/>
      <c r="E63" s="168"/>
      <c r="F63" s="1808"/>
      <c r="G63" s="1808"/>
      <c r="H63" s="1810"/>
      <c r="I63" s="129"/>
      <c r="J63" s="3659" t="s">
        <v>1379</v>
      </c>
      <c r="K63" s="1332" t="s">
        <v>1380</v>
      </c>
      <c r="L63" s="1332">
        <f ca="1">IF(M49&gt;10000,M49*0.5%,IF(AND(M49&gt;1000,M49&lt;=10000),M49*1%,IF(AND(M49&gt;100,M49&lt;=1000),M49*3%,IF(AND(M49&gt;10,M49&lt;=100),M49*5%,M49*8%))))</f>
        <v>463.70499999999998</v>
      </c>
      <c r="M63" s="302">
        <f ca="1">ROUND(L63,1)</f>
        <v>463.7</v>
      </c>
      <c r="N63" s="2543"/>
      <c r="Z63" s="1752"/>
      <c r="AI63" s="1753"/>
    </row>
    <row r="64" spans="1:35" ht="14.25" customHeight="1">
      <c r="A64" s="169" t="s">
        <v>325</v>
      </c>
      <c r="B64" s="170" t="s">
        <v>1381</v>
      </c>
      <c r="C64" s="2565">
        <f ca="1">D45</f>
        <v>92741</v>
      </c>
      <c r="D64" s="170" t="s">
        <v>26</v>
      </c>
      <c r="E64" s="172"/>
      <c r="F64" s="1808"/>
      <c r="G64" s="1808"/>
      <c r="H64" s="1810"/>
      <c r="I64" s="129"/>
      <c r="J64" s="3659"/>
      <c r="K64" s="1332" t="s">
        <v>1382</v>
      </c>
      <c r="L64" s="1332">
        <f ca="1">IF(M49&gt;2000,M49*0.5%,IF(AND(M49&gt;1000,M49&lt;=2000),M49*0.6%,IF(AND(M49&gt;500,M49&lt;=1000),M49*0.7%,IF(AND(M49&gt;200,M49&lt;=500),M49*0.8%,IF(AND(M49&gt;100,M49&lt;=200),M49*0.9%,IF(AND(M49&gt;50,M49&lt;=100),M49*1%,IF(AND(M49&gt;20,M49&lt;=50),M49*1.5%,IF(AND(M49&gt;10,M49&lt;=20),M49*2%,IF(AND(M49&gt;1,M49&lt;=10),M49*2.5%)))))))))</f>
        <v>463.70499999999998</v>
      </c>
      <c r="M64" s="302">
        <f t="shared" ref="M64:M65" ca="1" si="1">ROUND(L64,1)</f>
        <v>463.7</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f ca="1">IF(M49&gt;1000,M49*0.1%,IF(AND(M49&gt;500,M49&lt;=1000),M49*0.5%,IF(AND(M49&gt;50,M49&lt;=500),M49*1%,IF(AND(M49&gt;1,M49&lt;=50),M49*1.5%))))</f>
        <v>92.741</v>
      </c>
      <c r="M65" s="302">
        <f t="shared" ca="1" si="1"/>
        <v>92.7</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f ca="1">M49*0.5%</f>
        <v>463.70499999999998</v>
      </c>
      <c r="M66" s="302">
        <f ca="1">IF(L66&gt;0.5,0.5,ROUND(L66,0))</f>
        <v>0.5</v>
      </c>
      <c r="N66" s="2544" t="s">
        <v>1388</v>
      </c>
      <c r="Z66" s="1752"/>
      <c r="AI66" s="1753"/>
    </row>
    <row r="67" spans="1:35" ht="14.25" customHeight="1">
      <c r="A67" s="173" t="s">
        <v>328</v>
      </c>
      <c r="B67" s="174" t="s">
        <v>1389</v>
      </c>
      <c r="C67" s="2568">
        <f ca="1">C63-C66</f>
        <v>88325</v>
      </c>
      <c r="D67" s="170" t="s">
        <v>26</v>
      </c>
      <c r="E67" s="172"/>
      <c r="F67" s="1808"/>
      <c r="G67" s="1808"/>
      <c r="H67" s="1810"/>
      <c r="I67" s="129"/>
      <c r="J67" s="3659"/>
      <c r="K67" s="1332" t="s">
        <v>1390</v>
      </c>
      <c r="L67" s="1332">
        <f ca="1">IF(M49&gt;=10000,(8.25+(M49-10000)*0.01%),IF(AND(M49&gt;=8000,M49&lt;10000),(7.85+(M49-8000)*0.02%),IF(AND(M49&gt;=5000,M49&lt;8000),(6.65+(M49-5000)*0.04%),IF(AND(M49&gt;=2000,M49&lt;5000),(4.25+(PM49-2000)*0.08%),IF(AND(M49&gt;=1000,M49&lt;2000),(2.75+(M49-1000)*0.15%),IF(AND(M49&gt;=100,M49&lt;1000),(0.5+(M49-100)*0.25%),IF(AND(M49&gt;0,M49&lt;100),M49*0.5%)))))))</f>
        <v>16.524100000000001</v>
      </c>
      <c r="M67" s="302">
        <f ca="1">ROUND(L67*0.9,1)</f>
        <v>14.9</v>
      </c>
      <c r="N67" s="2543"/>
      <c r="Z67" s="1752"/>
      <c r="AI67" s="1753"/>
    </row>
    <row r="68" spans="1:35" ht="14.25" customHeight="1" thickBot="1">
      <c r="A68" s="176" t="s">
        <v>329</v>
      </c>
      <c r="B68" s="177" t="s">
        <v>1391</v>
      </c>
      <c r="C68" s="2569">
        <f ca="1">IF(C67&lt;=0,0,ROUND(C67*D68,0))</f>
        <v>4946</v>
      </c>
      <c r="D68" s="2570">
        <f>'数据-取费表'!B41</f>
        <v>5.6000000000000001E-2</v>
      </c>
      <c r="E68" s="178"/>
      <c r="F68" s="1808"/>
      <c r="G68" s="1808"/>
      <c r="H68" s="1810"/>
      <c r="I68" s="129"/>
      <c r="J68" s="3659"/>
      <c r="K68" s="1332" t="s">
        <v>1392</v>
      </c>
      <c r="L68" s="1332">
        <f ca="1">IF(M49&gt;10000,M49*0.5%,IF(AND(M49&gt;5000,M49&lt;=10000),M49*1%,IF(AND(M49&gt;1000,M49&lt;=5000),M49*2%,IF(AND(M49&gt;200,M49&lt;=1000),M49*3%,M49*5%))))</f>
        <v>463.70499999999998</v>
      </c>
      <c r="M68" s="302">
        <f ca="1">ROUND(L68,1)</f>
        <v>463.7</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f ca="1">ROUND(SUM(M63:M68),0)</f>
        <v>1499</v>
      </c>
      <c r="N69" s="2545">
        <f ca="1">M69/M49</f>
        <v>1.6163293473221121E-2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88325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530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530</v>
      </c>
      <c r="D78" s="2577">
        <f>'数据-取费表'!B43</f>
        <v>6.000000000000001E-3</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87795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165.65094339622641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52492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88325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530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530</v>
      </c>
      <c r="D93" s="2577">
        <f>'数据-取费表'!B43</f>
        <v>6.000000000000001E-3</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87795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165.65094339622641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52492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t="str">
        <f>C4</f>
        <v>比较法-办公</v>
      </c>
      <c r="D101" s="2586" t="str">
        <f>D4</f>
        <v>收益法</v>
      </c>
      <c r="E101" s="3656" t="s">
        <v>1431</v>
      </c>
      <c r="F101" s="3613"/>
      <c r="G101" s="1827" t="s">
        <v>1432</v>
      </c>
      <c r="H101" s="2595">
        <f ca="1">H118</f>
        <v>92741</v>
      </c>
      <c r="I101" s="129"/>
    </row>
    <row r="102" spans="1:35" ht="18.75" customHeight="1">
      <c r="A102" s="3615" t="s">
        <v>1433</v>
      </c>
      <c r="B102" s="2584" t="s">
        <v>1432</v>
      </c>
      <c r="C102" s="2585">
        <f ca="1">IF(D32="楼面单价",ROUND(C19,0),C19)</f>
        <v>99340</v>
      </c>
      <c r="D102" s="2586">
        <f ca="1">IF(D32="楼面单价",ROUND(D19,0),D19)</f>
        <v>82848</v>
      </c>
      <c r="E102" s="3656"/>
      <c r="F102" s="3613"/>
      <c r="G102" s="1827" t="s">
        <v>1434</v>
      </c>
      <c r="H102" s="2555">
        <f ca="1">I118</f>
        <v>13070</v>
      </c>
      <c r="I102" s="129"/>
    </row>
    <row r="103" spans="1:35" ht="42.75" customHeight="1">
      <c r="A103" s="3615"/>
      <c r="B103" s="2584" t="s">
        <v>1434</v>
      </c>
      <c r="C103" s="2587">
        <f ca="1">C20</f>
        <v>14000</v>
      </c>
      <c r="D103" s="2588">
        <f ca="1">D20</f>
        <v>11676</v>
      </c>
      <c r="E103" s="3650" t="s">
        <v>1435</v>
      </c>
      <c r="F103" s="3651"/>
      <c r="G103" s="1828" t="s">
        <v>1436</v>
      </c>
      <c r="H103" s="2595">
        <f>IF(D36="正常操作",H104+H105+H106,H105+H106)</f>
        <v>0</v>
      </c>
      <c r="I103" s="129"/>
    </row>
    <row r="104" spans="1:35" ht="18.75" customHeight="1">
      <c r="A104" s="3615" t="s">
        <v>1437</v>
      </c>
      <c r="B104" s="2589" t="s">
        <v>1432</v>
      </c>
      <c r="C104" s="2590">
        <f ca="1">H118</f>
        <v>92741</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f ca="1">I118</f>
        <v>13070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f ca="1">IF(E107="——","——",H101-H103)</f>
        <v>92741</v>
      </c>
      <c r="I107" s="129"/>
    </row>
    <row r="108" spans="1:35" ht="18.75" customHeight="1">
      <c r="A108" s="129"/>
      <c r="B108" s="129"/>
      <c r="C108" s="129"/>
      <c r="D108" s="129"/>
      <c r="E108" s="3612"/>
      <c r="F108" s="3613"/>
      <c r="G108" s="1827" t="s">
        <v>1434</v>
      </c>
      <c r="H108" s="2555">
        <f ca="1">IF(H107=H101,H102,ROUND(H107*10000/'数据-汇总表'!E3,0))</f>
        <v>13070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70957.069999999992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92741</v>
      </c>
      <c r="I118" s="2329">
        <f ca="1">ROUND(IF(D32="楼面单价",C32,H118*10000/B118),0)</f>
        <v>13070</v>
      </c>
    </row>
    <row r="119" spans="1:27" ht="18.75" customHeight="1">
      <c r="A119" s="3583" t="s">
        <v>1452</v>
      </c>
      <c r="B119" s="3583"/>
      <c r="C119" s="3583"/>
      <c r="D119" s="3623" t="e">
        <f ca="1">NUMBERSTRING(INT(D118*10000),2)&amp;"元整"</f>
        <v>#REF!</v>
      </c>
      <c r="E119" s="3625"/>
      <c r="F119" s="3623" t="e">
        <f ca="1">NUMBERSTRING(INT(F118*10000),2)&amp;"元整"</f>
        <v>#REF!</v>
      </c>
      <c r="G119" s="3625"/>
      <c r="H119" s="3623" t="str">
        <f ca="1">NUMBERSTRING(INT(H118*10000),2)&amp;"元整"</f>
        <v>玖亿贰仟柒佰肆拾壹万元整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f ca="1">H107</f>
        <v>92741</v>
      </c>
      <c r="E122" s="3648"/>
      <c r="F122" s="3648"/>
      <c r="G122" s="3648"/>
      <c r="H122" s="3648"/>
      <c r="I122" s="3649"/>
      <c r="AA122" s="725"/>
    </row>
    <row r="123" spans="1:27" ht="18.75" customHeight="1">
      <c r="A123" s="3583" t="s">
        <v>1452</v>
      </c>
      <c r="B123" s="3583"/>
      <c r="C123" s="3583"/>
      <c r="D123" s="3623" t="str">
        <f ca="1">NUMBERSTRING(INT(D122*10000),2)&amp;"元整"</f>
        <v>玖亿贰仟柒佰肆拾壹万元整</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E49" sqref="E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3583</v>
      </c>
      <c r="F1" s="1879" t="s">
        <v>3584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99340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14000</v>
      </c>
      <c r="C3" s="354" t="s">
        <v>1768</v>
      </c>
      <c r="D3" s="353">
        <f>IF(D1="",'数据-汇总表'!E3,SUMIF('数据-汇总表'!$C19:$C33,D1,'数据-汇总表'!$E19:$E33))</f>
        <v>70957.069999999992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958"/>
      <c r="Y4" s="3691" t="s">
        <v>1775</v>
      </c>
      <c r="Z4" s="3692"/>
      <c r="AA4" s="3709" t="s">
        <v>1771</v>
      </c>
      <c r="AB4" s="3709" t="s">
        <v>1772</v>
      </c>
      <c r="AC4" s="3678" t="s">
        <v>1773</v>
      </c>
    </row>
    <row r="5" spans="1:29" ht="15">
      <c r="A5" s="358"/>
      <c r="B5" s="359"/>
      <c r="C5" s="3701" t="s">
        <v>1673</v>
      </c>
      <c r="D5" s="3702"/>
      <c r="E5" s="3712" t="s">
        <v>1674</v>
      </c>
      <c r="F5" s="3713"/>
      <c r="G5" s="3701" t="s">
        <v>1675</v>
      </c>
      <c r="H5" s="3702"/>
      <c r="I5" s="3701" t="s">
        <v>1676</v>
      </c>
      <c r="J5" s="3702"/>
      <c r="K5" s="559"/>
      <c r="L5" s="2715"/>
      <c r="M5" s="2716"/>
      <c r="N5" s="2716"/>
      <c r="O5" s="2716"/>
      <c r="P5" s="3687"/>
      <c r="Q5" s="3688"/>
      <c r="R5" s="3693"/>
      <c r="S5" s="3694"/>
      <c r="T5" s="3693"/>
      <c r="U5" s="3694"/>
      <c r="V5" s="3698"/>
      <c r="W5" s="3698"/>
      <c r="X5" s="1355"/>
      <c r="Y5" s="3693"/>
      <c r="Z5" s="3694"/>
      <c r="AA5" s="3710"/>
      <c r="AB5" s="3710"/>
      <c r="AC5" s="3679"/>
    </row>
    <row r="6" spans="1:29" ht="15.75" thickBot="1">
      <c r="A6" s="360"/>
      <c r="B6" s="361"/>
      <c r="C6" s="3699" t="s">
        <v>1677</v>
      </c>
      <c r="D6" s="3700"/>
      <c r="E6" s="3707" t="s">
        <v>1677</v>
      </c>
      <c r="F6" s="3708"/>
      <c r="G6" s="3699" t="s">
        <v>1677</v>
      </c>
      <c r="H6" s="3700"/>
      <c r="I6" s="3699" t="s">
        <v>1677</v>
      </c>
      <c r="J6" s="3700"/>
      <c r="K6" s="559" t="s">
        <v>1678</v>
      </c>
      <c r="L6" s="2715"/>
      <c r="M6" s="2716"/>
      <c r="N6" s="2716"/>
      <c r="O6" s="2716"/>
      <c r="P6" s="3689"/>
      <c r="Q6" s="3690"/>
      <c r="R6" s="3693"/>
      <c r="S6" s="3694"/>
      <c r="T6" s="3695"/>
      <c r="U6" s="3696"/>
      <c r="V6" s="3698"/>
      <c r="W6" s="3698"/>
      <c r="X6" s="1355"/>
      <c r="Y6" s="3695"/>
      <c r="Z6" s="3696"/>
      <c r="AA6" s="3711"/>
      <c r="AB6" s="3711"/>
      <c r="AC6" s="3680"/>
    </row>
    <row r="7" spans="1:29" s="108" customFormat="1" ht="15.75" thickBot="1">
      <c r="A7" s="362" t="s">
        <v>1679</v>
      </c>
      <c r="B7" s="363"/>
      <c r="C7" s="364">
        <f>'数据-取费表'!B2</f>
        <v>45372</v>
      </c>
      <c r="D7" s="365">
        <v>100</v>
      </c>
      <c r="E7" s="366">
        <f>C7</f>
        <v>45372</v>
      </c>
      <c r="F7" s="367">
        <f>SUMIF(59:59,YEAR(E7)&amp;"-"&amp;MONTH(E7),60:60)</f>
        <v>100</v>
      </c>
      <c r="G7" s="366">
        <f>C7</f>
        <v>45372</v>
      </c>
      <c r="H7" s="365">
        <f>SUMIF(59:59,YEAR(G7)&amp;"-"&amp;MONTH(G7),60:60)</f>
        <v>100</v>
      </c>
      <c r="I7" s="366">
        <f>C7</f>
        <v>45372</v>
      </c>
      <c r="J7" s="365">
        <f>SUMIF(59:59,YEAR(I7)&amp;"-"&amp;MONTH(I7),60:60)</f>
        <v>100</v>
      </c>
      <c r="K7" s="560"/>
      <c r="L7" s="2717"/>
      <c r="M7" s="2718"/>
      <c r="N7" s="2718"/>
      <c r="O7" s="2718"/>
      <c r="P7" s="3703" t="s">
        <v>1680</v>
      </c>
      <c r="Q7" s="3706"/>
      <c r="R7" s="701" t="s">
        <v>14</v>
      </c>
      <c r="S7" s="702">
        <f t="shared" ref="S7:S15" si="0">F7</f>
        <v>100</v>
      </c>
      <c r="T7" s="701" t="s">
        <v>14</v>
      </c>
      <c r="U7" s="702">
        <f t="shared" ref="U7:U15" si="1">H7</f>
        <v>100</v>
      </c>
      <c r="V7" s="701" t="s">
        <v>14</v>
      </c>
      <c r="W7" s="702">
        <f t="shared" ref="W7:W15" si="2">J7</f>
        <v>100</v>
      </c>
      <c r="X7" s="703"/>
      <c r="Y7" s="3705" t="s">
        <v>1680</v>
      </c>
      <c r="Z7" s="3704"/>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03" t="s">
        <v>1683</v>
      </c>
      <c r="Q8" s="3704"/>
      <c r="R8" s="701" t="s">
        <v>14</v>
      </c>
      <c r="S8" s="702">
        <f t="shared" si="0"/>
        <v>100</v>
      </c>
      <c r="T8" s="701" t="s">
        <v>14</v>
      </c>
      <c r="U8" s="702">
        <f t="shared" si="1"/>
        <v>100</v>
      </c>
      <c r="V8" s="701" t="s">
        <v>14</v>
      </c>
      <c r="W8" s="702">
        <f t="shared" si="2"/>
        <v>100</v>
      </c>
      <c r="X8" s="703"/>
      <c r="Y8" s="3705" t="s">
        <v>1683</v>
      </c>
      <c r="Z8" s="370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3"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3"/>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3"/>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3"/>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3"/>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3"/>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9"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0"/>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0"/>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0"/>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0"/>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0"/>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0"/>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0"/>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0"/>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0"/>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0"/>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0"/>
      <c r="Q26" s="1352"/>
      <c r="R26" s="705"/>
      <c r="S26" s="706"/>
      <c r="T26" s="705"/>
      <c r="U26" s="706"/>
      <c r="V26" s="705"/>
      <c r="W26" s="706"/>
      <c r="X26" s="1355"/>
      <c r="Y26" s="36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0"/>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0"/>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0"/>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0"/>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0"/>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0"/>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74"/>
      <c r="Q34" s="707" t="str">
        <f t="shared" si="11"/>
        <v>项目建筑规模</v>
      </c>
      <c r="R34" s="708" t="s">
        <v>14</v>
      </c>
      <c r="S34" s="709">
        <f t="shared" si="12"/>
        <v>100</v>
      </c>
      <c r="T34" s="708" t="s">
        <v>14</v>
      </c>
      <c r="U34" s="709">
        <f t="shared" si="13"/>
        <v>100</v>
      </c>
      <c r="V34" s="708" t="s">
        <v>14</v>
      </c>
      <c r="W34" s="709">
        <f t="shared" si="14"/>
        <v>100</v>
      </c>
      <c r="X34" s="710"/>
      <c r="Y34" s="3676"/>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f>'数据-取费表'!N7</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c r="L37" s="2722"/>
      <c r="M37" s="2716"/>
      <c r="N37" s="2716"/>
      <c r="O37" s="2716"/>
      <c r="P37" s="3674"/>
      <c r="Q37" s="1352" t="str">
        <f t="shared" si="11"/>
        <v>成新度</v>
      </c>
      <c r="R37" s="705" t="s">
        <v>14</v>
      </c>
      <c r="S37" s="706">
        <f t="shared" si="12"/>
        <v>100</v>
      </c>
      <c r="T37" s="705" t="s">
        <v>14</v>
      </c>
      <c r="U37" s="706">
        <f t="shared" si="13"/>
        <v>100</v>
      </c>
      <c r="V37" s="705" t="s">
        <v>14</v>
      </c>
      <c r="W37" s="706">
        <f t="shared" si="14"/>
        <v>100</v>
      </c>
      <c r="X37" s="1355"/>
      <c r="Y37" s="367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v>14000</v>
      </c>
      <c r="F48" s="1157"/>
      <c r="G48" s="1158">
        <f>E48</f>
        <v>14000</v>
      </c>
      <c r="H48" s="1159"/>
      <c r="I48" s="1156">
        <f>E48</f>
        <v>14000</v>
      </c>
      <c r="J48" s="436"/>
      <c r="K48" s="714"/>
      <c r="L48" s="2724"/>
      <c r="M48" s="2716"/>
      <c r="N48" s="2716"/>
      <c r="O48" s="2716"/>
      <c r="P48" s="3663" t="str">
        <f>A48</f>
        <v>成交单价（元/平方米）</v>
      </c>
      <c r="Q48" s="3664"/>
      <c r="R48" s="3665">
        <f>E48</f>
        <v>14000</v>
      </c>
      <c r="S48" s="3665"/>
      <c r="T48" s="3665">
        <f>G48</f>
        <v>14000</v>
      </c>
      <c r="U48" s="3665"/>
      <c r="V48" s="3665">
        <f>I48</f>
        <v>14000</v>
      </c>
      <c r="W48" s="3665"/>
      <c r="X48" s="397"/>
      <c r="Y48" s="712"/>
      <c r="Z48" s="397"/>
      <c r="AA48" s="397"/>
      <c r="AB48" s="397"/>
      <c r="AC48" s="578"/>
    </row>
    <row r="49" spans="1:29" ht="15.75" thickBot="1">
      <c r="A49" s="437" t="s">
        <v>1793</v>
      </c>
      <c r="B49" s="438"/>
      <c r="C49" s="1160">
        <f>R50</f>
        <v>14000</v>
      </c>
      <c r="D49" s="2317" t="s">
        <v>2138</v>
      </c>
      <c r="E49" s="1161">
        <f>R49</f>
        <v>14000</v>
      </c>
      <c r="F49" s="2318"/>
      <c r="G49" s="1160">
        <f>T49</f>
        <v>14000</v>
      </c>
      <c r="H49" s="2318"/>
      <c r="I49" s="1161">
        <f>V49</f>
        <v>14000</v>
      </c>
      <c r="J49" s="2318"/>
      <c r="K49" s="2320">
        <f>F49+H49+J49</f>
        <v>0</v>
      </c>
      <c r="L49" s="2724"/>
      <c r="M49" s="2716"/>
      <c r="N49" s="2716"/>
      <c r="O49" s="2716"/>
      <c r="P49" s="3663" t="str">
        <f>A49</f>
        <v>比较价值（元/平方米）</v>
      </c>
      <c r="Q49" s="3664"/>
      <c r="R49" s="3665">
        <f>IF(F1="售价",ROUND(PRODUCT(R48,AA7:AA47),0),ROUND(PRODUCT(R48,AA7:AA47),1))</f>
        <v>14000</v>
      </c>
      <c r="S49" s="3665"/>
      <c r="T49" s="3665">
        <f>IF(F1="售价",ROUND(PRODUCT(T48,AB7:AB47),0),ROUND(PRODUCT(T48,AB7:AB47),1))</f>
        <v>14000</v>
      </c>
      <c r="U49" s="3665"/>
      <c r="V49" s="3665">
        <f>IF(F1="售价",ROUND(PRODUCT(V48,AC7:AC47),0),ROUND(PRODUCT(V48,AC7:AC47),1))</f>
        <v>14000</v>
      </c>
      <c r="W49" s="3665"/>
      <c r="X49" s="397"/>
      <c r="Y49" s="397"/>
      <c r="Z49" s="397"/>
      <c r="AA49" s="397"/>
      <c r="AB49" s="397"/>
      <c r="AC49" s="578"/>
    </row>
    <row r="50" spans="1:29" ht="15.75" thickBot="1">
      <c r="A50" s="441" t="s">
        <v>1794</v>
      </c>
      <c r="B50" s="442"/>
      <c r="C50" s="1163">
        <f>R50</f>
        <v>14000</v>
      </c>
      <c r="D50" s="1163"/>
      <c r="E50" s="1163"/>
      <c r="F50" s="1163"/>
      <c r="G50" s="1163"/>
      <c r="H50" s="1163"/>
      <c r="I50" s="1163"/>
      <c r="J50" s="443"/>
      <c r="K50" s="715"/>
      <c r="L50" s="2724"/>
      <c r="M50" s="2716"/>
      <c r="N50" s="2716"/>
      <c r="O50" s="2716"/>
      <c r="P50" s="3666" t="str">
        <f>A50</f>
        <v>估价对象XX用房的比较价值（楼面单价，元/平方米）</v>
      </c>
      <c r="Q50" s="3667"/>
      <c r="R50" s="3668">
        <f>IF(F1="售价",ROUND(IF(D49="简单平均",AVERAGE(R49:V49),R49*F49+T49*H49+V49*J49),0),ROUND(IF(D49="简单平均",AVERAGE(R49:V49),R49*F49+T49*H49+V49*J49),1))</f>
        <v>14000</v>
      </c>
      <c r="S50" s="3668"/>
      <c r="T50" s="3668"/>
      <c r="U50" s="3668"/>
      <c r="V50" s="3668"/>
      <c r="W50" s="366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24" sqref="E2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23.53</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82848</v>
      </c>
      <c r="C2" s="1387" t="s">
        <v>805</v>
      </c>
      <c r="D2" s="1387"/>
      <c r="E2" s="1388"/>
      <c r="F2" s="1389"/>
      <c r="G2" s="2706"/>
      <c r="H2" s="2695"/>
      <c r="I2" s="2695"/>
      <c r="J2" s="2695"/>
      <c r="K2" s="2696"/>
      <c r="L2" s="2695"/>
      <c r="M2" s="2695"/>
    </row>
    <row r="3" spans="1:37" ht="18" customHeight="1" thickBot="1">
      <c r="A3" s="1390" t="s">
        <v>806</v>
      </c>
      <c r="B3" s="1391">
        <f ca="1">IF(ISERROR(B2*10000/F43),0,ROUND(B2*10000/F43,0))</f>
        <v>11676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6139</v>
      </c>
      <c r="D5" s="1364" t="s">
        <v>693</v>
      </c>
      <c r="E5" s="1071"/>
      <c r="F5" s="1072"/>
      <c r="G5" s="1384"/>
      <c r="H5" s="299">
        <v>1</v>
      </c>
      <c r="I5" s="300" t="s">
        <v>692</v>
      </c>
      <c r="J5" s="1070">
        <f ca="1">J6+J10+J12</f>
        <v>0</v>
      </c>
      <c r="K5" s="1364" t="s">
        <v>693</v>
      </c>
      <c r="L5" s="1071"/>
      <c r="M5" s="1072"/>
    </row>
    <row r="6" spans="1:37" ht="18" customHeight="1">
      <c r="A6" s="1069" t="s">
        <v>398</v>
      </c>
      <c r="B6" s="3716" t="s">
        <v>694</v>
      </c>
      <c r="C6" s="1074">
        <f ca="1">ROUND(F6*F8*F7*(1-F9)/10000,0)</f>
        <v>6131</v>
      </c>
      <c r="D6" s="155" t="s">
        <v>2109</v>
      </c>
      <c r="E6" s="302" t="s">
        <v>696</v>
      </c>
      <c r="F6" s="303">
        <f ca="1">INDIRECT("'数据-取费表'!u"&amp;$G$1)</f>
        <v>80</v>
      </c>
      <c r="G6" s="1384"/>
      <c r="H6" s="1069" t="s">
        <v>398</v>
      </c>
      <c r="I6" s="3716" t="s">
        <v>694</v>
      </c>
      <c r="J6" s="301">
        <f ca="1">ROUND(M6*M8*M7*(1-M9)/10000,0)</f>
        <v>0</v>
      </c>
      <c r="K6" s="155" t="s">
        <v>2108</v>
      </c>
      <c r="L6" s="302" t="s">
        <v>696</v>
      </c>
      <c r="M6" s="303">
        <f ca="1">INDIRECT("'数据-取费表'!z"&amp;$G$1)</f>
        <v>0</v>
      </c>
    </row>
    <row r="7" spans="1:37" ht="18" customHeight="1">
      <c r="A7" s="1073"/>
      <c r="B7" s="3717"/>
      <c r="C7" s="1075"/>
      <c r="D7" s="307"/>
      <c r="E7" s="1076" t="s">
        <v>697</v>
      </c>
      <c r="F7" s="303">
        <f ca="1">IF(INDIRECT("'数据-取费表'!ah"&amp;$G$1)="",INDIRECT("'数据-取费表'!k"&amp;$G$1),INDIRECT("'数据-取费表'!ah"&amp;$G$1))</f>
        <v>70957.069999999992</v>
      </c>
      <c r="G7" s="1384"/>
      <c r="H7" s="304"/>
      <c r="I7" s="3717"/>
      <c r="J7" s="306"/>
      <c r="K7" s="307"/>
      <c r="L7" s="302" t="s">
        <v>697</v>
      </c>
      <c r="M7" s="303">
        <f ca="1">F7</f>
        <v>70957.069999999992</v>
      </c>
    </row>
    <row r="8" spans="1:37" ht="18" customHeight="1">
      <c r="A8" s="304"/>
      <c r="B8" s="3717"/>
      <c r="C8" s="306"/>
      <c r="D8" s="307"/>
      <c r="E8" s="302" t="s">
        <v>698</v>
      </c>
      <c r="F8" s="303">
        <f ca="1">INDIRECT("'数据-取费表'!ai"&amp;$G$1)</f>
        <v>12</v>
      </c>
      <c r="G8" s="1384"/>
      <c r="H8" s="304"/>
      <c r="I8" s="3717"/>
      <c r="J8" s="306"/>
      <c r="K8" s="307"/>
      <c r="L8" s="302" t="s">
        <v>698</v>
      </c>
      <c r="M8" s="303">
        <f ca="1">INDIRECT("'数据-取费表'!ai"&amp;$G$1)</f>
        <v>12</v>
      </c>
    </row>
    <row r="9" spans="1:37" ht="18" customHeight="1">
      <c r="A9" s="304"/>
      <c r="B9" s="3718"/>
      <c r="C9" s="306"/>
      <c r="D9" s="307"/>
      <c r="E9" s="302" t="s">
        <v>699</v>
      </c>
      <c r="F9" s="312">
        <f ca="1">INDIRECT("'数据-取费表'!w"&amp;$G$1)</f>
        <v>0.1</v>
      </c>
      <c r="G9" s="1384"/>
      <c r="H9" s="304"/>
      <c r="I9" s="3718"/>
      <c r="J9" s="306"/>
      <c r="K9" s="307"/>
      <c r="L9" s="313" t="s">
        <v>699</v>
      </c>
      <c r="M9" s="314">
        <f ca="1">INDIRECT("'数据-取费表'!ab"&amp;$G$1)</f>
        <v>0</v>
      </c>
    </row>
    <row r="10" spans="1:37" ht="18" customHeight="1">
      <c r="A10" s="1069" t="s">
        <v>402</v>
      </c>
      <c r="B10" s="1365" t="s">
        <v>700</v>
      </c>
      <c r="C10" s="316">
        <f ca="1">ROUND(IF(F10="押一",C6/12*F11,IF(F10="押二",C6/12*2*F11,IF(F10="押三",C6/12*3*F11,C11*F11))),0)</f>
        <v>8</v>
      </c>
      <c r="D10" s="1366" t="s">
        <v>2117</v>
      </c>
      <c r="E10" s="313" t="s">
        <v>701</v>
      </c>
      <c r="F10" s="1116" t="s">
        <v>3578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53251</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42574</v>
      </c>
      <c r="D14" s="1345" t="s">
        <v>708</v>
      </c>
      <c r="E14" s="1342"/>
      <c r="F14" s="319"/>
      <c r="G14" s="1384"/>
      <c r="H14" s="982" t="s">
        <v>398</v>
      </c>
      <c r="I14" s="302" t="s">
        <v>709</v>
      </c>
      <c r="J14" s="21">
        <f ca="1">C29</f>
        <v>61208</v>
      </c>
      <c r="K14" s="12"/>
      <c r="L14" s="807"/>
      <c r="M14" s="808"/>
    </row>
    <row r="15" spans="1:37" s="1397" customFormat="1" ht="18" customHeight="1" thickBot="1">
      <c r="A15" s="982" t="s">
        <v>399</v>
      </c>
      <c r="B15" s="302" t="s">
        <v>710</v>
      </c>
      <c r="C15" s="21">
        <f ca="1">ROUND(C14*F15,0)</f>
        <v>2129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306</v>
      </c>
      <c r="K16" s="1087" t="s">
        <v>715</v>
      </c>
      <c r="L16" s="1088"/>
      <c r="M16" s="1072"/>
    </row>
    <row r="17" spans="1:37" s="1397" customFormat="1" ht="18" customHeight="1">
      <c r="A17" s="982" t="s">
        <v>681</v>
      </c>
      <c r="B17" s="302" t="s">
        <v>716</v>
      </c>
      <c r="C17" s="21">
        <f ca="1">ROUND(F17*(F43+INDIRECT("'数据-取费表'!S"&amp;$G$1))/10000,0)</f>
        <v>1419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639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46761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935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306.04000000000002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1645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-306</v>
      </c>
      <c r="K25" s="1095" t="s">
        <v>753</v>
      </c>
      <c r="L25" s="1096"/>
      <c r="M25" s="1097"/>
    </row>
    <row r="26" spans="1:37">
      <c r="A26" s="982" t="s">
        <v>397</v>
      </c>
      <c r="B26" s="302" t="s">
        <v>754</v>
      </c>
      <c r="C26" s="21">
        <f ca="1">ROUND((C19+C20)*F26,0)</f>
        <v>7154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61208</v>
      </c>
      <c r="D29" s="1092"/>
      <c r="E29" s="1090"/>
      <c r="F29" s="1093"/>
      <c r="G29" s="1396"/>
      <c r="H29" s="334" t="s">
        <v>396</v>
      </c>
      <c r="I29" s="335" t="s">
        <v>768</v>
      </c>
      <c r="J29" s="336">
        <f ca="1">ROUND(J26/(1+F40)^F41,0)</f>
        <v>0</v>
      </c>
      <c r="K29" s="337" t="s">
        <v>769</v>
      </c>
      <c r="L29" s="338"/>
      <c r="M29" s="339">
        <f ca="1">INDIRECT("'数据-取费表'!k"&amp;$G$1)</f>
        <v>70957.069999999992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1027.68</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326.99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700.69</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306.04000000000002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53.25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30.7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4721</v>
      </c>
      <c r="D39" s="1095" t="s">
        <v>773</v>
      </c>
      <c r="E39" s="1096"/>
      <c r="F39" s="1097"/>
      <c r="G39" s="1384"/>
      <c r="H39" s="2700">
        <f ca="1">C39/C5</f>
        <v>0.76901775533474503</v>
      </c>
      <c r="I39" s="1398"/>
      <c r="J39" s="1399"/>
      <c r="K39" s="2704"/>
      <c r="L39" s="2700"/>
      <c r="M39" s="2700"/>
    </row>
    <row r="40" spans="1:18" ht="18" customHeight="1">
      <c r="A40" s="299" t="s">
        <v>395</v>
      </c>
      <c r="B40" s="300" t="s">
        <v>774</v>
      </c>
      <c r="C40" s="301">
        <f ca="1">ROUND(C39*(1-((1+F42)/(1+F40))^F41)/(F40-F42),0)</f>
        <v>77546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23.53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10929</v>
      </c>
      <c r="D43" s="337" t="s">
        <v>777</v>
      </c>
      <c r="E43" s="338" t="s">
        <v>778</v>
      </c>
      <c r="F43" s="339">
        <f ca="1">INDIRECT("'数据-取费表'!k"&amp;$G$1)</f>
        <v>70957.069999999992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-82221</v>
      </c>
      <c r="D46" s="1406" t="str">
        <f>C2</f>
        <v>万元</v>
      </c>
      <c r="E46" s="1400"/>
      <c r="F46" s="1400"/>
      <c r="I46" s="1407" t="s">
        <v>810</v>
      </c>
      <c r="J46" s="1408"/>
      <c r="K46" s="1409"/>
      <c r="L46" s="1410">
        <f ca="1">IF(M47="住宅",0,IF(L48&gt;J51,L60,J60))</f>
        <v>5302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3579</v>
      </c>
      <c r="K47" s="1416" t="s">
        <v>816</v>
      </c>
      <c r="L47" s="1417">
        <f ca="1">INDIRECT("'数据-取费表'!d"&amp;$G$1)</f>
        <v>40</v>
      </c>
      <c r="M47" s="1380" t="str">
        <f>IF(ISNUMBER(FIND("住宅",C1)),"住宅","非住宅")</f>
        <v>非住宅</v>
      </c>
      <c r="O47" s="1418" t="s">
        <v>403</v>
      </c>
      <c r="P47" s="1419" t="s">
        <v>817</v>
      </c>
      <c r="Q47" s="1420">
        <f ca="1">C40+J29</f>
        <v>77546</v>
      </c>
      <c r="R47" s="1420" t="s">
        <v>818</v>
      </c>
    </row>
    <row r="48" spans="1:18" s="1384" customFormat="1" ht="28.5" thickBot="1">
      <c r="A48" s="1110" t="s">
        <v>438</v>
      </c>
      <c r="B48" s="300" t="s">
        <v>692</v>
      </c>
      <c r="C48" s="1359">
        <f ca="1">C49+C53+C55</f>
        <v>0</v>
      </c>
      <c r="D48" s="1112"/>
      <c r="E48" s="1113"/>
      <c r="F48" s="962"/>
      <c r="G48" s="722"/>
      <c r="H48" s="723"/>
      <c r="I48" s="1421" t="s">
        <v>819</v>
      </c>
      <c r="J48" s="1422" t="s">
        <v>3580</v>
      </c>
      <c r="K48" s="1423" t="s">
        <v>820</v>
      </c>
      <c r="L48" s="1424">
        <f ca="1">INDIRECT("'数据-取费表'!f"&amp;$G$1)</f>
        <v>23.53</v>
      </c>
      <c r="O48" s="1418" t="s">
        <v>404</v>
      </c>
      <c r="P48" s="1419" t="s">
        <v>821</v>
      </c>
      <c r="Q48" s="1420">
        <f ca="1">J60</f>
        <v>5302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61208</v>
      </c>
      <c r="R49" s="1420" t="s">
        <v>818</v>
      </c>
    </row>
    <row r="50" spans="1:18" s="1384" customFormat="1" ht="13.5" thickBot="1">
      <c r="A50" s="976"/>
      <c r="B50" s="979"/>
      <c r="C50" s="1118"/>
      <c r="D50" s="953"/>
      <c r="E50" s="1056" t="s">
        <v>697</v>
      </c>
      <c r="F50" s="1057">
        <f ca="1">F7</f>
        <v>70957.069999999992</v>
      </c>
      <c r="H50" s="723"/>
      <c r="I50" s="1421" t="s">
        <v>826</v>
      </c>
      <c r="J50" s="1429">
        <f>SUMPRODUCT((I63:I65=J47)*(J62:L62=J48)*(J63:L65))</f>
        <v>60</v>
      </c>
      <c r="K50" s="1423" t="s">
        <v>827</v>
      </c>
      <c r="L50" s="1427"/>
      <c r="M50" s="1430"/>
      <c r="O50" s="1428" t="s">
        <v>406</v>
      </c>
      <c r="P50" s="1419" t="s">
        <v>828</v>
      </c>
      <c r="Q50" s="1431">
        <f ca="1">J58</f>
        <v>0.47499999999999998</v>
      </c>
      <c r="R50" s="1420"/>
    </row>
    <row r="51" spans="1:18" s="1384" customFormat="1" ht="13.5" thickBot="1">
      <c r="A51" s="977"/>
      <c r="B51" s="979"/>
      <c r="C51" s="980"/>
      <c r="D51" s="953"/>
      <c r="E51" s="981" t="s">
        <v>698</v>
      </c>
      <c r="F51" s="303">
        <f ca="1">F8</f>
        <v>12</v>
      </c>
      <c r="I51" s="1432" t="s">
        <v>829</v>
      </c>
      <c r="J51" s="1433">
        <f>IF(J49="",J50,J49+J50-YEAR('数据-取费表'!B2))</f>
        <v>52</v>
      </c>
      <c r="K51" s="1434" t="s">
        <v>830</v>
      </c>
      <c r="L51" s="1435">
        <f ca="1">ROUND(-PV(INDIRECT("'数据-取费表'!h"&amp;$G$1),J51,(C39-C13*C76),0),0)</f>
        <v>18297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23.53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23.53</v>
      </c>
      <c r="K53" s="3714" t="s">
        <v>837</v>
      </c>
      <c r="L53" s="3715"/>
      <c r="O53" s="1418" t="s">
        <v>409</v>
      </c>
      <c r="P53" s="1419" t="s">
        <v>838</v>
      </c>
      <c r="Q53" s="1420">
        <f ca="1">Q47+Q48</f>
        <v>82848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0.47499999999999998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53251</v>
      </c>
      <c r="D56" s="1447"/>
      <c r="E56" s="1448"/>
      <c r="F56" s="1440"/>
      <c r="I56" s="1449" t="s">
        <v>842</v>
      </c>
      <c r="J56" s="1450" t="s">
        <v>3581</v>
      </c>
      <c r="K56" s="1421" t="s">
        <v>843</v>
      </c>
      <c r="L56" s="1424" t="str">
        <f ca="1">IF(L48&lt;J51,"——",L48-J53)</f>
        <v>——</v>
      </c>
      <c r="O56" s="1418" t="s">
        <v>403</v>
      </c>
      <c r="P56" s="1419" t="s">
        <v>817</v>
      </c>
      <c r="Q56" s="1420">
        <f ca="1">C40+J29</f>
        <v>77546</v>
      </c>
      <c r="R56" s="1420" t="s">
        <v>818</v>
      </c>
    </row>
    <row r="57" spans="1:18" s="1384" customFormat="1" ht="24.75" thickBot="1">
      <c r="A57" s="1451"/>
      <c r="B57" s="950" t="s">
        <v>767</v>
      </c>
      <c r="C57" s="238">
        <f ca="1">C29</f>
        <v>61208</v>
      </c>
      <c r="D57" s="1452"/>
      <c r="E57" s="1453"/>
      <c r="F57" s="1454"/>
      <c r="I57" s="1455" t="s">
        <v>844</v>
      </c>
      <c r="J57" s="1456">
        <f ca="1">IF(OR(M47="住宅",J51&lt;L48,J56="是"),"——",J51-L48)</f>
        <v>28.47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359</v>
      </c>
      <c r="D58" s="960" t="s">
        <v>715</v>
      </c>
      <c r="E58" s="961"/>
      <c r="F58" s="962"/>
      <c r="I58" s="1455" t="s">
        <v>848</v>
      </c>
      <c r="J58" s="1457">
        <f ca="1">IF(J55&lt;0.4,0.4,J55)</f>
        <v>0.47499999999999998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29074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5302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77546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306.04000000000002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53.25</v>
      </c>
      <c r="D65" s="964" t="s">
        <v>743</v>
      </c>
      <c r="E65" s="950" t="s">
        <v>744</v>
      </c>
      <c r="F65" s="330">
        <f t="shared" ca="1" si="0"/>
        <v>1E-3</v>
      </c>
      <c r="I65" s="1462" t="s">
        <v>867</v>
      </c>
      <c r="J65" s="1463">
        <v>40</v>
      </c>
      <c r="K65" s="1463">
        <v>30</v>
      </c>
      <c r="L65" s="1463">
        <v>50</v>
      </c>
      <c r="M65" s="1465">
        <v>0.02</v>
      </c>
      <c r="O65" s="1418" t="s">
        <v>403</v>
      </c>
      <c r="P65" s="1419" t="s">
        <v>868</v>
      </c>
      <c r="Q65" s="1420">
        <f ca="1">C40+J29</f>
        <v>77546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-359</v>
      </c>
      <c r="D67" s="963" t="s">
        <v>753</v>
      </c>
      <c r="E67" s="968"/>
      <c r="F67" s="969"/>
      <c r="O67" s="1428" t="s">
        <v>405</v>
      </c>
      <c r="P67" s="1419" t="s">
        <v>850</v>
      </c>
      <c r="Q67" s="1466">
        <f ca="1">L51</f>
        <v>18297</v>
      </c>
      <c r="R67" s="1420" t="s">
        <v>870</v>
      </c>
    </row>
    <row r="68" spans="1:18" s="1384" customFormat="1" ht="16.5" thickBot="1">
      <c r="A68" s="947" t="s">
        <v>395</v>
      </c>
      <c r="B68" s="948" t="s">
        <v>774</v>
      </c>
      <c r="C68" s="301">
        <f ca="1">ROUND(C67*(1-((1+F70)/(1+F68))^F69)/(F68-F70),0)</f>
        <v>-4675</v>
      </c>
      <c r="D68" s="965" t="s">
        <v>758</v>
      </c>
      <c r="E68" s="950" t="s">
        <v>759</v>
      </c>
      <c r="F68" s="312">
        <f ca="1">F40</f>
        <v>5.5E-2</v>
      </c>
      <c r="O68" s="1428" t="s">
        <v>406</v>
      </c>
      <c r="P68" s="1467" t="s">
        <v>871</v>
      </c>
      <c r="Q68" s="1420">
        <f ca="1">ROUND(Q69-Q70*Q71,0)</f>
        <v>993</v>
      </c>
      <c r="R68" s="1420" t="s">
        <v>414</v>
      </c>
    </row>
    <row r="69" spans="1:18" s="1384" customFormat="1" ht="13.5" thickBot="1">
      <c r="A69" s="951"/>
      <c r="B69" s="952"/>
      <c r="C69" s="306"/>
      <c r="D69" s="970" t="s">
        <v>762</v>
      </c>
      <c r="E69" s="950" t="s">
        <v>763</v>
      </c>
      <c r="F69" s="333">
        <f ca="1">F41</f>
        <v>23.53</v>
      </c>
      <c r="O69" s="1428" t="s">
        <v>411</v>
      </c>
      <c r="P69" s="1467" t="s">
        <v>872</v>
      </c>
      <c r="Q69" s="1420">
        <f ca="1">C39</f>
        <v>4721</v>
      </c>
      <c r="R69" s="1420" t="s">
        <v>818</v>
      </c>
    </row>
    <row r="70" spans="1:18" s="1384" customFormat="1" ht="13.5" thickBot="1">
      <c r="A70" s="954"/>
      <c r="B70" s="955"/>
      <c r="C70" s="310"/>
      <c r="D70" s="966"/>
      <c r="E70" s="950" t="s">
        <v>766</v>
      </c>
      <c r="F70" s="1054"/>
      <c r="O70" s="1428" t="s">
        <v>412</v>
      </c>
      <c r="P70" s="1467" t="s">
        <v>873</v>
      </c>
      <c r="Q70" s="1420">
        <f ca="1">C13</f>
        <v>53251</v>
      </c>
      <c r="R70" s="1420" t="s">
        <v>818</v>
      </c>
    </row>
    <row r="71" spans="1:18" s="1384" customFormat="1" ht="13.5" thickBot="1">
      <c r="A71" s="971" t="s">
        <v>396</v>
      </c>
      <c r="B71" s="972" t="s">
        <v>776</v>
      </c>
      <c r="C71" s="336">
        <f ca="1">ROUND(C68*10000/F71,0)</f>
        <v>-659</v>
      </c>
      <c r="D71" s="973" t="s">
        <v>777</v>
      </c>
      <c r="E71" s="974" t="s">
        <v>778</v>
      </c>
      <c r="F71" s="339">
        <f ca="1">F43</f>
        <v>70957.069999999992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3728</v>
      </c>
      <c r="D75" s="1384"/>
      <c r="E75" s="1384"/>
      <c r="F75" s="1384"/>
      <c r="K75" s="1402"/>
      <c r="L75" s="1384"/>
      <c r="O75" s="1418" t="s">
        <v>409</v>
      </c>
      <c r="P75" s="1419" t="s">
        <v>838</v>
      </c>
      <c r="Q75" s="1420">
        <f ca="1">Q65+Q66</f>
        <v>77546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0.20999999999999996</v>
      </c>
    </row>
    <row r="80" spans="1:18">
      <c r="B80" s="340" t="s">
        <v>800</v>
      </c>
      <c r="C80" s="274">
        <f ca="1">ROUND(C75/C39,3)</f>
        <v>0.79</v>
      </c>
    </row>
    <row r="81" spans="2:3">
      <c r="B81" s="270" t="s">
        <v>801</v>
      </c>
      <c r="C81" s="238"/>
    </row>
    <row r="82" spans="2:3">
      <c r="B82" s="273" t="s">
        <v>802</v>
      </c>
      <c r="C82" s="275">
        <f ca="1">1-C83</f>
        <v>0.31299999999999994</v>
      </c>
    </row>
    <row r="83" spans="2:3">
      <c r="B83" s="273" t="s">
        <v>803</v>
      </c>
      <c r="C83" s="274">
        <f ca="1">ROUND(C13/C40,3)</f>
        <v>0.68700000000000006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57055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7774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440</v>
      </c>
      <c r="D10" s="845">
        <f ca="1">IF(B1="",'数据-汇总表'!E6,IF(INDIRECT("'数据-取费表'!c"&amp;$G$1)="住宅",INDIRECT("'数据-取费表'!s"&amp;$G$1),INDIRECT("'数据-取费表'!k"&amp;$G$1)+INDIRECT("'数据-取费表'!s"&amp;$G$1)))</f>
        <v>73388.159999999989</v>
      </c>
      <c r="E10" s="225">
        <f>'数据-取费表'!B28</f>
        <v>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1468</v>
      </c>
      <c r="D19" s="849">
        <f ca="1">D9+D10</f>
        <v>73388.159999999989</v>
      </c>
      <c r="E19" s="211">
        <f>'数据-取费表'!B31</f>
        <v>200</v>
      </c>
      <c r="F19" s="231"/>
      <c r="G19" s="1856"/>
    </row>
    <row r="20" spans="1:7" s="214" customFormat="1" ht="13.5" customHeight="1">
      <c r="A20" s="255" t="s">
        <v>1493</v>
      </c>
      <c r="B20" s="210" t="s">
        <v>1494</v>
      </c>
      <c r="C20" s="232">
        <f ca="1">ROUND((C5+C19)*F20,0)</f>
        <v>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103</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225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225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1978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48363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44033</v>
      </c>
      <c r="D34" s="217"/>
      <c r="E34" s="220"/>
      <c r="F34" s="257">
        <f ca="1">IF('数据-取费表'!B24=0,1,IF(B1="",'数据-取费表'!N16,INDIRECT("'数据-取费表'!n"&amp;$G$1)))</f>
        <v>1</v>
      </c>
      <c r="G34" s="219" t="s">
        <v>1526</v>
      </c>
    </row>
    <row r="35" spans="1:7" ht="13.5" customHeight="1">
      <c r="A35" s="780" t="s">
        <v>351</v>
      </c>
      <c r="B35" s="215" t="s">
        <v>1527</v>
      </c>
      <c r="C35" s="220">
        <f ca="1">ROUND(C34*F35,0)</f>
        <v>2202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1468</v>
      </c>
      <c r="D37" s="217">
        <f ca="1">D19</f>
        <v>73388.159999999989</v>
      </c>
      <c r="E37" s="249">
        <f>'数据-取费表'!B35</f>
        <v>200</v>
      </c>
      <c r="F37" s="259"/>
      <c r="G37" s="261" t="s">
        <v>1532</v>
      </c>
    </row>
    <row r="38" spans="1:7" ht="13.5" customHeight="1">
      <c r="A38" s="780" t="s">
        <v>354</v>
      </c>
      <c r="B38" s="215" t="s">
        <v>1533</v>
      </c>
      <c r="C38" s="220">
        <f ca="1">ROUND(C34*F38,0)</f>
        <v>660</v>
      </c>
      <c r="D38" s="220"/>
      <c r="E38" s="220"/>
      <c r="F38" s="259">
        <f>'数据-取费表'!B36</f>
        <v>1.4999999999999999E-2</v>
      </c>
      <c r="G38" s="219" t="s">
        <v>1528</v>
      </c>
    </row>
    <row r="39" spans="1:7" s="214" customFormat="1" ht="13.5" customHeight="1">
      <c r="A39" s="255" t="s">
        <v>1534</v>
      </c>
      <c r="B39" s="210" t="s">
        <v>1535</v>
      </c>
      <c r="C39" s="232">
        <f ca="1">ROUND(C33*F20,0)</f>
        <v>967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1702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1669</v>
      </c>
      <c r="D42" s="238"/>
      <c r="E42" s="238"/>
      <c r="F42" s="239"/>
      <c r="G42" s="3719" t="s">
        <v>1544</v>
      </c>
    </row>
    <row r="43" spans="1:7" ht="13.5" customHeight="1">
      <c r="A43" s="780" t="s">
        <v>347</v>
      </c>
      <c r="B43" s="215" t="s">
        <v>1545</v>
      </c>
      <c r="C43" s="238">
        <f ca="1">ROUND(IF('数据-取费表'!B22&lt;=1,C39*F22*'数据-取费表'!B21/2,C39*(POWER((1+F22),'数据-取费表'!B21/2)-1)),0)</f>
        <v>33</v>
      </c>
      <c r="D43" s="238"/>
      <c r="E43" s="238"/>
      <c r="F43" s="239"/>
      <c r="G43" s="3720"/>
    </row>
    <row r="44" spans="1:7" ht="13.5" customHeight="1">
      <c r="A44" s="780" t="s">
        <v>348</v>
      </c>
      <c r="B44" s="215" t="s">
        <v>1546</v>
      </c>
      <c r="C44" s="238">
        <f ca="1">ROUND(IF('数据-取费表'!B22&lt;=1,C40*F22*'数据-取费表'!B21/2,C40*(POWER((1+F22),'数据-取费表'!B21/2)-1)),4)</f>
        <v>6.9999999999999999E-4</v>
      </c>
      <c r="D44" s="238"/>
      <c r="E44" s="238"/>
      <c r="F44" s="239"/>
      <c r="G44" s="3721"/>
    </row>
    <row r="45" spans="1:7" s="214" customFormat="1" ht="13.5" customHeight="1">
      <c r="A45" s="255" t="s">
        <v>1547</v>
      </c>
      <c r="B45" s="244" t="s">
        <v>1513</v>
      </c>
      <c r="C45" s="245">
        <f ca="1">C46</f>
        <v>7400</v>
      </c>
      <c r="D45" s="235">
        <f ca="1">C47</f>
        <v>3.0000000000000001E-3</v>
      </c>
      <c r="E45" s="236" t="s">
        <v>1539</v>
      </c>
      <c r="F45" s="246">
        <f ca="1">F27</f>
        <v>0.15</v>
      </c>
      <c r="G45" s="247" t="s">
        <v>1548</v>
      </c>
    </row>
    <row r="46" spans="1:7" s="214" customFormat="1" ht="13.5" customHeight="1">
      <c r="A46" s="780" t="s">
        <v>346</v>
      </c>
      <c r="B46" s="248" t="s">
        <v>1549</v>
      </c>
      <c r="C46" s="249">
        <f ca="1">ROUND((C33+C39)*F27,0)</f>
        <v>7400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63307</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55077</v>
      </c>
      <c r="D51" s="232"/>
      <c r="E51" s="232"/>
      <c r="F51" s="264"/>
      <c r="G51" s="234" t="s">
        <v>1560</v>
      </c>
    </row>
    <row r="52" spans="1:7" s="208" customFormat="1" ht="16.5" thickBot="1">
      <c r="A52" s="265" t="s">
        <v>1561</v>
      </c>
      <c r="B52" s="266"/>
      <c r="C52" s="267">
        <f ca="1">C31+C51</f>
        <v>57055</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57647.6685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7855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4403290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4403290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4403290</v>
      </c>
      <c r="D10" s="845">
        <f ca="1">IF(B1="",'数据-汇总表'!E6,IF(INDIRECT("'数据-取费表'!c"&amp;$G$1)="住宅",INDIRECT("'数据-取费表'!s"&amp;$G$1),INDIRECT("'数据-取费表'!k"&amp;$G$1)+INDIRECT("'数据-取费表'!s"&amp;$G$1)))</f>
        <v>73388.159999999989</v>
      </c>
      <c r="E10" s="225">
        <f>'数据-取费表'!B28</f>
        <v>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14677632</v>
      </c>
      <c r="D19" s="849">
        <f ca="1">D9+D10</f>
        <v>73388.159999999989</v>
      </c>
      <c r="E19" s="211">
        <f>'数据-取费表'!B31</f>
        <v>200</v>
      </c>
      <c r="F19" s="231"/>
      <c r="G19" s="1856"/>
    </row>
    <row r="20" spans="1:7" s="214" customFormat="1" ht="13.5" customHeight="1">
      <c r="A20" s="255" t="s">
        <v>1574</v>
      </c>
      <c r="B20" s="210" t="s">
        <v>1575</v>
      </c>
      <c r="C20" s="232">
        <f ca="1">ROUND((C5+C19)*F20,0)</f>
        <v>381618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1352461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309068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1030227</v>
      </c>
      <c r="D24" s="238"/>
      <c r="E24" s="238"/>
      <c r="F24" s="239"/>
      <c r="G24" s="240" t="s">
        <v>1586</v>
      </c>
    </row>
    <row r="25" spans="1:7" s="214" customFormat="1" ht="24">
      <c r="A25" s="780" t="s">
        <v>1476</v>
      </c>
      <c r="B25" s="215" t="s">
        <v>1587</v>
      </c>
      <c r="C25" s="1128">
        <f ca="1">ROUND(IF('数据-取费表'!B22&lt;=1,C20*F22*'数据-取费表'!B22/2,C20*(POWER((1+F22),'数据-取费表'!B22/2)-1)),0)</f>
        <v>13166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2919381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2919381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25714390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483627974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440328960</v>
      </c>
      <c r="D34" s="217"/>
      <c r="E34" s="220"/>
      <c r="F34" s="257"/>
      <c r="G34" s="219"/>
    </row>
    <row r="35" spans="1:7" ht="13.5" customHeight="1">
      <c r="A35" s="780" t="s">
        <v>351</v>
      </c>
      <c r="B35" s="215" t="s">
        <v>1527</v>
      </c>
      <c r="C35" s="220">
        <f ca="1">ROUND(C34*F35,0)</f>
        <v>22016448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14677632</v>
      </c>
      <c r="D37" s="217">
        <f ca="1">D19</f>
        <v>73388.159999999989</v>
      </c>
      <c r="E37" s="249">
        <f>'数据-取费表'!B35</f>
        <v>200</v>
      </c>
      <c r="F37" s="259"/>
      <c r="G37" s="261"/>
    </row>
    <row r="38" spans="1:7" ht="13.5" customHeight="1">
      <c r="A38" s="780" t="s">
        <v>354</v>
      </c>
      <c r="B38" s="215" t="s">
        <v>1533</v>
      </c>
      <c r="C38" s="220">
        <f ca="1">ROUND(C34*F38,0)</f>
        <v>6604934</v>
      </c>
      <c r="D38" s="220"/>
      <c r="E38" s="220"/>
      <c r="F38" s="259">
        <f>'数据-取费表'!B36</f>
        <v>1.4999999999999999E-2</v>
      </c>
      <c r="G38" s="219" t="s">
        <v>1528</v>
      </c>
    </row>
    <row r="39" spans="1:7" s="214" customFormat="1" ht="13.5" customHeight="1">
      <c r="A39" s="255" t="s">
        <v>1534</v>
      </c>
      <c r="B39" s="210" t="s">
        <v>1535</v>
      </c>
      <c r="C39" s="232">
        <f ca="1">ROUND(C33*F20,0)</f>
        <v>9672559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17018868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16685165</v>
      </c>
      <c r="D42" s="238"/>
      <c r="E42" s="238"/>
      <c r="F42" s="239"/>
      <c r="G42" s="3719" t="s">
        <v>1591</v>
      </c>
    </row>
    <row r="43" spans="1:7" ht="13.5" customHeight="1">
      <c r="A43" s="780" t="s">
        <v>347</v>
      </c>
      <c r="B43" s="215" t="s">
        <v>1545</v>
      </c>
      <c r="C43" s="238">
        <f ca="1">ROUND(IF('数据-取费表'!B22&lt;=1,C39*F22*'数据-取费表'!B20/2,C39*(POWER((1+F22),'数据-取费表'!B20/2)-1)),0)</f>
        <v>333703</v>
      </c>
      <c r="D43" s="238"/>
      <c r="E43" s="238"/>
      <c r="F43" s="239"/>
      <c r="G43" s="3720"/>
    </row>
    <row r="44" spans="1:7" ht="13.5" customHeight="1">
      <c r="A44" s="780" t="s">
        <v>348</v>
      </c>
      <c r="B44" s="215" t="s">
        <v>1546</v>
      </c>
      <c r="C44" s="238">
        <f ca="1">ROUND(IF('数据-取费表'!B22&lt;=1,C40*F22*'数据-取费表'!B20/2,C40*(POWER((1+F22),'数据-取费表'!B20/2)-1)),4)</f>
        <v>6.9999999999999999E-4</v>
      </c>
      <c r="D44" s="238"/>
      <c r="E44" s="238"/>
      <c r="F44" s="239"/>
      <c r="G44" s="3721"/>
    </row>
    <row r="45" spans="1:7" s="214" customFormat="1" ht="13.5" customHeight="1">
      <c r="A45" s="255" t="s">
        <v>1547</v>
      </c>
      <c r="B45" s="244" t="s">
        <v>1513</v>
      </c>
      <c r="C45" s="245">
        <f ca="1">C46</f>
        <v>73995080</v>
      </c>
      <c r="D45" s="235">
        <f ca="1">C47</f>
        <v>3.0000000000000001E-3</v>
      </c>
      <c r="E45" s="236" t="s">
        <v>1539</v>
      </c>
      <c r="F45" s="246">
        <f ca="1">F27</f>
        <v>0.15</v>
      </c>
      <c r="G45" s="247" t="s">
        <v>1548</v>
      </c>
    </row>
    <row r="46" spans="1:7" s="214" customFormat="1" ht="13.5" customHeight="1">
      <c r="A46" s="780" t="s">
        <v>346</v>
      </c>
      <c r="B46" s="248" t="s">
        <v>1549</v>
      </c>
      <c r="C46" s="249">
        <f ca="1">ROUND((C33+C39)*F27,0)</f>
        <v>73995080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633060109</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550762295</v>
      </c>
      <c r="D51" s="232"/>
      <c r="E51" s="232"/>
      <c r="F51" s="264"/>
      <c r="G51" s="234" t="s">
        <v>1560</v>
      </c>
    </row>
    <row r="52" spans="1:7" s="208" customFormat="1" ht="16.5" thickBot="1">
      <c r="A52" s="265" t="s">
        <v>1561</v>
      </c>
      <c r="B52" s="266"/>
      <c r="C52" s="267">
        <f ca="1">C31+C51</f>
        <v>576476685</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-501</v>
      </c>
      <c r="C2" s="276" t="s">
        <v>1595</v>
      </c>
      <c r="D2" s="276"/>
      <c r="E2" s="2806"/>
      <c r="F2" s="2806"/>
      <c r="G2" s="2806"/>
      <c r="H2" s="2806"/>
      <c r="I2" s="2806"/>
      <c r="J2" s="2806"/>
      <c r="K2" s="2806"/>
    </row>
    <row r="3" spans="1:33" ht="18" customHeight="1" thickBot="1">
      <c r="A3" s="203" t="s">
        <v>1464</v>
      </c>
      <c r="B3" s="204">
        <f ca="1">ROUND(B2*10000/IF(C1="",'数据-汇总表'!E3,INDIRECT("'数据-取费表'!K"&amp;$K$1)),0)</f>
        <v>-68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73388.159999999989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73388.159999999989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440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440</v>
      </c>
      <c r="D20" s="846">
        <f ca="1">IF(C1="",'数据-汇总表'!E6,IF(INDIRECT("'数据-取费表'!c"&amp;$K$1)="住宅",INDIRECT("'数据-取费表'!s"&amp;$K$1),INDIRECT("'数据-取费表'!k"&amp;$K$1)+INDIRECT("'数据-取费表'!s"&amp;$K$1)))</f>
        <v>73388.159999999989</v>
      </c>
      <c r="E20" s="21">
        <f>'数据-取费表'!B28</f>
        <v>60</v>
      </c>
      <c r="F20" s="804"/>
      <c r="G20" s="12"/>
      <c r="H20" s="809"/>
      <c r="I20" s="809"/>
      <c r="J20" s="809"/>
      <c r="K20" s="810"/>
    </row>
    <row r="21" spans="1:33" s="803" customFormat="1" ht="13.5" customHeight="1">
      <c r="A21" s="790" t="s">
        <v>357</v>
      </c>
      <c r="B21" s="813" t="s">
        <v>1628</v>
      </c>
      <c r="C21" s="814">
        <f ca="1">C16+C17+C18</f>
        <v>440</v>
      </c>
      <c r="D21" s="815"/>
      <c r="E21" s="281"/>
      <c r="F21" s="281"/>
      <c r="G21" s="131" t="s">
        <v>1629</v>
      </c>
      <c r="H21" s="807"/>
      <c r="I21" s="807"/>
      <c r="J21" s="807"/>
      <c r="K21" s="808"/>
    </row>
    <row r="22" spans="1:33" s="803" customFormat="1" ht="13.5" customHeight="1">
      <c r="A22" s="790" t="s">
        <v>1601</v>
      </c>
      <c r="B22" s="813" t="s">
        <v>1630</v>
      </c>
      <c r="C22" s="814">
        <f ca="1">ROUND(C21*F22,0)</f>
        <v>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-501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6" t="s">
        <v>694</v>
      </c>
      <c r="C6" s="1074">
        <f ca="1">ROUND(F6*F8*F7*(1-F9),0)</f>
        <v>0</v>
      </c>
      <c r="D6" s="155" t="s">
        <v>2106</v>
      </c>
      <c r="E6" s="302" t="s">
        <v>696</v>
      </c>
      <c r="F6" s="303">
        <f ca="1">INDIRECT("'数据-取费表'!u"&amp;$G$1)</f>
        <v>0</v>
      </c>
      <c r="G6" s="1384"/>
      <c r="H6" s="1069" t="s">
        <v>398</v>
      </c>
      <c r="I6" s="3716" t="s">
        <v>694</v>
      </c>
      <c r="J6" s="301">
        <f ca="1">ROUND(M6*M8*M7*(1-M9),0)</f>
        <v>0</v>
      </c>
      <c r="K6" s="1376" t="s">
        <v>2107</v>
      </c>
      <c r="L6" s="302" t="s">
        <v>696</v>
      </c>
      <c r="M6" s="303">
        <f ca="1">INDIRECT("'数据-取费表'!z"&amp;$G$1)</f>
        <v>0</v>
      </c>
    </row>
    <row r="7" spans="1:37" ht="18" customHeight="1">
      <c r="A7" s="1073"/>
      <c r="B7" s="3717"/>
      <c r="C7" s="1075"/>
      <c r="D7" s="307"/>
      <c r="E7" s="1076" t="s">
        <v>697</v>
      </c>
      <c r="F7" s="303">
        <f ca="1">IF(INDIRECT("'数据-取费表'!ah"&amp;$G$1)="",INDIRECT("'数据-取费表'!k"&amp;$G$1),INDIRECT("'数据-取费表'!ah"&amp;$G$1))</f>
        <v>0</v>
      </c>
      <c r="G7" s="1384"/>
      <c r="H7" s="304"/>
      <c r="I7" s="3717"/>
      <c r="J7" s="306"/>
      <c r="K7" s="307"/>
      <c r="L7" s="302" t="s">
        <v>697</v>
      </c>
      <c r="M7" s="303">
        <f ca="1">F7</f>
        <v>0</v>
      </c>
    </row>
    <row r="8" spans="1:37" ht="18" customHeight="1">
      <c r="A8" s="304"/>
      <c r="B8" s="3717"/>
      <c r="C8" s="306"/>
      <c r="D8" s="307"/>
      <c r="E8" s="302" t="s">
        <v>698</v>
      </c>
      <c r="F8" s="303">
        <f ca="1">INDIRECT("'数据-取费表'!ai"&amp;$G$1)</f>
        <v>0</v>
      </c>
      <c r="G8" s="1384"/>
      <c r="H8" s="304"/>
      <c r="I8" s="3717"/>
      <c r="J8" s="306"/>
      <c r="K8" s="307"/>
      <c r="L8" s="302" t="s">
        <v>698</v>
      </c>
      <c r="M8" s="303">
        <f ca="1">INDIRECT("'数据-取费表'!ai"&amp;$G$1)</f>
        <v>0</v>
      </c>
    </row>
    <row r="9" spans="1:37" ht="18" customHeight="1">
      <c r="A9" s="304"/>
      <c r="B9" s="3718"/>
      <c r="C9" s="306"/>
      <c r="D9" s="307"/>
      <c r="E9" s="302" t="s">
        <v>699</v>
      </c>
      <c r="F9" s="312">
        <f ca="1">INDIRECT("'数据-取费表'!w"&amp;$G$1)</f>
        <v>0</v>
      </c>
      <c r="G9" s="1384"/>
      <c r="H9" s="304"/>
      <c r="I9" s="371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14" t="s">
        <v>837</v>
      </c>
      <c r="L53" s="371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28" t="s">
        <v>2321</v>
      </c>
      <c r="K2" s="372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30" t="s">
        <v>2331</v>
      </c>
      <c r="K3" s="373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30" t="s">
        <v>2333</v>
      </c>
      <c r="K4" s="373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36" t="s">
        <v>2337</v>
      </c>
      <c r="B6" s="3737"/>
      <c r="C6" s="3738"/>
      <c r="D6" s="2870"/>
      <c r="E6" s="2871"/>
      <c r="F6" s="2872"/>
      <c r="G6" s="2873"/>
      <c r="H6" s="2848"/>
      <c r="I6" s="2849"/>
      <c r="J6" s="3722">
        <v>1</v>
      </c>
      <c r="K6" s="372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22"/>
      <c r="K7" s="372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39" t="s">
        <v>2351</v>
      </c>
      <c r="C8" s="3740"/>
      <c r="D8" s="2889" t="s">
        <v>2352</v>
      </c>
      <c r="E8" s="2890" t="s">
        <v>2353</v>
      </c>
      <c r="F8" s="2891" t="s">
        <v>2354</v>
      </c>
      <c r="G8" s="2892"/>
      <c r="H8" s="2848"/>
      <c r="I8" s="2849"/>
      <c r="J8" s="3722"/>
      <c r="K8" s="372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39" t="s">
        <v>2357</v>
      </c>
      <c r="C9" s="3740"/>
      <c r="D9" s="2889">
        <f>ROUND(D6*E9,0)</f>
        <v>0</v>
      </c>
      <c r="E9" s="2893"/>
      <c r="F9" s="2894" t="s">
        <v>2358</v>
      </c>
      <c r="G9" s="2873"/>
      <c r="H9" s="2848"/>
      <c r="I9" s="2849"/>
      <c r="J9" s="3722"/>
      <c r="K9" s="3724"/>
      <c r="L9" s="2883" t="s">
        <v>2359</v>
      </c>
      <c r="M9" s="2884"/>
      <c r="N9" s="2860"/>
      <c r="O9" s="2885"/>
      <c r="P9" s="2885"/>
      <c r="Q9" s="2886">
        <v>365</v>
      </c>
      <c r="R9" s="2887">
        <f t="shared" si="0"/>
        <v>0</v>
      </c>
      <c r="S9" s="2841"/>
      <c r="T9" s="2841"/>
      <c r="U9" s="2841"/>
      <c r="V9" s="2849"/>
    </row>
    <row r="10" spans="1:22" s="2853" customFormat="1" ht="13.15" customHeight="1">
      <c r="A10" s="2888">
        <v>2</v>
      </c>
      <c r="B10" s="3739" t="s">
        <v>2360</v>
      </c>
      <c r="C10" s="3740"/>
      <c r="D10" s="2889">
        <f>ROUND(D6*E10,0)</f>
        <v>0</v>
      </c>
      <c r="E10" s="2893"/>
      <c r="F10" s="2894" t="s">
        <v>2361</v>
      </c>
      <c r="G10" s="2873"/>
      <c r="H10" s="2848"/>
      <c r="I10" s="2849"/>
      <c r="J10" s="3722"/>
      <c r="K10" s="3724"/>
      <c r="L10" s="2883" t="s">
        <v>2362</v>
      </c>
      <c r="M10" s="2884"/>
      <c r="N10" s="2860"/>
      <c r="O10" s="2885"/>
      <c r="P10" s="2885"/>
      <c r="Q10" s="2886">
        <v>365</v>
      </c>
      <c r="R10" s="2887">
        <f t="shared" si="0"/>
        <v>0</v>
      </c>
      <c r="S10" s="2841"/>
      <c r="T10" s="2841"/>
      <c r="U10" s="2841"/>
      <c r="V10" s="2849"/>
    </row>
    <row r="11" spans="1:22" s="2853" customFormat="1" ht="13.15" customHeight="1">
      <c r="A11" s="2888">
        <v>3</v>
      </c>
      <c r="B11" s="3739" t="s">
        <v>2363</v>
      </c>
      <c r="C11" s="3740"/>
      <c r="D11" s="2889">
        <f>D12+D14+D15+D16</f>
        <v>0</v>
      </c>
      <c r="E11" s="2895" t="e">
        <f>D11/D6</f>
        <v>#DIV/0!</v>
      </c>
      <c r="F11" s="2891"/>
      <c r="G11" s="2892"/>
      <c r="H11" s="2848"/>
      <c r="I11" s="2849"/>
      <c r="J11" s="3722"/>
      <c r="K11" s="372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32" t="s">
        <v>2366</v>
      </c>
      <c r="C12" s="3733"/>
      <c r="D12" s="2897">
        <f>ROUND(D13*1.2%*(1-30%),0)</f>
        <v>0</v>
      </c>
      <c r="E12" s="2898">
        <v>1.2E-2</v>
      </c>
      <c r="F12" s="2891" t="s">
        <v>2367</v>
      </c>
      <c r="G12" s="2892"/>
      <c r="H12" s="2848"/>
      <c r="I12" s="2849"/>
      <c r="J12" s="3722"/>
      <c r="K12" s="372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22"/>
      <c r="K13" s="372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32" t="s">
        <v>2372</v>
      </c>
      <c r="C14" s="3733"/>
      <c r="D14" s="2897">
        <f>ROUND(E14*B5/10000,0)</f>
        <v>0</v>
      </c>
      <c r="E14" s="2886"/>
      <c r="F14" s="2891" t="s">
        <v>2373</v>
      </c>
      <c r="G14" s="2892"/>
      <c r="H14" s="2848"/>
      <c r="I14" s="2849"/>
      <c r="J14" s="3722"/>
      <c r="K14" s="372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32" t="s">
        <v>2376</v>
      </c>
      <c r="C15" s="3733"/>
      <c r="D15" s="2897">
        <f>ROUND(D6*E15,0)</f>
        <v>0</v>
      </c>
      <c r="E15" s="2898">
        <v>5.5E-2</v>
      </c>
      <c r="F15" s="2891" t="s">
        <v>2377</v>
      </c>
      <c r="G15" s="2873"/>
      <c r="H15" s="2848"/>
      <c r="I15" s="2849"/>
      <c r="J15" s="3722">
        <v>2</v>
      </c>
      <c r="K15" s="372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32" t="s">
        <v>2385</v>
      </c>
      <c r="C16" s="3733"/>
      <c r="D16" s="2908">
        <f>D6*E16</f>
        <v>0</v>
      </c>
      <c r="E16" s="2909"/>
      <c r="F16" s="2894" t="s">
        <v>2386</v>
      </c>
      <c r="G16" s="2873"/>
      <c r="H16" s="2848"/>
      <c r="I16" s="2849"/>
      <c r="J16" s="3722"/>
      <c r="K16" s="372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34" t="s">
        <v>2388</v>
      </c>
      <c r="C17" s="3735"/>
      <c r="D17" s="2911">
        <f>ROUND(D6*E17,0)</f>
        <v>0</v>
      </c>
      <c r="E17" s="2912"/>
      <c r="F17" s="2913" t="s">
        <v>2389</v>
      </c>
      <c r="G17" s="2873"/>
      <c r="H17" s="2848"/>
      <c r="I17" s="2849"/>
      <c r="J17" s="3722"/>
      <c r="K17" s="372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22"/>
      <c r="K18" s="372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22"/>
      <c r="K19" s="372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2">
        <v>3</v>
      </c>
      <c r="K20" s="372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22"/>
      <c r="K21" s="372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22"/>
      <c r="K22" s="372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22"/>
      <c r="K23" s="372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22"/>
      <c r="K24" s="372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2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2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28" t="s">
        <v>2321</v>
      </c>
      <c r="K32" s="372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30" t="s">
        <v>2331</v>
      </c>
      <c r="K33" s="373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30" t="s">
        <v>2333</v>
      </c>
      <c r="K34" s="373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22">
        <v>1</v>
      </c>
      <c r="K36" s="372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22"/>
      <c r="K37" s="372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2"/>
      <c r="K38" s="372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22"/>
      <c r="K39" s="372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22"/>
      <c r="K40" s="372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2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89354</v>
      </c>
      <c r="C2" s="1872" t="s">
        <v>1651</v>
      </c>
      <c r="D2" s="1873" t="s">
        <v>1652</v>
      </c>
      <c r="E2" s="2607">
        <f>SUM(E6:E13)</f>
        <v>73388.159999999989</v>
      </c>
      <c r="F2" s="2707"/>
      <c r="G2" s="1489"/>
      <c r="H2" s="1489"/>
      <c r="I2" s="1489"/>
      <c r="J2" s="1489"/>
      <c r="K2" s="1489"/>
      <c r="L2" s="1489"/>
      <c r="M2" s="1489"/>
      <c r="N2" s="1489"/>
      <c r="O2" s="1489"/>
      <c r="P2" s="1489"/>
      <c r="Q2" s="1489"/>
      <c r="R2" s="1489"/>
      <c r="S2" s="1489"/>
    </row>
    <row r="3" spans="1:22" ht="15.75">
      <c r="A3" s="1870" t="s">
        <v>686</v>
      </c>
      <c r="B3" s="2601">
        <f ca="1">ROUND(B2*10000/E2,0)</f>
        <v>12176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41" t="s">
        <v>1654</v>
      </c>
      <c r="C5" s="374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收益法(商业)</v>
      </c>
      <c r="B6" s="2602">
        <f ca="1">IF(F6="是",'数据-取费表'!AO6,0)</f>
        <v>6506</v>
      </c>
      <c r="C6" s="1872" t="s">
        <v>1651</v>
      </c>
      <c r="D6" s="2709"/>
      <c r="E6" s="2606">
        <f>IF(OR(A6=0,F6="否"),0,'数据-取费表'!K6+'数据-取费表'!S6)</f>
        <v>2431.09</v>
      </c>
      <c r="F6" s="1876" t="s">
        <v>1657</v>
      </c>
      <c r="G6" s="1489"/>
      <c r="H6" s="1489"/>
      <c r="I6" s="1489"/>
      <c r="J6" s="1489"/>
      <c r="K6" s="1489"/>
      <c r="L6" s="1489"/>
      <c r="M6" s="1489"/>
      <c r="N6" s="1489"/>
      <c r="O6" s="1489"/>
      <c r="P6" s="1489"/>
      <c r="Q6" s="1489"/>
      <c r="R6" s="1489"/>
      <c r="S6" s="1489"/>
    </row>
    <row r="7" spans="1:22">
      <c r="A7" s="2604" t="str">
        <f>'数据-取费表'!AN7</f>
        <v>收益法</v>
      </c>
      <c r="B7" s="2602">
        <f ca="1">IF(F7="是",'数据-取费表'!AO7,0)</f>
        <v>82848</v>
      </c>
      <c r="C7" s="1872" t="s">
        <v>1651</v>
      </c>
      <c r="D7" s="2709"/>
      <c r="E7" s="2606">
        <f>IF(OR(A7=0,F7="否"),0,'数据-取费表'!K7+'数据-取费表'!S7)</f>
        <v>70957.069999999992</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73388.159999999989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747" t="s">
        <v>1672</v>
      </c>
      <c r="Q4" s="3748"/>
      <c r="R4" s="3751" t="s">
        <v>1668</v>
      </c>
      <c r="S4" s="3752"/>
      <c r="T4" s="3751" t="s">
        <v>1669</v>
      </c>
      <c r="U4" s="3752"/>
      <c r="V4" s="3698" t="s">
        <v>1670</v>
      </c>
      <c r="W4" s="3698"/>
      <c r="X4" s="1355"/>
      <c r="Y4" s="3751" t="s">
        <v>1672</v>
      </c>
      <c r="Z4" s="3752"/>
      <c r="AA4" s="3746" t="s">
        <v>1668</v>
      </c>
      <c r="AB4" s="3746" t="s">
        <v>1669</v>
      </c>
      <c r="AC4" s="3746" t="s">
        <v>1670</v>
      </c>
    </row>
    <row r="5" spans="1:29" ht="15">
      <c r="A5" s="358"/>
      <c r="B5" s="359"/>
      <c r="C5" s="3701" t="s">
        <v>1673</v>
      </c>
      <c r="D5" s="3702"/>
      <c r="E5" s="3712" t="s">
        <v>1674</v>
      </c>
      <c r="F5" s="3713"/>
      <c r="G5" s="3701" t="s">
        <v>1675</v>
      </c>
      <c r="H5" s="3702"/>
      <c r="I5" s="3701" t="s">
        <v>1676</v>
      </c>
      <c r="J5" s="3702"/>
      <c r="K5" s="1890"/>
      <c r="L5" s="2715"/>
      <c r="M5" s="2716"/>
      <c r="N5" s="2716"/>
      <c r="O5" s="2716"/>
      <c r="P5" s="3749"/>
      <c r="Q5" s="3688"/>
      <c r="R5" s="3693"/>
      <c r="S5" s="3694"/>
      <c r="T5" s="3693"/>
      <c r="U5" s="3694"/>
      <c r="V5" s="3698"/>
      <c r="W5" s="3698"/>
      <c r="X5" s="1355"/>
      <c r="Y5" s="3693"/>
      <c r="Z5" s="3694"/>
      <c r="AA5" s="3710"/>
      <c r="AB5" s="3710"/>
      <c r="AC5" s="3710"/>
    </row>
    <row r="6" spans="1:29" ht="15.75" thickBot="1">
      <c r="A6" s="360"/>
      <c r="B6" s="361"/>
      <c r="C6" s="3699" t="s">
        <v>1677</v>
      </c>
      <c r="D6" s="3700"/>
      <c r="E6" s="3707" t="s">
        <v>1677</v>
      </c>
      <c r="F6" s="3708"/>
      <c r="G6" s="3699" t="s">
        <v>1677</v>
      </c>
      <c r="H6" s="3700"/>
      <c r="I6" s="3699" t="s">
        <v>1677</v>
      </c>
      <c r="J6" s="3700"/>
      <c r="K6" s="1890" t="s">
        <v>1678</v>
      </c>
      <c r="L6" s="2715"/>
      <c r="M6" s="2716"/>
      <c r="N6" s="2716"/>
      <c r="O6" s="2716"/>
      <c r="P6" s="3750"/>
      <c r="Q6" s="3690"/>
      <c r="R6" s="3693"/>
      <c r="S6" s="3694"/>
      <c r="T6" s="3695"/>
      <c r="U6" s="3696"/>
      <c r="V6" s="3698"/>
      <c r="W6" s="3698"/>
      <c r="X6" s="1355"/>
      <c r="Y6" s="3695"/>
      <c r="Z6" s="3696"/>
      <c r="AA6" s="3711"/>
      <c r="AB6" s="3711"/>
      <c r="AC6" s="3711"/>
    </row>
    <row r="7" spans="1:29" s="108" customFormat="1" ht="15.75" thickBot="1">
      <c r="A7" s="362" t="s">
        <v>1679</v>
      </c>
      <c r="B7" s="363"/>
      <c r="C7" s="364">
        <f>'数据-取费表'!B2</f>
        <v>45372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5" t="s">
        <v>1680</v>
      </c>
      <c r="Q7" s="3706"/>
      <c r="R7" s="701" t="s">
        <v>20</v>
      </c>
      <c r="S7" s="702">
        <f t="shared" ref="S7:S15" si="0">F7</f>
        <v>0</v>
      </c>
      <c r="T7" s="701" t="s">
        <v>20</v>
      </c>
      <c r="U7" s="702">
        <f t="shared" ref="U7:U15" si="1">H7</f>
        <v>0</v>
      </c>
      <c r="V7" s="701" t="s">
        <v>20</v>
      </c>
      <c r="W7" s="702">
        <f t="shared" ref="W7:W15" si="2">J7</f>
        <v>0</v>
      </c>
      <c r="X7" s="703"/>
      <c r="Y7" s="3705" t="s">
        <v>1680</v>
      </c>
      <c r="Z7" s="370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5" t="s">
        <v>1683</v>
      </c>
      <c r="Q8" s="3704"/>
      <c r="R8" s="701" t="s">
        <v>20</v>
      </c>
      <c r="S8" s="702">
        <f t="shared" si="0"/>
        <v>100</v>
      </c>
      <c r="T8" s="701" t="s">
        <v>20</v>
      </c>
      <c r="U8" s="702">
        <f t="shared" si="1"/>
        <v>100</v>
      </c>
      <c r="V8" s="701" t="s">
        <v>20</v>
      </c>
      <c r="W8" s="702">
        <f t="shared" si="2"/>
        <v>100</v>
      </c>
      <c r="X8" s="703"/>
      <c r="Y8" s="3705" t="s">
        <v>1683</v>
      </c>
      <c r="Z8" s="37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3"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3"/>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3"/>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3"/>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3"/>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3"/>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9"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0"/>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0"/>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0"/>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0"/>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0"/>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0"/>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0"/>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0"/>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0"/>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0"/>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0"/>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0"/>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0"/>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0"/>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0"/>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t="s">
        <v>3587</v>
      </c>
      <c r="D4" s="1756" t="s">
        <v>3585</v>
      </c>
      <c r="E4" s="3609" t="s">
        <v>1267</v>
      </c>
      <c r="F4" s="3610"/>
      <c r="G4" s="3610"/>
      <c r="H4" s="3610"/>
      <c r="I4" s="3611"/>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v>7</v>
      </c>
      <c r="D14" s="3606">
        <v>3</v>
      </c>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3" t="s">
        <v>2131</v>
      </c>
      <c r="F18" s="3594"/>
      <c r="G18" s="3594"/>
      <c r="H18" s="3594"/>
      <c r="I18" s="3594"/>
      <c r="K18" s="302" t="s">
        <v>1289</v>
      </c>
      <c r="L18" s="302">
        <f>IF(C1="",'数据-汇总表'!E3,SUMIF(项目类型,C1,'数据-汇总表'!E17:E26)+SUMIF(项目类型,C1,'数据-汇总表'!I17:I26))</f>
        <v>2431.09</v>
      </c>
      <c r="M18" s="302">
        <f>IF(C1="",'数据-汇总表'!E3,SUMIF(项目类型,C1,'数据-汇总表'!E17:E26))</f>
        <v>2431.09</v>
      </c>
    </row>
    <row r="19" spans="1:36" ht="15">
      <c r="A19" s="1761" t="s">
        <v>1290</v>
      </c>
      <c r="B19" s="1762" t="s">
        <v>1291</v>
      </c>
      <c r="C19" s="134">
        <f ca="1">SUMIF(INDIRECT("'"&amp;C4&amp;"'"&amp;"!A:A"),'结果表(商业)'!B19,INDIRECT("'"&amp;C4&amp;"'"&amp;"!B:B"))</f>
        <v>9724</v>
      </c>
      <c r="D19" s="135">
        <f ca="1">SUMIF(INDIRECT("'"&amp;D4&amp;"'"&amp;"!A:A"),'结果表(商业)'!B19,INDIRECT("'"&amp;D4&amp;"'"&amp;"!B:B"))</f>
        <v>6506</v>
      </c>
      <c r="E19" s="1761" t="s">
        <v>1292</v>
      </c>
      <c r="F19" s="1762" t="s">
        <v>1291</v>
      </c>
      <c r="G19" s="136">
        <f ca="1">ROUND(C19*$C$18+D19*$D$18,0)</f>
        <v>8759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SUMIF(INDIRECT("'"&amp;C4&amp;"'"&amp;"!A:A"),'结果表(商业)'!B20,INDIRECT("'"&amp;C4&amp;"'"&amp;"!B:B"))</f>
        <v>40000</v>
      </c>
      <c r="D20" s="138">
        <f ca="1">SUMIF(INDIRECT("'"&amp;D4&amp;"'"&amp;"!A:A"),'结果表(商业)'!B20,INDIRECT("'"&amp;D4&amp;"'"&amp;"!B:B"))</f>
        <v>26762</v>
      </c>
      <c r="E20" s="1764"/>
      <c r="F20" s="1026" t="s">
        <v>1295</v>
      </c>
      <c r="G20" s="139">
        <f ca="1">ROUND(C20*$C$18+D20*$D$18,0)</f>
        <v>36029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0.49462035044574248</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36029</v>
      </c>
      <c r="D32" s="1775" t="s">
        <v>3588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f ca="1">ROUND(H101*F45,0)</f>
        <v>8759</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3466">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3466">
        <v>2</v>
      </c>
      <c r="K47" s="3633" t="s">
        <v>1337</v>
      </c>
      <c r="L47" s="3633"/>
      <c r="M47" s="3654">
        <f>'数据-取费表'!B2</f>
        <v>45372</v>
      </c>
      <c r="N47" s="3654"/>
      <c r="O47" s="3654"/>
    </row>
    <row r="48" spans="1:15" ht="25.5">
      <c r="A48" s="3602" t="s">
        <v>1338</v>
      </c>
      <c r="B48" s="3585"/>
      <c r="C48" s="3585"/>
      <c r="D48" s="3468" t="b">
        <f>IF(H48="情况1",0,IF(H48="情况2",D52,IF(H48="情况3",D53,IF(H48="情况4",D54))))</f>
        <v>0</v>
      </c>
      <c r="E48" s="3457" t="str">
        <f>IF(H48="情况4","(销售额-原购置价)×税（费）率","销售额×税（费）率")</f>
        <v>销售额×税（费）率</v>
      </c>
      <c r="F48" s="2548">
        <f>IF(H48="情况1","免征",'数据-取费表'!B41)</f>
        <v>5.6000000000000001E-2</v>
      </c>
      <c r="G48" s="2549" t="s">
        <v>1339</v>
      </c>
      <c r="H48" s="2550"/>
      <c r="I48" s="1806"/>
      <c r="J48" s="3466">
        <v>3</v>
      </c>
      <c r="K48" s="3633" t="s">
        <v>1340</v>
      </c>
      <c r="L48" s="3633"/>
      <c r="M48" s="3655">
        <f ca="1">H101</f>
        <v>8759</v>
      </c>
      <c r="N48" s="3655"/>
      <c r="O48" s="3655"/>
    </row>
    <row r="49" spans="1:35" ht="25.5" customHeight="1">
      <c r="A49" s="3461" t="s">
        <v>1341</v>
      </c>
      <c r="B49" s="3569" t="s">
        <v>1342</v>
      </c>
      <c r="C49" s="3569"/>
      <c r="D49" s="1590">
        <v>0</v>
      </c>
      <c r="E49" s="324" t="s">
        <v>1343</v>
      </c>
      <c r="F49" s="3451" t="s">
        <v>28</v>
      </c>
      <c r="G49" s="3639"/>
      <c r="H49" s="2310" t="s">
        <v>2134</v>
      </c>
      <c r="I49" s="2311"/>
      <c r="J49" s="3466">
        <v>4</v>
      </c>
      <c r="K49" s="3633" t="str">
        <f>IF(项目基本情况!E8="房地产抵押价值","房地产抵押价值","抵押担保权已注销时的房地产抵押价值")</f>
        <v>房地产抵押价值</v>
      </c>
      <c r="L49" s="3633"/>
      <c r="M49" s="3655">
        <f ca="1">IF(项目基本情况!E8="房地产抵押价值",H107,H109)</f>
        <v>8759</v>
      </c>
      <c r="N49" s="3655"/>
      <c r="O49" s="3655"/>
    </row>
    <row r="50" spans="1:35" ht="25.5" customHeight="1">
      <c r="A50" s="2551"/>
      <c r="B50" s="3569" t="s">
        <v>1344</v>
      </c>
      <c r="C50" s="3569"/>
      <c r="D50" s="2552"/>
      <c r="E50" s="332"/>
      <c r="F50" s="3451"/>
      <c r="G50" s="3640"/>
      <c r="H50" s="2312" t="s">
        <v>2135</v>
      </c>
      <c r="I50" s="2311"/>
      <c r="J50" s="3652" t="s">
        <v>1345</v>
      </c>
      <c r="K50" s="3652"/>
      <c r="L50" s="3652"/>
      <c r="M50" s="3652"/>
      <c r="N50" s="3652"/>
      <c r="O50" s="3652"/>
    </row>
    <row r="51" spans="1:35" ht="20.45" customHeight="1">
      <c r="A51" s="2553"/>
      <c r="B51" s="3569" t="s">
        <v>1346</v>
      </c>
      <c r="C51" s="3569"/>
      <c r="D51" s="1087"/>
      <c r="E51" s="327"/>
      <c r="F51" s="3451"/>
      <c r="G51" s="3641"/>
      <c r="H51" s="2312" t="s">
        <v>2136</v>
      </c>
      <c r="I51" s="2311"/>
      <c r="J51" s="3465" t="s">
        <v>1347</v>
      </c>
      <c r="K51" s="3633" t="s">
        <v>1348</v>
      </c>
      <c r="L51" s="3633"/>
      <c r="M51" s="3465" t="s">
        <v>1349</v>
      </c>
      <c r="N51" s="3465" t="s">
        <v>1350</v>
      </c>
      <c r="O51" s="3465" t="s">
        <v>1351</v>
      </c>
    </row>
    <row r="52" spans="1:35" ht="24" customHeight="1">
      <c r="A52" s="3456" t="s">
        <v>1352</v>
      </c>
      <c r="B52" s="3569" t="s">
        <v>1353</v>
      </c>
      <c r="C52" s="3569"/>
      <c r="D52" s="1087">
        <f ca="1">ROUND(D45*'数据-取费表'!B41/(1+'数据-取费表'!C42),0)</f>
        <v>467</v>
      </c>
      <c r="E52" s="3457" t="s">
        <v>1354</v>
      </c>
      <c r="F52" s="2554">
        <f>'数据-取费表'!B41</f>
        <v>5.6000000000000001E-2</v>
      </c>
      <c r="G52" s="2555"/>
      <c r="H52" s="2544"/>
      <c r="I52" s="1807"/>
      <c r="J52" s="3466">
        <v>1</v>
      </c>
      <c r="K52" s="3634" t="s">
        <v>1355</v>
      </c>
      <c r="L52" s="3634"/>
      <c r="M52" s="2525" t="b">
        <f>D48</f>
        <v>0</v>
      </c>
      <c r="N52" s="3466" t="str">
        <f>E48</f>
        <v>销售额×税（费）率</v>
      </c>
      <c r="O52" s="2526">
        <f>F48</f>
        <v>5.6000000000000001E-2</v>
      </c>
    </row>
    <row r="53" spans="1:35" ht="12" customHeight="1">
      <c r="A53" s="3456" t="s">
        <v>1356</v>
      </c>
      <c r="B53" s="3595" t="s">
        <v>2291</v>
      </c>
      <c r="C53" s="3596"/>
      <c r="D53" s="1087">
        <f ca="1">ROUND(D45*'数据-取费表'!B41/(1+'数据-取费表'!C42),0)</f>
        <v>467</v>
      </c>
      <c r="E53" s="3457" t="s">
        <v>1354</v>
      </c>
      <c r="F53" s="2554">
        <f>'数据-取费表'!B41</f>
        <v>5.6000000000000001E-2</v>
      </c>
      <c r="G53" s="2555"/>
      <c r="H53" s="2544"/>
      <c r="I53" s="1807"/>
      <c r="J53" s="3466">
        <v>2</v>
      </c>
      <c r="K53" s="3634" t="s">
        <v>1357</v>
      </c>
      <c r="L53" s="3634"/>
      <c r="M53" s="2525">
        <f t="shared" ref="M53:O54" ca="1" si="0">D55</f>
        <v>4</v>
      </c>
      <c r="N53" s="3466" t="str">
        <f t="shared" si="0"/>
        <v>销售额×税（费）率</v>
      </c>
      <c r="O53" s="2526" t="str">
        <f t="shared" si="0"/>
        <v>免征</v>
      </c>
    </row>
    <row r="54" spans="1:35" ht="12" customHeight="1">
      <c r="A54" s="3456" t="s">
        <v>1358</v>
      </c>
      <c r="B54" s="3595" t="s">
        <v>2292</v>
      </c>
      <c r="C54" s="3596"/>
      <c r="D54" s="1087">
        <f ca="1">C68</f>
        <v>467</v>
      </c>
      <c r="E54" s="327" t="s">
        <v>1359</v>
      </c>
      <c r="F54" s="2554">
        <f>'数据-取费表'!B41</f>
        <v>5.6000000000000001E-2</v>
      </c>
      <c r="G54" s="2555"/>
      <c r="H54" s="2556"/>
      <c r="I54" s="1807"/>
      <c r="J54" s="3466">
        <v>3</v>
      </c>
      <c r="K54" s="3634" t="s">
        <v>1360</v>
      </c>
      <c r="L54" s="3634"/>
      <c r="M54" s="2525">
        <f t="shared" ca="1" si="0"/>
        <v>4958</v>
      </c>
      <c r="N54" s="3466" t="str">
        <f t="shared" si="0"/>
        <v>增值额×税（费）率</v>
      </c>
      <c r="O54" s="2527" t="str">
        <f t="shared" si="0"/>
        <v>免征</v>
      </c>
    </row>
    <row r="55" spans="1:35" ht="24" customHeight="1">
      <c r="A55" s="3584" t="s">
        <v>1361</v>
      </c>
      <c r="B55" s="3585"/>
      <c r="C55" s="3585"/>
      <c r="D55" s="3468">
        <f ca="1">IF(H55="个人住宅",0,ROUND(D45*I55,0))</f>
        <v>4</v>
      </c>
      <c r="E55" s="3457" t="s">
        <v>1362</v>
      </c>
      <c r="F55" s="2554" t="str">
        <f>IF(H55="正常",I55,"免征")</f>
        <v>免征</v>
      </c>
      <c r="G55" s="2555"/>
      <c r="H55" s="2550"/>
      <c r="I55" s="165">
        <f>'数据-取费表'!B49</f>
        <v>5.0000000000000001E-4</v>
      </c>
      <c r="J55" s="3466">
        <f>IF(H59="非个人房产","",4)</f>
        <v>4</v>
      </c>
      <c r="K55" s="3634" t="str">
        <f>IF(H59="非个人房产","——","个人所得税")</f>
        <v>个人所得税</v>
      </c>
      <c r="L55" s="3634"/>
      <c r="M55" s="2528">
        <f ca="1">D59</f>
        <v>83</v>
      </c>
      <c r="N55" s="3467" t="str">
        <f>E59</f>
        <v>差额计税</v>
      </c>
      <c r="O55" s="2529">
        <f>F59</f>
        <v>0.01</v>
      </c>
    </row>
    <row r="56" spans="1:35" ht="24.75">
      <c r="A56" s="3584" t="s">
        <v>1363</v>
      </c>
      <c r="B56" s="3585"/>
      <c r="C56" s="3585"/>
      <c r="D56" s="3468">
        <f ca="1">IF(H56="个人住宅",D57,D58)</f>
        <v>4958</v>
      </c>
      <c r="E56" s="3457" t="s">
        <v>1364</v>
      </c>
      <c r="F56" s="2554" t="str">
        <f>IF(H56="正常",F58,"免征")</f>
        <v>免征</v>
      </c>
      <c r="G56" s="2557" t="s">
        <v>1365</v>
      </c>
      <c r="H56" s="2558"/>
      <c r="I56" s="1808"/>
      <c r="J56" s="3466"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3456" t="s">
        <v>1341</v>
      </c>
      <c r="B57" s="3595" t="s">
        <v>1366</v>
      </c>
      <c r="C57" s="3596"/>
      <c r="D57" s="1590">
        <v>0</v>
      </c>
      <c r="E57" s="324" t="s">
        <v>1343</v>
      </c>
      <c r="F57" s="302"/>
      <c r="G57" s="2555"/>
      <c r="H57" s="2559"/>
      <c r="I57" s="1808"/>
      <c r="J57" s="3634">
        <f>IF(AND(J55="",J56=""),4,IF(项目基本情况!K6="上海银行",'结果表(商业)'!J56+1,'结果表(商业)'!J55+1))</f>
        <v>5</v>
      </c>
      <c r="K57" s="3634" t="s">
        <v>1367</v>
      </c>
      <c r="L57" s="2530" t="s">
        <v>1368</v>
      </c>
      <c r="M57" s="2531"/>
      <c r="N57" s="2532">
        <f ca="1">SUMIF(M52:M56,"&lt;9e307")</f>
        <v>5045</v>
      </c>
      <c r="O57" s="2533"/>
      <c r="P57" s="2690">
        <f ca="1">N57/M49</f>
        <v>0.57597899303573463</v>
      </c>
    </row>
    <row r="58" spans="1:35" ht="24.75">
      <c r="A58" s="3456" t="s">
        <v>1352</v>
      </c>
      <c r="B58" s="3595" t="s">
        <v>1369</v>
      </c>
      <c r="C58" s="3569"/>
      <c r="D58" s="3468">
        <f ca="1">IF(H58="转让取得",C81,C97)</f>
        <v>4958</v>
      </c>
      <c r="E58" s="3457" t="s">
        <v>1364</v>
      </c>
      <c r="F58" s="302" t="s">
        <v>28</v>
      </c>
      <c r="G58" s="2555"/>
      <c r="H58" s="2558"/>
      <c r="I58" s="1808"/>
      <c r="J58" s="3634"/>
      <c r="K58" s="3634"/>
      <c r="L58" s="2530" t="s">
        <v>1370</v>
      </c>
      <c r="M58" s="2534"/>
      <c r="N58" s="2535" t="str">
        <f ca="1">NUMBERSTRING(INT(N57*10000),2)&amp;"元整"</f>
        <v>伍仟零肆拾伍万元整</v>
      </c>
      <c r="O58" s="2536"/>
    </row>
    <row r="59" spans="1:35" ht="24.75" thickBot="1">
      <c r="A59" s="3637" t="s">
        <v>1371</v>
      </c>
      <c r="B59" s="3638"/>
      <c r="C59" s="3638"/>
      <c r="D59" s="2560">
        <f ca="1">IF(H59="非个人房产","——",IF(H59="个人住宅（满五唯一有凭证）",0,IF(H59="个人其他（无凭证）",ROUND(D45*F59,0),ROUND(C67*F59,0))))</f>
        <v>83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3466" t="s">
        <v>1368</v>
      </c>
      <c r="M59" s="2537"/>
      <c r="N59" s="2538">
        <f ca="1">M49-N57</f>
        <v>3714</v>
      </c>
      <c r="O59" s="2539"/>
    </row>
    <row r="60" spans="1:35" ht="12" customHeight="1">
      <c r="A60" s="1809"/>
      <c r="B60" s="1747"/>
      <c r="C60" s="1747"/>
      <c r="D60" s="1747"/>
      <c r="E60" s="1578"/>
      <c r="F60" s="1808"/>
      <c r="G60" s="1808"/>
      <c r="H60" s="1810"/>
      <c r="I60" s="129"/>
      <c r="J60" s="3636"/>
      <c r="K60" s="3634"/>
      <c r="L60" s="2530" t="s">
        <v>1370</v>
      </c>
      <c r="M60" s="2534"/>
      <c r="N60" s="2535" t="str">
        <f ca="1">NUMBERSTRING(INT(N59*10000),2)&amp;"元整"</f>
        <v>叁仟柒佰壹拾肆万元整</v>
      </c>
      <c r="O60" s="2536"/>
    </row>
    <row r="61" spans="1:35" ht="13.5" thickBot="1">
      <c r="A61" s="3582" t="s">
        <v>1373</v>
      </c>
      <c r="B61" s="3582"/>
      <c r="C61" s="3582"/>
      <c r="D61" s="3582"/>
      <c r="E61" s="3582"/>
      <c r="F61" s="1808"/>
      <c r="G61" s="1808"/>
      <c r="H61" s="1810"/>
      <c r="I61" s="129"/>
      <c r="J61" s="3466">
        <f>J59+1</f>
        <v>7</v>
      </c>
      <c r="K61" s="3634" t="s">
        <v>1374</v>
      </c>
      <c r="L61" s="3634"/>
      <c r="M61" s="2540"/>
      <c r="N61" s="2541">
        <f ca="1">ROUND(N59*10000/'数据-汇总表'!E3,0)</f>
        <v>506</v>
      </c>
      <c r="O61" s="2542"/>
    </row>
    <row r="62" spans="1:35" ht="12.75">
      <c r="A62" s="3600" t="s">
        <v>1375</v>
      </c>
      <c r="B62" s="3601"/>
      <c r="C62" s="3460"/>
      <c r="D62" s="3460" t="s">
        <v>1376</v>
      </c>
      <c r="E62" s="166" t="s">
        <v>1377</v>
      </c>
      <c r="F62" s="1808"/>
      <c r="G62" s="1808"/>
      <c r="H62" s="1810"/>
      <c r="I62" s="129"/>
    </row>
    <row r="63" spans="1:35" ht="12.75">
      <c r="A63" s="173" t="s">
        <v>330</v>
      </c>
      <c r="B63" s="167" t="s">
        <v>1378</v>
      </c>
      <c r="C63" s="2564">
        <f ca="1">ROUND((C64+C65)/(1+'数据-取费表'!C42),0)</f>
        <v>8342</v>
      </c>
      <c r="D63" s="167"/>
      <c r="E63" s="168"/>
      <c r="F63" s="1808"/>
      <c r="G63" s="1808"/>
      <c r="H63" s="1810"/>
      <c r="I63" s="129"/>
      <c r="J63" s="3659" t="s">
        <v>1379</v>
      </c>
      <c r="K63" s="3469" t="s">
        <v>1380</v>
      </c>
      <c r="L63" s="3469">
        <f ca="1">IF(M49&gt;10000,M49*0.5%,IF(AND(M49&gt;1000,M49&lt;=10000),M49*1%,IF(AND(M49&gt;100,M49&lt;=1000),M49*3%,IF(AND(M49&gt;10,M49&lt;=100),M49*5%,M49*8%))))</f>
        <v>87.59</v>
      </c>
      <c r="M63" s="302">
        <f ca="1">ROUND(L63,1)</f>
        <v>87.6</v>
      </c>
      <c r="N63" s="2543"/>
      <c r="Z63" s="1752"/>
      <c r="AI63" s="1753"/>
    </row>
    <row r="64" spans="1:35" ht="14.25" customHeight="1">
      <c r="A64" s="169" t="s">
        <v>325</v>
      </c>
      <c r="B64" s="170" t="s">
        <v>1381</v>
      </c>
      <c r="C64" s="2565">
        <f ca="1">D45</f>
        <v>8759</v>
      </c>
      <c r="D64" s="170" t="s">
        <v>26</v>
      </c>
      <c r="E64" s="172"/>
      <c r="F64" s="1808"/>
      <c r="G64" s="1808"/>
      <c r="H64" s="1810"/>
      <c r="I64" s="129"/>
      <c r="J64" s="3659"/>
      <c r="K64" s="3469" t="s">
        <v>1382</v>
      </c>
      <c r="L64" s="3469">
        <f ca="1">IF(M49&gt;2000,M49*0.5%,IF(AND(M49&gt;1000,M49&lt;=2000),M49*0.6%,IF(AND(M49&gt;500,M49&lt;=1000),M49*0.7%,IF(AND(M49&gt;200,M49&lt;=500),M49*0.8%,IF(AND(M49&gt;100,M49&lt;=200),M49*0.9%,IF(AND(M49&gt;50,M49&lt;=100),M49*1%,IF(AND(M49&gt;20,M49&lt;=50),M49*1.5%,IF(AND(M49&gt;10,M49&lt;=20),M49*2%,IF(AND(M49&gt;1,M49&lt;=10),M49*2.5%)))))))))</f>
        <v>43.795000000000002</v>
      </c>
      <c r="M64" s="302">
        <f t="shared" ref="M64:M65" ca="1" si="1">ROUND(L64,1)</f>
        <v>43.8</v>
      </c>
      <c r="N64" s="2544" t="s">
        <v>1383</v>
      </c>
      <c r="Z64" s="1752"/>
      <c r="AI64" s="1753"/>
    </row>
    <row r="65" spans="1:35" ht="14.25" customHeight="1">
      <c r="A65" s="169" t="s">
        <v>326</v>
      </c>
      <c r="B65" s="170" t="s">
        <v>1384</v>
      </c>
      <c r="C65" s="2566"/>
      <c r="D65" s="170"/>
      <c r="E65" s="172"/>
      <c r="F65" s="1808"/>
      <c r="G65" s="1808"/>
      <c r="H65" s="1810"/>
      <c r="I65" s="129"/>
      <c r="J65" s="3659"/>
      <c r="K65" s="3469" t="s">
        <v>1385</v>
      </c>
      <c r="L65" s="3469">
        <f ca="1">IF(M49&gt;1000,M49*0.1%,IF(AND(M49&gt;500,M49&lt;=1000),M49*0.5%,IF(AND(M49&gt;50,M49&lt;=500),M49*1%,IF(AND(M49&gt;1,M49&lt;=50),M49*1.5%))))</f>
        <v>8.7590000000000003</v>
      </c>
      <c r="M65" s="302">
        <f t="shared" ca="1" si="1"/>
        <v>8.8000000000000007</v>
      </c>
      <c r="N65" s="2544" t="s">
        <v>1383</v>
      </c>
      <c r="Z65" s="1752"/>
      <c r="AI65" s="1753"/>
    </row>
    <row r="66" spans="1:35" ht="14.25" customHeight="1">
      <c r="A66" s="173" t="s">
        <v>327</v>
      </c>
      <c r="B66" s="174" t="s">
        <v>1386</v>
      </c>
      <c r="C66" s="2567"/>
      <c r="D66" s="174" t="s">
        <v>26</v>
      </c>
      <c r="E66" s="1338" t="s">
        <v>671</v>
      </c>
      <c r="F66" s="1808"/>
      <c r="G66" s="1808"/>
      <c r="H66" s="1810"/>
      <c r="I66" s="129"/>
      <c r="J66" s="3659"/>
      <c r="K66" s="3469" t="s">
        <v>1387</v>
      </c>
      <c r="L66" s="3469">
        <f ca="1">M49*0.5%</f>
        <v>43.795000000000002</v>
      </c>
      <c r="M66" s="302">
        <f ca="1">IF(L66&gt;0.5,0.5,ROUND(L66,0))</f>
        <v>0.5</v>
      </c>
      <c r="N66" s="2544" t="s">
        <v>1388</v>
      </c>
      <c r="Z66" s="1752"/>
      <c r="AI66" s="1753"/>
    </row>
    <row r="67" spans="1:35" ht="14.25" customHeight="1">
      <c r="A67" s="173" t="s">
        <v>328</v>
      </c>
      <c r="B67" s="174" t="s">
        <v>1389</v>
      </c>
      <c r="C67" s="2568">
        <f ca="1">C63-C66</f>
        <v>8342</v>
      </c>
      <c r="D67" s="170" t="s">
        <v>26</v>
      </c>
      <c r="E67" s="172"/>
      <c r="F67" s="1808"/>
      <c r="G67" s="1808"/>
      <c r="H67" s="1810"/>
      <c r="I67" s="129"/>
      <c r="J67" s="3659"/>
      <c r="K67" s="3469" t="s">
        <v>1390</v>
      </c>
      <c r="L67" s="3469">
        <f ca="1">IF(M49&gt;=10000,(8.25+(M49-10000)*0.01%),IF(AND(M49&gt;=8000,M49&lt;10000),(7.85+(M49-8000)*0.02%),IF(AND(M49&gt;=5000,M49&lt;8000),(6.65+(M49-5000)*0.04%),IF(AND(M49&gt;=2000,M49&lt;5000),(4.25+(PM49-2000)*0.08%),IF(AND(M49&gt;=1000,M49&lt;2000),(2.75+(M49-1000)*0.15%),IF(AND(M49&gt;=100,M49&lt;1000),(0.5+(M49-100)*0.25%),IF(AND(M49&gt;0,M49&lt;100),M49*0.5%)))))))</f>
        <v>8.0017999999999994</v>
      </c>
      <c r="M67" s="302">
        <f ca="1">ROUND(L67*0.9,1)</f>
        <v>7.2</v>
      </c>
      <c r="N67" s="2543"/>
      <c r="Z67" s="1752"/>
      <c r="AI67" s="1753"/>
    </row>
    <row r="68" spans="1:35" ht="14.25" customHeight="1" thickBot="1">
      <c r="A68" s="176" t="s">
        <v>329</v>
      </c>
      <c r="B68" s="177" t="s">
        <v>1391</v>
      </c>
      <c r="C68" s="2569">
        <f ca="1">IF(C67&lt;=0,0,ROUND(C67*D68,0))</f>
        <v>467</v>
      </c>
      <c r="D68" s="2570">
        <f>'数据-取费表'!B41</f>
        <v>5.6000000000000001E-2</v>
      </c>
      <c r="E68" s="178"/>
      <c r="F68" s="1808"/>
      <c r="G68" s="1808"/>
      <c r="H68" s="1810"/>
      <c r="I68" s="129"/>
      <c r="J68" s="3659"/>
      <c r="K68" s="3469" t="s">
        <v>1392</v>
      </c>
      <c r="L68" s="3469">
        <f ca="1">IF(M49&gt;10000,M49*0.5%,IF(AND(M49&gt;5000,M49&lt;=10000),M49*1%,IF(AND(M49&gt;1000,M49&lt;=5000),M49*2%,IF(AND(M49&gt;200,M49&lt;=1000),M49*3%,M49*5%))))</f>
        <v>87.59</v>
      </c>
      <c r="M68" s="302">
        <f ca="1">ROUND(L68,1)</f>
        <v>87.6</v>
      </c>
      <c r="N68" s="2543"/>
      <c r="Z68" s="1752"/>
      <c r="AI68" s="1753"/>
    </row>
    <row r="69" spans="1:35" s="1772" customFormat="1" ht="16.5" customHeight="1">
      <c r="A69" s="1811"/>
      <c r="B69" s="1812"/>
      <c r="C69" s="1813"/>
      <c r="D69" s="1814"/>
      <c r="E69" s="1815"/>
      <c r="F69" s="1578"/>
      <c r="G69" s="1578"/>
      <c r="H69" s="1577"/>
      <c r="I69" s="1747"/>
      <c r="J69" s="3659"/>
      <c r="K69" s="3469" t="s">
        <v>1393</v>
      </c>
      <c r="L69" s="3469"/>
      <c r="M69" s="302">
        <f ca="1">ROUND(SUM(M63:M68),0)</f>
        <v>236</v>
      </c>
      <c r="N69" s="2545">
        <f ca="1">M69/M49</f>
        <v>2.694371503596301E-2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8342</v>
      </c>
      <c r="D72" s="170" t="s">
        <v>26</v>
      </c>
      <c r="E72" s="3459"/>
      <c r="F72" s="3452"/>
      <c r="G72" s="3452"/>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50</v>
      </c>
      <c r="D73" s="170" t="s">
        <v>26</v>
      </c>
      <c r="E73" s="3459"/>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9"/>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68"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50</v>
      </c>
      <c r="D78" s="2577">
        <f>'数据-取费表'!B43</f>
        <v>6.000000000000001E-3</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8292</v>
      </c>
      <c r="D79" s="170" t="s">
        <v>26</v>
      </c>
      <c r="E79" s="3459"/>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165.84</v>
      </c>
      <c r="D80" s="170" t="s">
        <v>26</v>
      </c>
      <c r="E80" s="3468" t="str">
        <f ca="1">IF(C80&gt;=200%,"增值额超过扣除项目金额200%",IF(C80&gt;=100%,"增值额超过扣除项目金额100%，未超过200%",IF(C80&gt;=50%,"增值额超过扣除项目金额50%，未超过100%",IF(C80&lt;50%,"增值额未超过扣除项目金额50%"))))</f>
        <v>增值额超过扣除项目金额200%</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4958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8342</v>
      </c>
      <c r="D85" s="170" t="s">
        <v>26</v>
      </c>
      <c r="E85" s="3459"/>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50</v>
      </c>
      <c r="D86" s="2581"/>
      <c r="E86" s="3459"/>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3"/>
      <c r="F87" s="3454"/>
      <c r="G87" s="3454"/>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4"/>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4"/>
      <c r="G89" s="3454"/>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4"/>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50</v>
      </c>
      <c r="D93" s="2577">
        <f>'数据-取费表'!B43</f>
        <v>6.000000000000001E-3</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8292</v>
      </c>
      <c r="D95" s="170" t="s">
        <v>26</v>
      </c>
      <c r="E95" s="3459"/>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165.84</v>
      </c>
      <c r="D96" s="170" t="s">
        <v>26</v>
      </c>
      <c r="E96" s="3468" t="str">
        <f ca="1">IF(C96&gt;=200%,"增值额超过扣除项目金额200%",IF(C96&gt;=100%,"增值额超过扣除项目金额100%，未超过200%",IF(C96&gt;=50%,"增值额超过扣除项目金额50%，未超过100%",IF(C96&lt;50%,"增值额未超过扣除项目金额50%"))))</f>
        <v>增值额超过扣除项目金额200%</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4958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t="str">
        <f>C4</f>
        <v>比较法-商业</v>
      </c>
      <c r="D101" s="2586" t="str">
        <f>D4</f>
        <v>收益法(商业)</v>
      </c>
      <c r="E101" s="3656" t="s">
        <v>1431</v>
      </c>
      <c r="F101" s="3613"/>
      <c r="G101" s="1827" t="s">
        <v>1432</v>
      </c>
      <c r="H101" s="2595">
        <f ca="1">H118</f>
        <v>8759</v>
      </c>
      <c r="I101" s="129"/>
    </row>
    <row r="102" spans="1:35" ht="18.75" customHeight="1">
      <c r="A102" s="3615" t="s">
        <v>1433</v>
      </c>
      <c r="B102" s="2584" t="s">
        <v>1432</v>
      </c>
      <c r="C102" s="2585">
        <f ca="1">IF(D32="楼面单价",ROUND(C19,0),C19)</f>
        <v>9724</v>
      </c>
      <c r="D102" s="2586">
        <f ca="1">IF(D32="楼面单价",ROUND(D19,0),D19)</f>
        <v>6506</v>
      </c>
      <c r="E102" s="3656"/>
      <c r="F102" s="3613"/>
      <c r="G102" s="1827" t="s">
        <v>1434</v>
      </c>
      <c r="H102" s="2555">
        <f ca="1">I118</f>
        <v>36029</v>
      </c>
      <c r="I102" s="129"/>
    </row>
    <row r="103" spans="1:35" ht="42.75" customHeight="1">
      <c r="A103" s="3615"/>
      <c r="B103" s="2584" t="s">
        <v>1434</v>
      </c>
      <c r="C103" s="2587">
        <f ca="1">C20</f>
        <v>40000</v>
      </c>
      <c r="D103" s="2588">
        <f ca="1">D20</f>
        <v>26762</v>
      </c>
      <c r="E103" s="3650" t="s">
        <v>1435</v>
      </c>
      <c r="F103" s="3651"/>
      <c r="G103" s="1828" t="s">
        <v>1436</v>
      </c>
      <c r="H103" s="2595">
        <f>IF(D36="正常操作",H104+H105+H106,H105+H106)</f>
        <v>0</v>
      </c>
      <c r="I103" s="129"/>
    </row>
    <row r="104" spans="1:35" ht="18.75" customHeight="1">
      <c r="A104" s="3615" t="s">
        <v>1437</v>
      </c>
      <c r="B104" s="2589" t="s">
        <v>1432</v>
      </c>
      <c r="C104" s="2590">
        <f ca="1">H118</f>
        <v>8759</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f ca="1">I118</f>
        <v>36029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f ca="1">IF(E107="——","——",H101-H103)</f>
        <v>8759</v>
      </c>
      <c r="I107" s="129"/>
    </row>
    <row r="108" spans="1:35" ht="18.75" customHeight="1">
      <c r="A108" s="129"/>
      <c r="B108" s="129"/>
      <c r="C108" s="129"/>
      <c r="D108" s="129"/>
      <c r="E108" s="3612"/>
      <c r="F108" s="3613"/>
      <c r="G108" s="1827" t="s">
        <v>1434</v>
      </c>
      <c r="H108" s="2555">
        <f ca="1">IF(H107=H101,H102,ROUND(H107*10000/'数据-汇总表'!E3,0))</f>
        <v>36029</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3455" t="s">
        <v>1449</v>
      </c>
      <c r="E117" s="3455" t="s">
        <v>1450</v>
      </c>
      <c r="F117" s="3455" t="s">
        <v>1449</v>
      </c>
      <c r="G117" s="3455" t="s">
        <v>1451</v>
      </c>
      <c r="H117" s="3455" t="s">
        <v>1449</v>
      </c>
      <c r="I117" s="3455" t="s">
        <v>1451</v>
      </c>
    </row>
    <row r="118" spans="1:27" ht="24.75" customHeight="1">
      <c r="A118" s="2600" t="str">
        <f>项目基本情况!S2</f>
        <v>房地产</v>
      </c>
      <c r="B118" s="3455">
        <f>M18</f>
        <v>2431.09</v>
      </c>
      <c r="C118" s="3455">
        <f>M19</f>
        <v>0</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f ca="1">ROUND(IF(D32="总价",C32,I118*B118/10000),0)</f>
        <v>8759</v>
      </c>
      <c r="I118" s="3455">
        <f ca="1">ROUND(IF(D32="楼面单价",C32,H118*10000/B118),0)</f>
        <v>36029</v>
      </c>
    </row>
    <row r="119" spans="1:27" ht="18.75" customHeight="1">
      <c r="A119" s="3583" t="s">
        <v>1452</v>
      </c>
      <c r="B119" s="3583"/>
      <c r="C119" s="3583"/>
      <c r="D119" s="3623" t="e">
        <f ca="1">NUMBERSTRING(INT(D118*10000),2)&amp;"元整"</f>
        <v>#REF!</v>
      </c>
      <c r="E119" s="3625"/>
      <c r="F119" s="3623" t="e">
        <f ca="1">NUMBERSTRING(INT(F118*10000),2)&amp;"元整"</f>
        <v>#REF!</v>
      </c>
      <c r="G119" s="3625"/>
      <c r="H119" s="3623" t="str">
        <f ca="1">NUMBERSTRING(INT(H118*10000),2)&amp;"元整"</f>
        <v>捌仟柒佰伍拾玖万元整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f ca="1">H107</f>
        <v>8759</v>
      </c>
      <c r="E122" s="3648"/>
      <c r="F122" s="3648"/>
      <c r="G122" s="3648"/>
      <c r="H122" s="3648"/>
      <c r="I122" s="3649"/>
      <c r="AA122" s="725"/>
    </row>
    <row r="123" spans="1:27" ht="18.75" customHeight="1">
      <c r="A123" s="3583" t="s">
        <v>1452</v>
      </c>
      <c r="B123" s="3583"/>
      <c r="C123" s="3583"/>
      <c r="D123" s="3623" t="str">
        <f ca="1">NUMBERSTRING(INT(D122*10000),2)&amp;"元整"</f>
        <v>捌仟柒佰伍拾玖万元整</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估价对象为房地产，为所有。根据《国有土地使用证》[]，估价对象（分摊）出让国有建设用地使用权面积为0平方米，建筑面积为73388.16平方米。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估价对象为房地产,属开发建设的，该项目尚在开发建设中。根据《国有土地使用证》[]，估价对象（分摊）出让国有建设用地使用权面积为0平方米，规划建筑面积为73388.16平方米。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E3" sqref="E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3583</v>
      </c>
      <c r="F1" s="1879" t="s">
        <v>3584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9724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40000</v>
      </c>
      <c r="C3" s="354" t="s">
        <v>1768</v>
      </c>
      <c r="D3" s="353">
        <f>IF(D1="",'数据-汇总表'!E3,SUMIF('数据-汇总表'!$C19:$C33,D1,'数据-汇总表'!$E19:$E33))</f>
        <v>2431.09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47" t="s">
        <v>1775</v>
      </c>
      <c r="Q4" s="3748"/>
      <c r="R4" s="3751" t="s">
        <v>1771</v>
      </c>
      <c r="S4" s="3752"/>
      <c r="T4" s="3751" t="s">
        <v>1772</v>
      </c>
      <c r="U4" s="3752"/>
      <c r="V4" s="3698" t="s">
        <v>1773</v>
      </c>
      <c r="W4" s="3698"/>
      <c r="X4" s="1355"/>
      <c r="Y4" s="3751" t="s">
        <v>1775</v>
      </c>
      <c r="Z4" s="3752"/>
      <c r="AA4" s="3746" t="s">
        <v>1771</v>
      </c>
      <c r="AB4" s="3698" t="s">
        <v>1772</v>
      </c>
      <c r="AC4" s="3746" t="s">
        <v>1773</v>
      </c>
    </row>
    <row r="5" spans="1:29" ht="15">
      <c r="A5" s="358"/>
      <c r="B5" s="359"/>
      <c r="C5" s="3701" t="s">
        <v>1673</v>
      </c>
      <c r="D5" s="3702"/>
      <c r="E5" s="3712" t="s">
        <v>1674</v>
      </c>
      <c r="F5" s="3713"/>
      <c r="G5" s="3701" t="s">
        <v>1675</v>
      </c>
      <c r="H5" s="3702"/>
      <c r="I5" s="3701" t="s">
        <v>1676</v>
      </c>
      <c r="J5" s="3702"/>
      <c r="K5" s="559"/>
      <c r="L5" s="2715"/>
      <c r="M5" s="2716"/>
      <c r="N5" s="2716"/>
      <c r="O5" s="2716"/>
      <c r="P5" s="3749"/>
      <c r="Q5" s="3688"/>
      <c r="R5" s="3693"/>
      <c r="S5" s="3694"/>
      <c r="T5" s="3693"/>
      <c r="U5" s="3694"/>
      <c r="V5" s="3698"/>
      <c r="W5" s="3698"/>
      <c r="X5" s="1355"/>
      <c r="Y5" s="3693"/>
      <c r="Z5" s="3694"/>
      <c r="AA5" s="3710"/>
      <c r="AB5" s="3698"/>
      <c r="AC5" s="3710"/>
    </row>
    <row r="6" spans="1:29" ht="15.75" thickBot="1">
      <c r="A6" s="360"/>
      <c r="B6" s="361"/>
      <c r="C6" s="3699" t="s">
        <v>1677</v>
      </c>
      <c r="D6" s="3700"/>
      <c r="E6" s="3707" t="s">
        <v>1677</v>
      </c>
      <c r="F6" s="3708"/>
      <c r="G6" s="3699" t="s">
        <v>1677</v>
      </c>
      <c r="H6" s="3700"/>
      <c r="I6" s="3699" t="s">
        <v>1677</v>
      </c>
      <c r="J6" s="3700"/>
      <c r="K6" s="559" t="s">
        <v>1678</v>
      </c>
      <c r="L6" s="2715"/>
      <c r="M6" s="2716"/>
      <c r="N6" s="2716"/>
      <c r="O6" s="2716"/>
      <c r="P6" s="3750"/>
      <c r="Q6" s="3690"/>
      <c r="R6" s="3693"/>
      <c r="S6" s="3694"/>
      <c r="T6" s="3695"/>
      <c r="U6" s="3696"/>
      <c r="V6" s="3698"/>
      <c r="W6" s="3698"/>
      <c r="X6" s="1355"/>
      <c r="Y6" s="3695"/>
      <c r="Z6" s="3696"/>
      <c r="AA6" s="3711"/>
      <c r="AB6" s="3698"/>
      <c r="AC6" s="3711"/>
    </row>
    <row r="7" spans="1:29" s="108" customFormat="1" ht="15.75" thickBot="1">
      <c r="A7" s="362" t="s">
        <v>1679</v>
      </c>
      <c r="B7" s="363"/>
      <c r="C7" s="364">
        <f>'数据-取费表'!B2</f>
        <v>45372</v>
      </c>
      <c r="D7" s="365">
        <v>100</v>
      </c>
      <c r="E7" s="366">
        <f>C7</f>
        <v>45372</v>
      </c>
      <c r="F7" s="367">
        <f>SUMIF(58:58,YEAR(E7)&amp;"-"&amp;MONTH(E7),59:59)</f>
        <v>100</v>
      </c>
      <c r="G7" s="366">
        <f>C7</f>
        <v>45372</v>
      </c>
      <c r="H7" s="365">
        <f>SUMIF(58:58,YEAR(G7)&amp;"-"&amp;MONTH(G7),59:59)</f>
        <v>100</v>
      </c>
      <c r="I7" s="366">
        <f>C7</f>
        <v>45372</v>
      </c>
      <c r="J7" s="365">
        <f>SUMIF(58:58,YEAR(I7)&amp;"-"&amp;MONTH(I7),59:59)</f>
        <v>100</v>
      </c>
      <c r="K7" s="560"/>
      <c r="L7" s="2717"/>
      <c r="M7" s="2718"/>
      <c r="N7" s="2718"/>
      <c r="O7" s="2718"/>
      <c r="P7" s="3705" t="s">
        <v>1680</v>
      </c>
      <c r="Q7" s="3706"/>
      <c r="R7" s="701" t="s">
        <v>14</v>
      </c>
      <c r="S7" s="702">
        <f t="shared" ref="S7:S15" si="0">F7</f>
        <v>100</v>
      </c>
      <c r="T7" s="701" t="s">
        <v>14</v>
      </c>
      <c r="U7" s="702">
        <f t="shared" ref="U7:U15" si="1">H7</f>
        <v>100</v>
      </c>
      <c r="V7" s="701" t="s">
        <v>14</v>
      </c>
      <c r="W7" s="702">
        <f t="shared" ref="W7:W15" si="2">J7</f>
        <v>100</v>
      </c>
      <c r="X7" s="703"/>
      <c r="Y7" s="3705" t="s">
        <v>1680</v>
      </c>
      <c r="Z7" s="3704"/>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5" t="s">
        <v>1683</v>
      </c>
      <c r="Q8" s="3704"/>
      <c r="R8" s="701" t="s">
        <v>14</v>
      </c>
      <c r="S8" s="702">
        <f t="shared" si="0"/>
        <v>100</v>
      </c>
      <c r="T8" s="701" t="s">
        <v>14</v>
      </c>
      <c r="U8" s="702">
        <f t="shared" si="1"/>
        <v>100</v>
      </c>
      <c r="V8" s="701" t="s">
        <v>14</v>
      </c>
      <c r="W8" s="702">
        <f t="shared" si="2"/>
        <v>100</v>
      </c>
      <c r="X8" s="703"/>
      <c r="Y8" s="3705" t="s">
        <v>1683</v>
      </c>
      <c r="Z8" s="370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3"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3"/>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3"/>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3"/>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3"/>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3"/>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9"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0"/>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0"/>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0"/>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0"/>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0"/>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0"/>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0"/>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0"/>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0"/>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0"/>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0"/>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0"/>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0"/>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0"/>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0"/>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74"/>
      <c r="Q33" s="707" t="str">
        <f t="shared" si="11"/>
        <v>项目建筑规模</v>
      </c>
      <c r="R33" s="708" t="s">
        <v>14</v>
      </c>
      <c r="S33" s="709">
        <f t="shared" si="12"/>
        <v>100</v>
      </c>
      <c r="T33" s="708" t="s">
        <v>14</v>
      </c>
      <c r="U33" s="709">
        <f t="shared" si="13"/>
        <v>100</v>
      </c>
      <c r="V33" s="708" t="s">
        <v>14</v>
      </c>
      <c r="W33" s="709">
        <f t="shared" si="14"/>
        <v>100</v>
      </c>
      <c r="X33" s="710"/>
      <c r="Y33" s="3676"/>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f>'数据-取费表'!N6</f>
        <v>0.87</v>
      </c>
      <c r="D36" s="386">
        <v>100</v>
      </c>
      <c r="E36" s="425">
        <f>C36</f>
        <v>0.87</v>
      </c>
      <c r="F36" s="412">
        <f>LOOKUP(E36,110:110,111:111)-LOOKUP(C36,110:110,111:111)+100</f>
        <v>100</v>
      </c>
      <c r="G36" s="425">
        <f>C36</f>
        <v>0.87</v>
      </c>
      <c r="H36" s="412">
        <f>LOOKUP(G36,110:110,111:111)-LOOKUP(C36,110:110,111:111)+100</f>
        <v>100</v>
      </c>
      <c r="I36" s="425">
        <f>C36</f>
        <v>0.87</v>
      </c>
      <c r="J36" s="386">
        <f>LOOKUP(I36,110:110,111:111)-LOOKUP(C36,110:110,111:111)+100</f>
        <v>100</v>
      </c>
      <c r="K36" s="561"/>
      <c r="L36" s="2722"/>
      <c r="M36" s="2716"/>
      <c r="N36" s="2716"/>
      <c r="O36" s="2716"/>
      <c r="P36" s="3674"/>
      <c r="Q36" s="1352" t="str">
        <f t="shared" si="11"/>
        <v>成新度</v>
      </c>
      <c r="R36" s="705" t="s">
        <v>14</v>
      </c>
      <c r="S36" s="706">
        <f t="shared" si="12"/>
        <v>100</v>
      </c>
      <c r="T36" s="705" t="s">
        <v>14</v>
      </c>
      <c r="U36" s="706">
        <f t="shared" si="13"/>
        <v>100</v>
      </c>
      <c r="V36" s="705" t="s">
        <v>14</v>
      </c>
      <c r="W36" s="706">
        <f t="shared" si="14"/>
        <v>100</v>
      </c>
      <c r="X36" s="1355"/>
      <c r="Y36" s="3676"/>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v>40000</v>
      </c>
      <c r="F47" s="1157"/>
      <c r="G47" s="1158">
        <f>E47</f>
        <v>40000</v>
      </c>
      <c r="H47" s="1159"/>
      <c r="I47" s="1156">
        <f>E47</f>
        <v>40000</v>
      </c>
      <c r="J47" s="1159"/>
      <c r="K47" s="714"/>
      <c r="L47" s="2724"/>
      <c r="M47" s="2725"/>
      <c r="N47" s="2716"/>
      <c r="O47" s="2725"/>
      <c r="P47" s="3664" t="str">
        <f>A47</f>
        <v>成交单价（元/平方米）</v>
      </c>
      <c r="Q47" s="3664"/>
      <c r="R47" s="3698">
        <f>E47</f>
        <v>40000</v>
      </c>
      <c r="S47" s="3698"/>
      <c r="T47" s="3698">
        <f>G47</f>
        <v>40000</v>
      </c>
      <c r="U47" s="3698"/>
      <c r="V47" s="3698">
        <f>I47</f>
        <v>40000</v>
      </c>
      <c r="W47" s="3698"/>
      <c r="X47" s="690"/>
      <c r="Y47" s="712"/>
      <c r="Z47" s="690"/>
      <c r="AA47" s="690"/>
      <c r="AB47" s="690"/>
      <c r="AC47" s="690"/>
    </row>
    <row r="48" spans="1:29" ht="15.75" thickBot="1">
      <c r="A48" s="437" t="s">
        <v>1793</v>
      </c>
      <c r="B48" s="438"/>
      <c r="C48" s="1160">
        <f>R49</f>
        <v>40000</v>
      </c>
      <c r="D48" s="2317" t="s">
        <v>2138</v>
      </c>
      <c r="E48" s="1161">
        <f>R48</f>
        <v>40000</v>
      </c>
      <c r="F48" s="2318"/>
      <c r="G48" s="1160">
        <f>T48</f>
        <v>40000</v>
      </c>
      <c r="H48" s="2318"/>
      <c r="I48" s="1161">
        <f>V48</f>
        <v>40000</v>
      </c>
      <c r="J48" s="2318"/>
      <c r="K48" s="2320">
        <f>F48+H48+J48</f>
        <v>0</v>
      </c>
      <c r="L48" s="2724"/>
      <c r="M48" s="2725"/>
      <c r="N48" s="2716"/>
      <c r="O48" s="2725"/>
      <c r="P48" s="3664" t="str">
        <f>A48</f>
        <v>比较价值（元/平方米）</v>
      </c>
      <c r="Q48" s="3664"/>
      <c r="R48" s="3665">
        <f>IF(F1="售价",ROUND(PRODUCT(R47,AA7:AA46),0),ROUND(PRODUCT(R47,AA7:AA46),1))</f>
        <v>40000</v>
      </c>
      <c r="S48" s="3665"/>
      <c r="T48" s="3665">
        <f>IF(F1="售价",ROUND(PRODUCT(T47,AB7:AB46),0),ROUND(PRODUCT(T47,AB7:AB46),1))</f>
        <v>40000</v>
      </c>
      <c r="U48" s="3665"/>
      <c r="V48" s="3665">
        <f>IF(F1="售价",ROUND(PRODUCT(V47,AC7:AC46),0),ROUND(PRODUCT(V47,AC7:AC46),1))</f>
        <v>40000</v>
      </c>
      <c r="W48" s="3665"/>
      <c r="X48" s="690"/>
      <c r="Y48" s="690"/>
      <c r="Z48" s="690"/>
      <c r="AA48" s="690"/>
      <c r="AB48" s="690"/>
      <c r="AC48" s="690"/>
    </row>
    <row r="49" spans="1:29" ht="15.75" thickBot="1">
      <c r="A49" s="441" t="s">
        <v>1794</v>
      </c>
      <c r="B49" s="442"/>
      <c r="C49" s="1163">
        <f>R49</f>
        <v>40000</v>
      </c>
      <c r="D49" s="1163"/>
      <c r="E49" s="1163"/>
      <c r="F49" s="1163"/>
      <c r="G49" s="1163"/>
      <c r="H49" s="1163"/>
      <c r="I49" s="1163"/>
      <c r="J49" s="1163"/>
      <c r="K49" s="715"/>
      <c r="L49" s="2724"/>
      <c r="M49" s="2725"/>
      <c r="N49" s="2716"/>
      <c r="O49" s="2725"/>
      <c r="P49" s="3743" t="str">
        <f>A49</f>
        <v>估价对象XX用房的比较价值（楼面单价，元/平方米）</v>
      </c>
      <c r="Q49" s="3744"/>
      <c r="R49" s="3745">
        <f>IF(F1="售价",ROUND(IF(D48="简单平均",AVERAGE(R48:V48),R48*F48+T48*H48+V48*J48),0),ROUND(IF(D48="简单平均",AVERAGE(R48:V48),R48*F48+T48*H48+V48*J48),1))</f>
        <v>40000</v>
      </c>
      <c r="S49" s="3745"/>
      <c r="T49" s="3745"/>
      <c r="U49" s="3745"/>
      <c r="V49" s="3745"/>
      <c r="W49" s="374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73388.159999999989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747" t="s">
        <v>1775</v>
      </c>
      <c r="Q4" s="3748"/>
      <c r="R4" s="3751" t="s">
        <v>1771</v>
      </c>
      <c r="S4" s="3752"/>
      <c r="T4" s="3751" t="s">
        <v>1772</v>
      </c>
      <c r="U4" s="3752"/>
      <c r="V4" s="3698" t="s">
        <v>1773</v>
      </c>
      <c r="W4" s="3698"/>
      <c r="X4" s="1355"/>
      <c r="Y4" s="3751" t="s">
        <v>1775</v>
      </c>
      <c r="Z4" s="3752"/>
      <c r="AA4" s="3746" t="s">
        <v>1771</v>
      </c>
      <c r="AB4" s="3710" t="s">
        <v>1772</v>
      </c>
      <c r="AC4" s="3746" t="s">
        <v>1773</v>
      </c>
    </row>
    <row r="5" spans="1:29" ht="15">
      <c r="A5" s="358"/>
      <c r="B5" s="359"/>
      <c r="C5" s="3701" t="s">
        <v>1673</v>
      </c>
      <c r="D5" s="3702"/>
      <c r="E5" s="3712" t="s">
        <v>1674</v>
      </c>
      <c r="F5" s="3713"/>
      <c r="G5" s="3701" t="s">
        <v>1675</v>
      </c>
      <c r="H5" s="3702"/>
      <c r="I5" s="3701" t="s">
        <v>1676</v>
      </c>
      <c r="J5" s="3702"/>
      <c r="K5" s="559"/>
      <c r="L5" s="913"/>
      <c r="M5" s="914"/>
      <c r="N5" s="914"/>
      <c r="O5" s="914"/>
      <c r="P5" s="3749"/>
      <c r="Q5" s="3688"/>
      <c r="R5" s="3693"/>
      <c r="S5" s="3694"/>
      <c r="T5" s="3693"/>
      <c r="U5" s="3694"/>
      <c r="V5" s="3698"/>
      <c r="W5" s="3698"/>
      <c r="X5" s="1355"/>
      <c r="Y5" s="3693"/>
      <c r="Z5" s="3694"/>
      <c r="AA5" s="3710"/>
      <c r="AB5" s="3710"/>
      <c r="AC5" s="3710"/>
    </row>
    <row r="6" spans="1:29" ht="15.75" thickBot="1">
      <c r="A6" s="360"/>
      <c r="B6" s="361"/>
      <c r="C6" s="3699" t="s">
        <v>1677</v>
      </c>
      <c r="D6" s="3700"/>
      <c r="E6" s="3707" t="s">
        <v>1677</v>
      </c>
      <c r="F6" s="3708"/>
      <c r="G6" s="3699" t="s">
        <v>1677</v>
      </c>
      <c r="H6" s="3700"/>
      <c r="I6" s="3699" t="s">
        <v>1677</v>
      </c>
      <c r="J6" s="3700"/>
      <c r="K6" s="559" t="s">
        <v>1678</v>
      </c>
      <c r="L6" s="913"/>
      <c r="M6" s="914"/>
      <c r="N6" s="914"/>
      <c r="O6" s="914"/>
      <c r="P6" s="3750"/>
      <c r="Q6" s="3690"/>
      <c r="R6" s="3693"/>
      <c r="S6" s="3694"/>
      <c r="T6" s="3695"/>
      <c r="U6" s="3696"/>
      <c r="V6" s="3698"/>
      <c r="W6" s="3698"/>
      <c r="X6" s="1355"/>
      <c r="Y6" s="3695"/>
      <c r="Z6" s="3696"/>
      <c r="AA6" s="3711"/>
      <c r="AB6" s="3711"/>
      <c r="AC6" s="3711"/>
    </row>
    <row r="7" spans="1:29" s="108" customFormat="1" ht="15.75" thickBot="1">
      <c r="A7" s="362" t="s">
        <v>1679</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6"/>
      <c r="R7" s="701" t="s">
        <v>14</v>
      </c>
      <c r="S7" s="702">
        <f t="shared" ref="S7:S15" si="0">F7</f>
        <v>0</v>
      </c>
      <c r="T7" s="701" t="s">
        <v>14</v>
      </c>
      <c r="U7" s="702">
        <f t="shared" ref="U7:U15" si="1">H7</f>
        <v>0</v>
      </c>
      <c r="V7" s="701" t="s">
        <v>14</v>
      </c>
      <c r="W7" s="702">
        <f t="shared" ref="W7:W15" si="2">J7</f>
        <v>0</v>
      </c>
      <c r="X7" s="703"/>
      <c r="Y7" s="3705" t="s">
        <v>1680</v>
      </c>
      <c r="Z7" s="370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4"/>
      <c r="R8" s="701" t="s">
        <v>14</v>
      </c>
      <c r="S8" s="702">
        <f t="shared" si="0"/>
        <v>100</v>
      </c>
      <c r="T8" s="701" t="s">
        <v>14</v>
      </c>
      <c r="U8" s="702">
        <f t="shared" si="1"/>
        <v>100</v>
      </c>
      <c r="V8" s="701" t="s">
        <v>14</v>
      </c>
      <c r="W8" s="702">
        <f t="shared" si="2"/>
        <v>100</v>
      </c>
      <c r="X8" s="703"/>
      <c r="Y8" s="3705" t="s">
        <v>1683</v>
      </c>
      <c r="Z8" s="370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47" t="s">
        <v>1775</v>
      </c>
      <c r="Q4" s="3748"/>
      <c r="R4" s="3751" t="s">
        <v>1771</v>
      </c>
      <c r="S4" s="3752"/>
      <c r="T4" s="3751" t="s">
        <v>1772</v>
      </c>
      <c r="U4" s="3752"/>
      <c r="V4" s="3698" t="s">
        <v>1773</v>
      </c>
      <c r="W4" s="3698"/>
      <c r="X4" s="1355"/>
      <c r="Y4" s="3751" t="s">
        <v>1775</v>
      </c>
      <c r="Z4" s="3752"/>
      <c r="AA4" s="3746" t="s">
        <v>1771</v>
      </c>
      <c r="AB4" s="3710" t="s">
        <v>1772</v>
      </c>
      <c r="AC4" s="3746" t="s">
        <v>1773</v>
      </c>
    </row>
    <row r="5" spans="1:29" ht="15">
      <c r="A5" s="358"/>
      <c r="B5" s="359"/>
      <c r="C5" s="3701" t="s">
        <v>1673</v>
      </c>
      <c r="D5" s="3702"/>
      <c r="E5" s="3712" t="s">
        <v>1674</v>
      </c>
      <c r="F5" s="3713"/>
      <c r="G5" s="3701" t="s">
        <v>1675</v>
      </c>
      <c r="H5" s="3702"/>
      <c r="I5" s="3701" t="s">
        <v>1676</v>
      </c>
      <c r="J5" s="3702"/>
      <c r="K5" s="559"/>
      <c r="L5" s="2715"/>
      <c r="M5" s="2716"/>
      <c r="N5" s="2716"/>
      <c r="O5" s="2716"/>
      <c r="P5" s="3749"/>
      <c r="Q5" s="3688"/>
      <c r="R5" s="3693"/>
      <c r="S5" s="3694"/>
      <c r="T5" s="3693"/>
      <c r="U5" s="3694"/>
      <c r="V5" s="3698"/>
      <c r="W5" s="3698"/>
      <c r="X5" s="1355"/>
      <c r="Y5" s="3693"/>
      <c r="Z5" s="3694"/>
      <c r="AA5" s="3710"/>
      <c r="AB5" s="3710"/>
      <c r="AC5" s="3710"/>
    </row>
    <row r="6" spans="1:29" ht="15.75" thickBot="1">
      <c r="A6" s="360"/>
      <c r="B6" s="361"/>
      <c r="C6" s="3699" t="s">
        <v>1677</v>
      </c>
      <c r="D6" s="3700"/>
      <c r="E6" s="3707" t="s">
        <v>1677</v>
      </c>
      <c r="F6" s="3708"/>
      <c r="G6" s="3699" t="s">
        <v>1677</v>
      </c>
      <c r="H6" s="3700"/>
      <c r="I6" s="3699" t="s">
        <v>1677</v>
      </c>
      <c r="J6" s="3700"/>
      <c r="K6" s="559" t="s">
        <v>1678</v>
      </c>
      <c r="L6" s="2715"/>
      <c r="M6" s="2716"/>
      <c r="N6" s="2716"/>
      <c r="O6" s="2716"/>
      <c r="P6" s="3750"/>
      <c r="Q6" s="3690"/>
      <c r="R6" s="3693"/>
      <c r="S6" s="3694"/>
      <c r="T6" s="3695"/>
      <c r="U6" s="3696"/>
      <c r="V6" s="3698"/>
      <c r="W6" s="3698"/>
      <c r="X6" s="1355"/>
      <c r="Y6" s="3695"/>
      <c r="Z6" s="3696"/>
      <c r="AA6" s="3711"/>
      <c r="AB6" s="3711"/>
      <c r="AC6" s="3711"/>
    </row>
    <row r="7" spans="1:29" s="108" customFormat="1" ht="15.75" thickBot="1">
      <c r="A7" s="362" t="s">
        <v>1679</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5" t="s">
        <v>1680</v>
      </c>
      <c r="Q7" s="3706"/>
      <c r="R7" s="701" t="s">
        <v>14</v>
      </c>
      <c r="S7" s="702">
        <f t="shared" ref="S7:S14" si="0">F7</f>
        <v>0</v>
      </c>
      <c r="T7" s="701" t="s">
        <v>14</v>
      </c>
      <c r="U7" s="702">
        <f t="shared" ref="U7:U14" si="1">H7</f>
        <v>0</v>
      </c>
      <c r="V7" s="701" t="s">
        <v>14</v>
      </c>
      <c r="W7" s="702">
        <f t="shared" ref="W7:W14" si="2">J7</f>
        <v>0</v>
      </c>
      <c r="X7" s="703"/>
      <c r="Y7" s="3705" t="s">
        <v>1680</v>
      </c>
      <c r="Z7" s="370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5" t="s">
        <v>1683</v>
      </c>
      <c r="Q8" s="3704"/>
      <c r="R8" s="701" t="s">
        <v>14</v>
      </c>
      <c r="S8" s="702">
        <f t="shared" si="0"/>
        <v>100</v>
      </c>
      <c r="T8" s="701" t="s">
        <v>14</v>
      </c>
      <c r="U8" s="702">
        <f t="shared" si="1"/>
        <v>100</v>
      </c>
      <c r="V8" s="701" t="s">
        <v>14</v>
      </c>
      <c r="W8" s="702">
        <f t="shared" si="2"/>
        <v>100</v>
      </c>
      <c r="X8" s="703"/>
      <c r="Y8" s="3705" t="s">
        <v>1683</v>
      </c>
      <c r="Z8" s="37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3" t="str">
        <f>A39</f>
        <v>估价对象XX用房的比较价值（楼面单价，元/平方米）</v>
      </c>
      <c r="Q39" s="3744"/>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47" t="s">
        <v>1775</v>
      </c>
      <c r="Q4" s="3748"/>
      <c r="R4" s="3751" t="s">
        <v>1771</v>
      </c>
      <c r="S4" s="3752"/>
      <c r="T4" s="3751" t="s">
        <v>1772</v>
      </c>
      <c r="U4" s="3752"/>
      <c r="V4" s="3698" t="s">
        <v>1773</v>
      </c>
      <c r="W4" s="3698"/>
      <c r="X4" s="1355"/>
      <c r="Y4" s="3751" t="s">
        <v>1775</v>
      </c>
      <c r="Z4" s="3752"/>
      <c r="AA4" s="3746" t="s">
        <v>1771</v>
      </c>
      <c r="AB4" s="3710" t="s">
        <v>1772</v>
      </c>
      <c r="AC4" s="3746" t="s">
        <v>1773</v>
      </c>
    </row>
    <row r="5" spans="1:29" ht="15">
      <c r="A5" s="358"/>
      <c r="B5" s="359"/>
      <c r="C5" s="3701" t="s">
        <v>1673</v>
      </c>
      <c r="D5" s="3702"/>
      <c r="E5" s="3712" t="s">
        <v>1674</v>
      </c>
      <c r="F5" s="3713"/>
      <c r="G5" s="3701" t="s">
        <v>1675</v>
      </c>
      <c r="H5" s="3702"/>
      <c r="I5" s="3701" t="s">
        <v>1676</v>
      </c>
      <c r="J5" s="3702"/>
      <c r="K5" s="559"/>
      <c r="L5" s="2715"/>
      <c r="M5" s="2716"/>
      <c r="N5" s="2716"/>
      <c r="O5" s="2716"/>
      <c r="P5" s="3749"/>
      <c r="Q5" s="3688"/>
      <c r="R5" s="3693"/>
      <c r="S5" s="3694"/>
      <c r="T5" s="3693"/>
      <c r="U5" s="3694"/>
      <c r="V5" s="3698"/>
      <c r="W5" s="3698"/>
      <c r="X5" s="1355"/>
      <c r="Y5" s="3693"/>
      <c r="Z5" s="3694"/>
      <c r="AA5" s="3710"/>
      <c r="AB5" s="3710"/>
      <c r="AC5" s="3710"/>
    </row>
    <row r="6" spans="1:29" ht="15.75" thickBot="1">
      <c r="A6" s="360"/>
      <c r="B6" s="361"/>
      <c r="C6" s="3699" t="s">
        <v>1677</v>
      </c>
      <c r="D6" s="3700"/>
      <c r="E6" s="3707" t="s">
        <v>1677</v>
      </c>
      <c r="F6" s="3708"/>
      <c r="G6" s="3699" t="s">
        <v>1677</v>
      </c>
      <c r="H6" s="3700"/>
      <c r="I6" s="3699" t="s">
        <v>1677</v>
      </c>
      <c r="J6" s="3700"/>
      <c r="K6" s="559" t="s">
        <v>1678</v>
      </c>
      <c r="L6" s="2715"/>
      <c r="M6" s="2716"/>
      <c r="N6" s="2716"/>
      <c r="O6" s="2716"/>
      <c r="P6" s="3750"/>
      <c r="Q6" s="3690"/>
      <c r="R6" s="3693"/>
      <c r="S6" s="3694"/>
      <c r="T6" s="3695"/>
      <c r="U6" s="3696"/>
      <c r="V6" s="3698"/>
      <c r="W6" s="3698"/>
      <c r="X6" s="1355"/>
      <c r="Y6" s="3695"/>
      <c r="Z6" s="3696"/>
      <c r="AA6" s="3711"/>
      <c r="AB6" s="3711"/>
      <c r="AC6" s="3711"/>
    </row>
    <row r="7" spans="1:29" s="108" customFormat="1" ht="15.75" thickBot="1">
      <c r="A7" s="362" t="s">
        <v>1679</v>
      </c>
      <c r="B7" s="363"/>
      <c r="C7" s="364">
        <f>'数据-取费表'!B2</f>
        <v>45372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5" t="s">
        <v>1680</v>
      </c>
      <c r="Q7" s="3706"/>
      <c r="R7" s="701" t="s">
        <v>14</v>
      </c>
      <c r="S7" s="702">
        <f t="shared" ref="S7:S14" si="0">F7</f>
        <v>0</v>
      </c>
      <c r="T7" s="701" t="s">
        <v>14</v>
      </c>
      <c r="U7" s="702">
        <f t="shared" ref="U7:U14" si="1">H7</f>
        <v>0</v>
      </c>
      <c r="V7" s="701" t="s">
        <v>14</v>
      </c>
      <c r="W7" s="702">
        <f t="shared" ref="W7:W14" si="2">J7</f>
        <v>0</v>
      </c>
      <c r="X7" s="703"/>
      <c r="Y7" s="3705" t="s">
        <v>1680</v>
      </c>
      <c r="Z7" s="370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5" t="s">
        <v>1683</v>
      </c>
      <c r="Q8" s="3704"/>
      <c r="R8" s="701" t="s">
        <v>14</v>
      </c>
      <c r="S8" s="702">
        <f t="shared" si="0"/>
        <v>100</v>
      </c>
      <c r="T8" s="701" t="s">
        <v>14</v>
      </c>
      <c r="U8" s="702">
        <f t="shared" si="1"/>
        <v>100</v>
      </c>
      <c r="V8" s="701" t="s">
        <v>14</v>
      </c>
      <c r="W8" s="702">
        <f t="shared" si="2"/>
        <v>100</v>
      </c>
      <c r="X8" s="703"/>
      <c r="Y8" s="3705" t="s">
        <v>1683</v>
      </c>
      <c r="Z8" s="37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3" t="str">
        <f>A37</f>
        <v>估价对象XX用房的比较价值（楼面单价，元/平方米）</v>
      </c>
      <c r="Q37" s="3744"/>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25" sqref="K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23.53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6506</v>
      </c>
      <c r="C2" s="1387" t="s">
        <v>805</v>
      </c>
      <c r="D2" s="1387"/>
      <c r="E2" s="1388"/>
      <c r="F2" s="1389"/>
      <c r="G2" s="2706"/>
      <c r="H2" s="2695"/>
      <c r="I2" s="2695"/>
      <c r="J2" s="2695"/>
      <c r="K2" s="2696"/>
      <c r="L2" s="2695"/>
      <c r="M2" s="2695"/>
    </row>
    <row r="3" spans="1:37" ht="18" customHeight="1" thickBot="1">
      <c r="A3" s="1390" t="s">
        <v>806</v>
      </c>
      <c r="B3" s="1391">
        <f ca="1">IF(ISERROR(B2*10000/F43),0,ROUND(B2*10000/F43,0))</f>
        <v>26762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480</v>
      </c>
      <c r="D5" s="1364" t="s">
        <v>693</v>
      </c>
      <c r="E5" s="1071"/>
      <c r="F5" s="1072"/>
      <c r="G5" s="1384"/>
      <c r="H5" s="299">
        <v>1</v>
      </c>
      <c r="I5" s="300" t="s">
        <v>692</v>
      </c>
      <c r="J5" s="1070">
        <f ca="1">J6+J10+J12</f>
        <v>0</v>
      </c>
      <c r="K5" s="1364" t="s">
        <v>693</v>
      </c>
      <c r="L5" s="1071"/>
      <c r="M5" s="1072"/>
    </row>
    <row r="6" spans="1:37" ht="18" customHeight="1">
      <c r="A6" s="1069" t="s">
        <v>398</v>
      </c>
      <c r="B6" s="3716" t="s">
        <v>694</v>
      </c>
      <c r="C6" s="1074">
        <f ca="1">ROUND(F6*F8*F7*(1-F9)/10000,0)</f>
        <v>479</v>
      </c>
      <c r="D6" s="155" t="s">
        <v>2109</v>
      </c>
      <c r="E6" s="302" t="s">
        <v>696</v>
      </c>
      <c r="F6" s="303">
        <f ca="1">INDIRECT("'数据-取费表'!u"&amp;$G$1)</f>
        <v>6</v>
      </c>
      <c r="G6" s="1384"/>
      <c r="H6" s="1069" t="s">
        <v>398</v>
      </c>
      <c r="I6" s="3716" t="s">
        <v>694</v>
      </c>
      <c r="J6" s="301">
        <f ca="1">ROUND(M6*M8*M7*(1-M9)/10000,0)</f>
        <v>0</v>
      </c>
      <c r="K6" s="155" t="s">
        <v>2108</v>
      </c>
      <c r="L6" s="302" t="s">
        <v>696</v>
      </c>
      <c r="M6" s="303">
        <f ca="1">INDIRECT("'数据-取费表'!z"&amp;$G$1)</f>
        <v>0</v>
      </c>
    </row>
    <row r="7" spans="1:37" ht="18" customHeight="1">
      <c r="A7" s="1073"/>
      <c r="B7" s="3717"/>
      <c r="C7" s="1075"/>
      <c r="D7" s="307"/>
      <c r="E7" s="3470" t="s">
        <v>697</v>
      </c>
      <c r="F7" s="303">
        <f ca="1">IF(INDIRECT("'数据-取费表'!ah"&amp;$G$1)="",INDIRECT("'数据-取费表'!k"&amp;$G$1),INDIRECT("'数据-取费表'!ah"&amp;$G$1))</f>
        <v>2431.09</v>
      </c>
      <c r="G7" s="1384"/>
      <c r="H7" s="304"/>
      <c r="I7" s="3717"/>
      <c r="J7" s="306"/>
      <c r="K7" s="307"/>
      <c r="L7" s="302" t="s">
        <v>697</v>
      </c>
      <c r="M7" s="303">
        <f ca="1">F7</f>
        <v>2431.09</v>
      </c>
    </row>
    <row r="8" spans="1:37" ht="18" customHeight="1">
      <c r="A8" s="304"/>
      <c r="B8" s="3717"/>
      <c r="C8" s="306"/>
      <c r="D8" s="307"/>
      <c r="E8" s="302" t="s">
        <v>698</v>
      </c>
      <c r="F8" s="303">
        <f ca="1">INDIRECT("'数据-取费表'!ai"&amp;$G$1)</f>
        <v>365</v>
      </c>
      <c r="G8" s="1384"/>
      <c r="H8" s="304"/>
      <c r="I8" s="3717"/>
      <c r="J8" s="306"/>
      <c r="K8" s="307"/>
      <c r="L8" s="302" t="s">
        <v>698</v>
      </c>
      <c r="M8" s="303">
        <f ca="1">INDIRECT("'数据-取费表'!ai"&amp;$G$1)</f>
        <v>365</v>
      </c>
    </row>
    <row r="9" spans="1:37" ht="18" customHeight="1">
      <c r="A9" s="304"/>
      <c r="B9" s="3718"/>
      <c r="C9" s="306"/>
      <c r="D9" s="307"/>
      <c r="E9" s="302" t="s">
        <v>699</v>
      </c>
      <c r="F9" s="312">
        <f ca="1">INDIRECT("'数据-取费表'!w"&amp;$G$1)</f>
        <v>0.1</v>
      </c>
      <c r="G9" s="1384"/>
      <c r="H9" s="304"/>
      <c r="I9" s="3718"/>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3578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1825</v>
      </c>
      <c r="D13" s="3449" t="s">
        <v>705</v>
      </c>
      <c r="E13" s="3449"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1459</v>
      </c>
      <c r="D14" s="3459" t="s">
        <v>708</v>
      </c>
      <c r="E14" s="3452"/>
      <c r="F14" s="319"/>
      <c r="G14" s="1384"/>
      <c r="H14" s="982" t="s">
        <v>398</v>
      </c>
      <c r="I14" s="302" t="s">
        <v>709</v>
      </c>
      <c r="J14" s="21">
        <f ca="1">C29</f>
        <v>2098</v>
      </c>
      <c r="K14" s="3468"/>
      <c r="L14" s="807"/>
      <c r="M14" s="808"/>
    </row>
    <row r="15" spans="1:37" s="1397" customFormat="1" ht="18" customHeight="1" thickBot="1">
      <c r="A15" s="982" t="s">
        <v>399</v>
      </c>
      <c r="B15" s="302" t="s">
        <v>710</v>
      </c>
      <c r="C15" s="21">
        <f ca="1">ROUND(C14*F15,0)</f>
        <v>73</v>
      </c>
      <c r="D15" s="3450" t="s">
        <v>711</v>
      </c>
      <c r="E15" s="345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v>
      </c>
      <c r="K16" s="1087" t="s">
        <v>715</v>
      </c>
      <c r="L16" s="3462"/>
      <c r="M16" s="1072"/>
    </row>
    <row r="17" spans="1:37" s="1397" customFormat="1" ht="18" customHeight="1">
      <c r="A17" s="982" t="s">
        <v>681</v>
      </c>
      <c r="B17" s="302" t="s">
        <v>716</v>
      </c>
      <c r="C17" s="21">
        <f ca="1">ROUND(F17*(F43+INDIRECT("'数据-取费表'!S"&amp;$G$1))/10000,0)</f>
        <v>49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59" t="s">
        <v>720</v>
      </c>
      <c r="L17" s="3457"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v>
      </c>
      <c r="D18" s="302" t="s">
        <v>711</v>
      </c>
      <c r="E18" s="302" t="s">
        <v>712</v>
      </c>
      <c r="F18" s="322">
        <f>'数据-取费表'!B36</f>
        <v>1.4999999999999999E-2</v>
      </c>
      <c r="G18" s="1396"/>
      <c r="H18" s="982" t="s">
        <v>397</v>
      </c>
      <c r="I18" s="302" t="s">
        <v>723</v>
      </c>
      <c r="J18" s="21">
        <f ca="1">ROUND(J6*M18/(1+'数据-取费表'!C42),2)</f>
        <v>0</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1603</v>
      </c>
      <c r="D19" s="131" t="s">
        <v>726</v>
      </c>
      <c r="E19" s="3472"/>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32</v>
      </c>
      <c r="D20" s="2428"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2"/>
      <c r="F22" s="23"/>
      <c r="G22" s="1384"/>
      <c r="H22" s="982" t="s">
        <v>402</v>
      </c>
      <c r="I22" s="302" t="s">
        <v>738</v>
      </c>
      <c r="J22" s="21">
        <f ca="1">ROUND(J14*M22,2)</f>
        <v>10.49</v>
      </c>
      <c r="K22" s="345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7"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2"/>
      <c r="F25" s="23"/>
      <c r="G25" s="1384"/>
      <c r="H25" s="1079" t="s">
        <v>394</v>
      </c>
      <c r="I25" s="1094" t="s">
        <v>752</v>
      </c>
      <c r="J25" s="310">
        <f ca="1">J5-J16</f>
        <v>-10</v>
      </c>
      <c r="K25" s="1095" t="s">
        <v>753</v>
      </c>
      <c r="L25" s="1096"/>
      <c r="M25" s="1097"/>
    </row>
    <row r="26" spans="1:37">
      <c r="A26" s="982" t="s">
        <v>397</v>
      </c>
      <c r="B26" s="302" t="s">
        <v>754</v>
      </c>
      <c r="C26" s="21">
        <f ca="1">ROUND((C19+C20)*F26,0)</f>
        <v>245</v>
      </c>
      <c r="D26" s="2428"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2098</v>
      </c>
      <c r="D29" s="1092"/>
      <c r="E29" s="1090"/>
      <c r="F29" s="1093"/>
      <c r="G29" s="1396"/>
      <c r="H29" s="334" t="s">
        <v>396</v>
      </c>
      <c r="I29" s="335" t="s">
        <v>768</v>
      </c>
      <c r="J29" s="336">
        <f ca="1">ROUND(J26/(1+F40)^F41,0)</f>
        <v>0</v>
      </c>
      <c r="K29" s="337" t="s">
        <v>769</v>
      </c>
      <c r="L29" s="338"/>
      <c r="M29" s="339">
        <f ca="1">INDIRECT("'数据-取费表'!k"&amp;$G$1)</f>
        <v>2431.09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95</v>
      </c>
      <c r="D30" s="1087" t="s">
        <v>715</v>
      </c>
      <c r="E30" s="3462"/>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80.290000000000006</v>
      </c>
      <c r="D31" s="3459" t="s">
        <v>720</v>
      </c>
      <c r="E31" s="3457"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25.55</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54.74</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10.49</v>
      </c>
      <c r="D36" s="3457"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1.83</v>
      </c>
      <c r="D37" s="3457"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2.4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385</v>
      </c>
      <c r="D39" s="1095" t="s">
        <v>753</v>
      </c>
      <c r="E39" s="1096"/>
      <c r="F39" s="1097"/>
      <c r="G39" s="1384"/>
      <c r="H39" s="2700">
        <f ca="1">C39/C5</f>
        <v>0.80208333333333337</v>
      </c>
      <c r="I39" s="1398"/>
      <c r="J39" s="1399"/>
      <c r="K39" s="2704"/>
      <c r="L39" s="2700"/>
      <c r="M39" s="2700"/>
    </row>
    <row r="40" spans="1:18" ht="18" customHeight="1">
      <c r="A40" s="299" t="s">
        <v>395</v>
      </c>
      <c r="B40" s="300" t="s">
        <v>774</v>
      </c>
      <c r="C40" s="301">
        <f ca="1">ROUND(C39*(1-((1+F42)/(1+F40))^F41)/(F40-F42),0)</f>
        <v>6324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23.53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26013</v>
      </c>
      <c r="D43" s="337" t="s">
        <v>777</v>
      </c>
      <c r="E43" s="338" t="s">
        <v>778</v>
      </c>
      <c r="F43" s="339">
        <f ca="1">INDIRECT("'数据-取费表'!k"&amp;$G$1)</f>
        <v>2431.09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-6480</v>
      </c>
      <c r="D46" s="1406" t="str">
        <f>C2</f>
        <v>万元</v>
      </c>
      <c r="E46" s="1400"/>
      <c r="F46" s="1400"/>
      <c r="I46" s="1407" t="s">
        <v>810</v>
      </c>
      <c r="J46" s="1408"/>
      <c r="K46" s="1409"/>
      <c r="L46" s="1410">
        <f ca="1">IF(M47="住宅",0,IF(L48&gt;J51,L60,J60))</f>
        <v>182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3579</v>
      </c>
      <c r="K47" s="1416" t="s">
        <v>816</v>
      </c>
      <c r="L47" s="1417">
        <f ca="1">INDIRECT("'数据-取费表'!d"&amp;$G$1)</f>
        <v>40</v>
      </c>
      <c r="M47" s="1380" t="str">
        <f>IF(ISNUMBER(FIND("住宅",C1)),"住宅","非住宅")</f>
        <v>非住宅</v>
      </c>
      <c r="O47" s="1418" t="s">
        <v>403</v>
      </c>
      <c r="P47" s="1419" t="s">
        <v>817</v>
      </c>
      <c r="Q47" s="1420">
        <f ca="1">C40+J29</f>
        <v>6324</v>
      </c>
      <c r="R47" s="1420" t="s">
        <v>818</v>
      </c>
    </row>
    <row r="48" spans="1:18" s="1384" customFormat="1" ht="28.5" thickBot="1">
      <c r="A48" s="1110" t="s">
        <v>438</v>
      </c>
      <c r="B48" s="300" t="s">
        <v>692</v>
      </c>
      <c r="C48" s="3471">
        <f ca="1">C49+C53+C55</f>
        <v>0</v>
      </c>
      <c r="D48" s="1112"/>
      <c r="E48" s="1113"/>
      <c r="F48" s="962"/>
      <c r="G48" s="722"/>
      <c r="H48" s="723"/>
      <c r="I48" s="1421" t="s">
        <v>819</v>
      </c>
      <c r="J48" s="1422" t="s">
        <v>3580</v>
      </c>
      <c r="K48" s="1423" t="s">
        <v>820</v>
      </c>
      <c r="L48" s="1424">
        <f ca="1">INDIRECT("'数据-取费表'!f"&amp;$G$1)</f>
        <v>23.53</v>
      </c>
      <c r="O48" s="1418" t="s">
        <v>404</v>
      </c>
      <c r="P48" s="1419" t="s">
        <v>821</v>
      </c>
      <c r="Q48" s="1420">
        <f ca="1">J60</f>
        <v>182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2098</v>
      </c>
      <c r="R49" s="1420" t="s">
        <v>818</v>
      </c>
    </row>
    <row r="50" spans="1:18" s="1384" customFormat="1" ht="13.5" thickBot="1">
      <c r="A50" s="976"/>
      <c r="B50" s="979"/>
      <c r="C50" s="1118"/>
      <c r="D50" s="953"/>
      <c r="E50" s="1056" t="s">
        <v>697</v>
      </c>
      <c r="F50" s="1057">
        <f ca="1">F7</f>
        <v>2431.09</v>
      </c>
      <c r="H50" s="723"/>
      <c r="I50" s="1421" t="s">
        <v>826</v>
      </c>
      <c r="J50" s="1429">
        <f>SUMPRODUCT((I63:I65=J47)*(J62:L62=J48)*(J63:L65))</f>
        <v>60</v>
      </c>
      <c r="K50" s="1423" t="s">
        <v>827</v>
      </c>
      <c r="L50" s="1427"/>
      <c r="M50" s="1430"/>
      <c r="O50" s="1428" t="s">
        <v>406</v>
      </c>
      <c r="P50" s="1419" t="s">
        <v>828</v>
      </c>
      <c r="Q50" s="1431">
        <f ca="1">J58</f>
        <v>0.47499999999999998</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4738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23.53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23.53</v>
      </c>
      <c r="K53" s="3714" t="s">
        <v>837</v>
      </c>
      <c r="L53" s="3715"/>
      <c r="O53" s="1418" t="s">
        <v>409</v>
      </c>
      <c r="P53" s="1419" t="s">
        <v>838</v>
      </c>
      <c r="Q53" s="1420">
        <f ca="1">Q47+Q48</f>
        <v>6506</v>
      </c>
      <c r="R53" s="1420" t="s">
        <v>410</v>
      </c>
    </row>
    <row r="54" spans="1:18" s="1384" customFormat="1" ht="13.5" thickBot="1">
      <c r="A54" s="1153"/>
      <c r="B54" s="1367" t="s">
        <v>679</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4"/>
      <c r="F55" s="1440"/>
      <c r="I55" s="1443" t="s">
        <v>840</v>
      </c>
      <c r="J55" s="1444">
        <f ca="1">ROUND(IF(J47="钢混",J57/J50,1-(1-2%)*(J50-J57)/J50),3)</f>
        <v>0.47499999999999998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1825</v>
      </c>
      <c r="D56" s="1447"/>
      <c r="E56" s="1448"/>
      <c r="F56" s="1440"/>
      <c r="I56" s="1449" t="s">
        <v>842</v>
      </c>
      <c r="J56" s="1450" t="s">
        <v>3581</v>
      </c>
      <c r="K56" s="1421" t="s">
        <v>843</v>
      </c>
      <c r="L56" s="1424" t="str">
        <f ca="1">IF(L48&lt;J51,"——",L48-J53)</f>
        <v>——</v>
      </c>
      <c r="O56" s="1418" t="s">
        <v>403</v>
      </c>
      <c r="P56" s="1419" t="s">
        <v>817</v>
      </c>
      <c r="Q56" s="1420">
        <f ca="1">C40+J29</f>
        <v>6324</v>
      </c>
      <c r="R56" s="1420" t="s">
        <v>818</v>
      </c>
    </row>
    <row r="57" spans="1:18" s="1384" customFormat="1" ht="24.75" thickBot="1">
      <c r="A57" s="1451"/>
      <c r="B57" s="950" t="s">
        <v>767</v>
      </c>
      <c r="C57" s="238">
        <f ca="1">C29</f>
        <v>2098</v>
      </c>
      <c r="D57" s="1452"/>
      <c r="E57" s="1453"/>
      <c r="F57" s="1454"/>
      <c r="I57" s="1455" t="s">
        <v>844</v>
      </c>
      <c r="J57" s="1456">
        <f ca="1">IF(OR(M47="住宅",J51&lt;L48,J56="是"),"——",J51-L48)</f>
        <v>28.47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v>
      </c>
      <c r="D58" s="960" t="s">
        <v>715</v>
      </c>
      <c r="E58" s="961"/>
      <c r="F58" s="962"/>
      <c r="I58" s="1455" t="s">
        <v>848</v>
      </c>
      <c r="J58" s="1457">
        <f ca="1">IF(J55&lt;0.4,0.4,J55)</f>
        <v>0.47499999999999998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997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6324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10.49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1.83</v>
      </c>
      <c r="D65" s="964" t="s">
        <v>743</v>
      </c>
      <c r="E65" s="950" t="s">
        <v>744</v>
      </c>
      <c r="F65" s="330">
        <f t="shared" ca="1" si="0"/>
        <v>1E-3</v>
      </c>
      <c r="I65" s="1462" t="s">
        <v>867</v>
      </c>
      <c r="J65" s="1463">
        <v>40</v>
      </c>
      <c r="K65" s="1463">
        <v>30</v>
      </c>
      <c r="L65" s="1463">
        <v>50</v>
      </c>
      <c r="M65" s="1465">
        <v>0.02</v>
      </c>
      <c r="O65" s="1418" t="s">
        <v>403</v>
      </c>
      <c r="P65" s="1419" t="s">
        <v>868</v>
      </c>
      <c r="Q65" s="1420">
        <f ca="1">C40+J29</f>
        <v>6324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4738</v>
      </c>
      <c r="R67" s="1420" t="s">
        <v>870</v>
      </c>
    </row>
    <row r="68" spans="1:18" s="1384" customFormat="1" ht="16.5" thickBot="1">
      <c r="A68" s="947" t="s">
        <v>395</v>
      </c>
      <c r="B68" s="948" t="s">
        <v>774</v>
      </c>
      <c r="C68" s="301">
        <f ca="1">ROUND(C67*(1-((1+F70)/(1+F68))^F69)/(F68-F70),0)</f>
        <v>-156</v>
      </c>
      <c r="D68" s="965" t="s">
        <v>758</v>
      </c>
      <c r="E68" s="950" t="s">
        <v>759</v>
      </c>
      <c r="F68" s="312">
        <f ca="1">F40</f>
        <v>5.5E-2</v>
      </c>
      <c r="O68" s="1428" t="s">
        <v>406</v>
      </c>
      <c r="P68" s="1467" t="s">
        <v>871</v>
      </c>
      <c r="Q68" s="1420">
        <f ca="1">ROUND(Q69-Q70*Q71,0)</f>
        <v>257</v>
      </c>
      <c r="R68" s="1420" t="s">
        <v>414</v>
      </c>
    </row>
    <row r="69" spans="1:18" s="1384" customFormat="1" ht="13.5" thickBot="1">
      <c r="A69" s="951"/>
      <c r="B69" s="952"/>
      <c r="C69" s="306"/>
      <c r="D69" s="970" t="s">
        <v>762</v>
      </c>
      <c r="E69" s="950" t="s">
        <v>763</v>
      </c>
      <c r="F69" s="333">
        <f ca="1">F41</f>
        <v>23.53</v>
      </c>
      <c r="O69" s="1428" t="s">
        <v>411</v>
      </c>
      <c r="P69" s="1467" t="s">
        <v>872</v>
      </c>
      <c r="Q69" s="1420">
        <f ca="1">C39</f>
        <v>385</v>
      </c>
      <c r="R69" s="1420" t="s">
        <v>818</v>
      </c>
    </row>
    <row r="70" spans="1:18" s="1384" customFormat="1" ht="13.5" thickBot="1">
      <c r="A70" s="954"/>
      <c r="B70" s="955"/>
      <c r="C70" s="310"/>
      <c r="D70" s="966"/>
      <c r="E70" s="950" t="s">
        <v>766</v>
      </c>
      <c r="F70" s="1054"/>
      <c r="O70" s="1428" t="s">
        <v>412</v>
      </c>
      <c r="P70" s="1467" t="s">
        <v>873</v>
      </c>
      <c r="Q70" s="1420">
        <f ca="1">C13</f>
        <v>1825</v>
      </c>
      <c r="R70" s="1420" t="s">
        <v>818</v>
      </c>
    </row>
    <row r="71" spans="1:18" s="1384" customFormat="1" ht="13.5" thickBot="1">
      <c r="A71" s="971" t="s">
        <v>396</v>
      </c>
      <c r="B71" s="972" t="s">
        <v>776</v>
      </c>
      <c r="C71" s="336">
        <f ca="1">ROUND(C68*10000/F71,0)</f>
        <v>-642</v>
      </c>
      <c r="D71" s="973" t="s">
        <v>777</v>
      </c>
      <c r="E71" s="974" t="s">
        <v>778</v>
      </c>
      <c r="F71" s="339">
        <f ca="1">F43</f>
        <v>2431.09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128</v>
      </c>
      <c r="D75" s="1384"/>
      <c r="E75" s="1384"/>
      <c r="F75" s="1384"/>
      <c r="K75" s="1402"/>
      <c r="L75" s="1384"/>
      <c r="O75" s="1418" t="s">
        <v>409</v>
      </c>
      <c r="P75" s="1419" t="s">
        <v>838</v>
      </c>
      <c r="Q75" s="1420">
        <f ca="1">Q65+Q66</f>
        <v>6324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0.66799999999999993</v>
      </c>
    </row>
    <row r="80" spans="1:18">
      <c r="B80" s="340" t="s">
        <v>800</v>
      </c>
      <c r="C80" s="274">
        <f ca="1">ROUND(C75/C39,3)</f>
        <v>0.33200000000000002</v>
      </c>
    </row>
    <row r="81" spans="2:3">
      <c r="B81" s="270" t="s">
        <v>801</v>
      </c>
      <c r="C81" s="238"/>
    </row>
    <row r="82" spans="2:3">
      <c r="B82" s="273" t="s">
        <v>802</v>
      </c>
      <c r="C82" s="275">
        <f ca="1">1-C83</f>
        <v>0.71100000000000008</v>
      </c>
    </row>
    <row r="83" spans="2:3">
      <c r="B83" s="273" t="s">
        <v>803</v>
      </c>
      <c r="C83" s="274">
        <f ca="1">ROUND(C13/C40,3)</f>
        <v>0.28899999999999998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7" priority="4">
      <formula>$L$48&gt;$J$51</formula>
    </cfRule>
  </conditionalFormatting>
  <conditionalFormatting sqref="I55 I60">
    <cfRule type="expression" dxfId="46" priority="5">
      <formula>$J$51&gt;$L$48</formula>
    </cfRule>
  </conditionalFormatting>
  <conditionalFormatting sqref="C11">
    <cfRule type="expression" dxfId="45" priority="3">
      <formula>$F$10="自定义"</formula>
    </cfRule>
  </conditionalFormatting>
  <conditionalFormatting sqref="J11">
    <cfRule type="expression" dxfId="44" priority="2">
      <formula>$M$10="自定义"</formula>
    </cfRule>
  </conditionalFormatting>
  <conditionalFormatting sqref="C54">
    <cfRule type="expression" dxfId="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747" t="s">
        <v>1775</v>
      </c>
      <c r="Q4" s="3748"/>
      <c r="R4" s="3751" t="s">
        <v>1771</v>
      </c>
      <c r="S4" s="3752"/>
      <c r="T4" s="3751" t="s">
        <v>1772</v>
      </c>
      <c r="U4" s="3752"/>
      <c r="V4" s="3698" t="s">
        <v>1773</v>
      </c>
      <c r="W4" s="3698"/>
      <c r="X4" s="1355"/>
      <c r="Y4" s="3751" t="s">
        <v>1775</v>
      </c>
      <c r="Z4" s="3752"/>
      <c r="AA4" s="3746" t="s">
        <v>1771</v>
      </c>
      <c r="AB4" s="3710" t="s">
        <v>1772</v>
      </c>
      <c r="AC4" s="3746" t="s">
        <v>1773</v>
      </c>
    </row>
    <row r="5" spans="1:30" ht="15">
      <c r="A5" s="358"/>
      <c r="B5" s="359"/>
      <c r="C5" s="3701" t="s">
        <v>1673</v>
      </c>
      <c r="D5" s="3702"/>
      <c r="E5" s="3712" t="s">
        <v>1674</v>
      </c>
      <c r="F5" s="3713"/>
      <c r="G5" s="3701" t="s">
        <v>1675</v>
      </c>
      <c r="H5" s="3702"/>
      <c r="I5" s="3701" t="s">
        <v>1676</v>
      </c>
      <c r="J5" s="3702"/>
      <c r="K5" s="559"/>
      <c r="L5" s="2715"/>
      <c r="M5" s="2716"/>
      <c r="N5" s="2716"/>
      <c r="O5" s="2716"/>
      <c r="P5" s="3749"/>
      <c r="Q5" s="3688"/>
      <c r="R5" s="3693"/>
      <c r="S5" s="3694"/>
      <c r="T5" s="3693"/>
      <c r="U5" s="3694"/>
      <c r="V5" s="3698"/>
      <c r="W5" s="3698"/>
      <c r="X5" s="1355"/>
      <c r="Y5" s="3693"/>
      <c r="Z5" s="3694"/>
      <c r="AA5" s="3710"/>
      <c r="AB5" s="3710"/>
      <c r="AC5" s="3710"/>
    </row>
    <row r="6" spans="1:30" ht="15.75" thickBot="1">
      <c r="A6" s="360"/>
      <c r="B6" s="361"/>
      <c r="C6" s="3699" t="s">
        <v>1677</v>
      </c>
      <c r="D6" s="3700"/>
      <c r="E6" s="3707" t="s">
        <v>1677</v>
      </c>
      <c r="F6" s="3708"/>
      <c r="G6" s="3699" t="s">
        <v>1677</v>
      </c>
      <c r="H6" s="3700"/>
      <c r="I6" s="3699" t="s">
        <v>1677</v>
      </c>
      <c r="J6" s="3700"/>
      <c r="K6" s="559" t="s">
        <v>1678</v>
      </c>
      <c r="L6" s="2715"/>
      <c r="M6" s="2716"/>
      <c r="N6" s="2716"/>
      <c r="O6" s="2716"/>
      <c r="P6" s="3750"/>
      <c r="Q6" s="3690"/>
      <c r="R6" s="3693"/>
      <c r="S6" s="3694"/>
      <c r="T6" s="3695"/>
      <c r="U6" s="3696"/>
      <c r="V6" s="3698"/>
      <c r="W6" s="3698"/>
      <c r="X6" s="1355"/>
      <c r="Y6" s="3695"/>
      <c r="Z6" s="3696"/>
      <c r="AA6" s="3711"/>
      <c r="AB6" s="3711"/>
      <c r="AC6" s="3711"/>
    </row>
    <row r="7" spans="1:30" s="108" customFormat="1" ht="15.75" thickBot="1">
      <c r="A7" s="362" t="s">
        <v>1679</v>
      </c>
      <c r="B7" s="363"/>
      <c r="C7" s="364">
        <f>'数据-取费表'!B2</f>
        <v>45372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5" t="s">
        <v>1680</v>
      </c>
      <c r="Q7" s="3706"/>
      <c r="R7" s="701" t="s">
        <v>14</v>
      </c>
      <c r="S7" s="702">
        <f t="shared" ref="S7:S15" si="0">F7</f>
        <v>0</v>
      </c>
      <c r="T7" s="701" t="s">
        <v>14</v>
      </c>
      <c r="U7" s="702">
        <f t="shared" ref="U7:U15" si="1">H7</f>
        <v>0</v>
      </c>
      <c r="V7" s="701" t="s">
        <v>14</v>
      </c>
      <c r="W7" s="702">
        <f t="shared" ref="W7:W15" si="2">J7</f>
        <v>0</v>
      </c>
      <c r="X7" s="703"/>
      <c r="Y7" s="3705" t="s">
        <v>1680</v>
      </c>
      <c r="Z7" s="370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5" t="s">
        <v>1683</v>
      </c>
      <c r="Q8" s="3704"/>
      <c r="R8" s="701" t="s">
        <v>14</v>
      </c>
      <c r="S8" s="702">
        <f t="shared" si="0"/>
        <v>0</v>
      </c>
      <c r="T8" s="701" t="s">
        <v>14</v>
      </c>
      <c r="U8" s="702">
        <f t="shared" si="1"/>
        <v>0</v>
      </c>
      <c r="V8" s="701" t="s">
        <v>14</v>
      </c>
      <c r="W8" s="702">
        <f t="shared" si="2"/>
        <v>0</v>
      </c>
      <c r="X8" s="703"/>
      <c r="Y8" s="3705" t="s">
        <v>1683</v>
      </c>
      <c r="Z8" s="370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664"/>
      <c r="Q10" s="1343" t="str">
        <f t="shared" si="6"/>
        <v>土地使用年限（年）</v>
      </c>
      <c r="R10" s="701" t="s">
        <v>14</v>
      </c>
      <c r="S10" s="702">
        <f t="shared" si="0"/>
        <v>126</v>
      </c>
      <c r="T10" s="701" t="s">
        <v>14</v>
      </c>
      <c r="U10" s="702">
        <f t="shared" si="1"/>
        <v>126</v>
      </c>
      <c r="V10" s="701" t="s">
        <v>14</v>
      </c>
      <c r="W10" s="702">
        <f t="shared" si="2"/>
        <v>126</v>
      </c>
      <c r="X10" s="703"/>
      <c r="Y10" s="3570"/>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8">
        <f>E46</f>
        <v>0</v>
      </c>
      <c r="S46" s="3698"/>
      <c r="T46" s="3698">
        <f>G46</f>
        <v>0</v>
      </c>
      <c r="U46" s="3698"/>
      <c r="V46" s="3698">
        <f>I46</f>
        <v>0</v>
      </c>
      <c r="W46" s="369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3" t="str">
        <f>A48</f>
        <v>估价对象XX用房的比较价值（楼面单价，元/平方米）</v>
      </c>
      <c r="Q48" s="3744"/>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73388.159999999989</v>
      </c>
      <c r="F56" s="886" t="e">
        <f t="shared" ref="F56:F64" si="15">ROUND(B56*E56/10000,0)</f>
        <v>#DIV/0!</v>
      </c>
      <c r="G56" s="3663"/>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73388.159999999989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47" t="s">
        <v>1775</v>
      </c>
      <c r="Q4" s="3748"/>
      <c r="R4" s="3751" t="s">
        <v>1771</v>
      </c>
      <c r="S4" s="3752"/>
      <c r="T4" s="3751" t="s">
        <v>1772</v>
      </c>
      <c r="U4" s="3752"/>
      <c r="V4" s="3698" t="s">
        <v>1773</v>
      </c>
      <c r="W4" s="3698"/>
      <c r="X4" s="1355"/>
      <c r="Y4" s="3751" t="s">
        <v>1775</v>
      </c>
      <c r="Z4" s="3752"/>
      <c r="AA4" s="3746" t="s">
        <v>1771</v>
      </c>
      <c r="AB4" s="3710" t="s">
        <v>1772</v>
      </c>
      <c r="AC4" s="3746" t="s">
        <v>1773</v>
      </c>
    </row>
    <row r="5" spans="1:29" ht="15">
      <c r="A5" s="358"/>
      <c r="B5" s="359"/>
      <c r="C5" s="3701" t="s">
        <v>1673</v>
      </c>
      <c r="D5" s="3702"/>
      <c r="E5" s="3712" t="s">
        <v>1674</v>
      </c>
      <c r="F5" s="3713"/>
      <c r="G5" s="3701" t="s">
        <v>1675</v>
      </c>
      <c r="H5" s="3702"/>
      <c r="I5" s="3701" t="s">
        <v>1676</v>
      </c>
      <c r="J5" s="3702"/>
      <c r="K5" s="559"/>
      <c r="L5" s="2715"/>
      <c r="M5" s="2716"/>
      <c r="N5" s="2716"/>
      <c r="O5" s="2716"/>
      <c r="P5" s="3749"/>
      <c r="Q5" s="3688"/>
      <c r="R5" s="3693"/>
      <c r="S5" s="3694"/>
      <c r="T5" s="3693"/>
      <c r="U5" s="3694"/>
      <c r="V5" s="3698"/>
      <c r="W5" s="3698"/>
      <c r="X5" s="1355"/>
      <c r="Y5" s="3693"/>
      <c r="Z5" s="3694"/>
      <c r="AA5" s="3710"/>
      <c r="AB5" s="3710"/>
      <c r="AC5" s="3710"/>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50"/>
      <c r="Q6" s="3690"/>
      <c r="R6" s="3693"/>
      <c r="S6" s="3694"/>
      <c r="T6" s="3695"/>
      <c r="U6" s="3696"/>
      <c r="V6" s="3698"/>
      <c r="W6" s="3698"/>
      <c r="X6" s="1355"/>
      <c r="Y6" s="3695"/>
      <c r="Z6" s="3696"/>
      <c r="AA6" s="3711"/>
      <c r="AB6" s="3711"/>
      <c r="AC6" s="3711"/>
    </row>
    <row r="7" spans="1:29" s="108" customFormat="1" ht="15.75" thickBot="1">
      <c r="A7" s="362" t="s">
        <v>1679</v>
      </c>
      <c r="B7" s="363"/>
      <c r="C7" s="364">
        <f>'数据-取费表'!B2</f>
        <v>45372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5" t="s">
        <v>1680</v>
      </c>
      <c r="Q7" s="3706"/>
      <c r="R7" s="701" t="s">
        <v>14</v>
      </c>
      <c r="S7" s="702">
        <f t="shared" ref="S7:S15" si="0">F7</f>
        <v>0</v>
      </c>
      <c r="T7" s="701" t="s">
        <v>14</v>
      </c>
      <c r="U7" s="702">
        <f t="shared" ref="U7:U15" si="1">H7</f>
        <v>0</v>
      </c>
      <c r="V7" s="701" t="s">
        <v>14</v>
      </c>
      <c r="W7" s="702">
        <f t="shared" ref="W7:W15" si="2">J7</f>
        <v>0</v>
      </c>
      <c r="X7" s="703"/>
      <c r="Y7" s="3705" t="s">
        <v>1680</v>
      </c>
      <c r="Z7" s="370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5" t="s">
        <v>1683</v>
      </c>
      <c r="Q8" s="3704"/>
      <c r="R8" s="701" t="s">
        <v>14</v>
      </c>
      <c r="S8" s="702">
        <f t="shared" si="0"/>
        <v>0</v>
      </c>
      <c r="T8" s="701" t="s">
        <v>14</v>
      </c>
      <c r="U8" s="702">
        <f t="shared" si="1"/>
        <v>0</v>
      </c>
      <c r="V8" s="701" t="s">
        <v>14</v>
      </c>
      <c r="W8" s="702">
        <f t="shared" si="2"/>
        <v>0</v>
      </c>
      <c r="X8" s="703"/>
      <c r="Y8" s="3705" t="s">
        <v>1683</v>
      </c>
      <c r="Z8" s="370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664"/>
      <c r="Q10" s="1343" t="str">
        <f t="shared" si="6"/>
        <v>土地使用年限（年）</v>
      </c>
      <c r="R10" s="701" t="s">
        <v>14</v>
      </c>
      <c r="S10" s="702">
        <f t="shared" si="0"/>
        <v>126</v>
      </c>
      <c r="T10" s="701" t="s">
        <v>14</v>
      </c>
      <c r="U10" s="702">
        <f t="shared" si="1"/>
        <v>126</v>
      </c>
      <c r="V10" s="701" t="s">
        <v>14</v>
      </c>
      <c r="W10" s="702">
        <f t="shared" si="2"/>
        <v>126</v>
      </c>
      <c r="X10" s="703"/>
      <c r="Y10" s="3570"/>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3" t="str">
        <f>A43</f>
        <v>估价对象XX用房的比较价值（楼面单价，元/平方米）</v>
      </c>
      <c r="Q43" s="3744"/>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73388.159999999989</v>
      </c>
      <c r="F51" s="639" t="e">
        <f t="shared" ref="F51:F60" si="15">ROUND(B51*E51/10000,0)</f>
        <v>#DIV/0!</v>
      </c>
      <c r="G51" s="3663"/>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3258</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45372</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3298</v>
      </c>
      <c r="B103" s="3781"/>
      <c r="C103" s="3781"/>
      <c r="D103" s="3781"/>
      <c r="E103" s="3781"/>
      <c r="F103" s="3781"/>
      <c r="G103" s="3781"/>
      <c r="H103" s="3781"/>
      <c r="I103" s="3781"/>
      <c r="J103" s="3781"/>
      <c r="K103" s="3390"/>
      <c r="L103" s="3390"/>
      <c r="M103" s="3390"/>
      <c r="N103" s="3390"/>
    </row>
    <row r="104" spans="1:14">
      <c r="A104" s="3782" t="s">
        <v>3299</v>
      </c>
      <c r="B104" s="3782" t="s">
        <v>3300</v>
      </c>
      <c r="C104" s="3391" t="s">
        <v>3301</v>
      </c>
      <c r="D104" s="3392"/>
      <c r="E104" s="3392"/>
      <c r="F104" s="3392"/>
      <c r="G104" s="3392"/>
      <c r="H104" s="3392"/>
      <c r="I104" s="3392"/>
      <c r="J104" s="3393"/>
      <c r="K104" s="3394"/>
      <c r="L104" s="3394"/>
      <c r="M104" s="3394"/>
      <c r="N104" s="3394"/>
    </row>
    <row r="105" spans="1:14">
      <c r="A105" s="3782"/>
      <c r="B105" s="378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6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3315</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92741</v>
      </c>
      <c r="E5" s="1491"/>
    </row>
    <row r="6" spans="1:5" ht="15.75">
      <c r="A6" s="1491"/>
      <c r="B6" s="3482"/>
      <c r="C6" s="1494" t="s">
        <v>911</v>
      </c>
      <c r="D6" s="850" t="str">
        <f ca="1">NUMBERSTRING(INT(D5*10000),2)&amp;"元整"</f>
        <v>玖亿贰仟柒佰肆拾壹万元整</v>
      </c>
      <c r="E6" s="1491"/>
    </row>
    <row r="7" spans="1:5" ht="15.75">
      <c r="A7" s="1491"/>
      <c r="B7" s="3487"/>
      <c r="C7" s="1495" t="s">
        <v>912</v>
      </c>
      <c r="D7" s="851">
        <f ca="1">结果表!H102</f>
        <v>13070</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92741</v>
      </c>
      <c r="E13" s="1491"/>
    </row>
    <row r="14" spans="1:5" ht="15.75">
      <c r="A14" s="1491"/>
      <c r="B14" s="3482"/>
      <c r="C14" s="1494" t="s">
        <v>911</v>
      </c>
      <c r="D14" s="850" t="str">
        <f ca="1">NUMBERSTRING(INT(D13*10000),2)&amp;"元整"</f>
        <v>玖亿贰仟柒佰肆拾壹万元整</v>
      </c>
      <c r="E14" s="1491"/>
    </row>
    <row r="15" spans="1:5" ht="15">
      <c r="A15" s="1491"/>
      <c r="B15" s="3487"/>
      <c r="C15" s="1495" t="s">
        <v>921</v>
      </c>
      <c r="D15" s="859">
        <f ca="1">结果表!H108</f>
        <v>13070</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96" t="s">
        <v>2611</v>
      </c>
      <c r="B20" s="3791" t="s">
        <v>2632</v>
      </c>
      <c r="C20" s="3103" t="s">
        <v>2443</v>
      </c>
      <c r="D20" s="3104"/>
      <c r="E20" s="3105">
        <v>1</v>
      </c>
      <c r="F20" s="3106" t="s">
        <v>2444</v>
      </c>
      <c r="G20" s="3106"/>
    </row>
    <row r="21" spans="1:13" ht="19.5" customHeight="1">
      <c r="A21" s="3797"/>
      <c r="B21" s="3790"/>
      <c r="C21" s="3107" t="s">
        <v>2445</v>
      </c>
      <c r="D21" s="3108"/>
      <c r="E21" s="3109">
        <v>1</v>
      </c>
      <c r="F21" s="3106" t="s">
        <v>2446</v>
      </c>
      <c r="G21" s="3106"/>
    </row>
    <row r="22" spans="1:13" ht="19.5" customHeight="1">
      <c r="A22" s="3797"/>
      <c r="B22" s="3790"/>
      <c r="C22" s="3107" t="s">
        <v>2447</v>
      </c>
      <c r="D22" s="3108"/>
      <c r="E22" s="3109">
        <v>0.9</v>
      </c>
      <c r="F22" s="3106" t="s">
        <v>2448</v>
      </c>
      <c r="G22" s="3106"/>
    </row>
    <row r="23" spans="1:13" ht="19.5" customHeight="1">
      <c r="A23" s="3797"/>
      <c r="B23" s="3790"/>
      <c r="C23" s="3107" t="s">
        <v>2449</v>
      </c>
      <c r="D23" s="3108"/>
      <c r="E23" s="3109">
        <v>0.9</v>
      </c>
      <c r="F23" s="3106" t="s">
        <v>2450</v>
      </c>
      <c r="G23" s="3106"/>
    </row>
    <row r="24" spans="1:13" ht="19.5" customHeight="1">
      <c r="A24" s="3797"/>
      <c r="B24" s="3790"/>
      <c r="C24" s="3107" t="s">
        <v>2451</v>
      </c>
      <c r="D24" s="3108"/>
      <c r="E24" s="3109">
        <v>0.8</v>
      </c>
      <c r="F24" s="3106" t="s">
        <v>2452</v>
      </c>
      <c r="G24" s="3106"/>
    </row>
    <row r="25" spans="1:13" ht="19.5" customHeight="1" thickBot="1">
      <c r="A25" s="3798"/>
      <c r="B25" s="379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93" t="s">
        <v>2635</v>
      </c>
      <c r="B27" s="3791" t="s">
        <v>2616</v>
      </c>
      <c r="C27" s="3103" t="s">
        <v>2456</v>
      </c>
      <c r="D27" s="3104"/>
      <c r="E27" s="3105">
        <v>1</v>
      </c>
      <c r="F27" s="3106" t="s">
        <v>2457</v>
      </c>
      <c r="G27" s="3106"/>
    </row>
    <row r="28" spans="1:13" ht="19.5" customHeight="1">
      <c r="A28" s="3794"/>
      <c r="B28" s="3790"/>
      <c r="C28" s="3107" t="s">
        <v>2458</v>
      </c>
      <c r="D28" s="3108"/>
      <c r="E28" s="3109">
        <v>1</v>
      </c>
      <c r="F28" s="3106" t="s">
        <v>2459</v>
      </c>
      <c r="G28" s="3106"/>
    </row>
    <row r="29" spans="1:13" ht="19.5" customHeight="1">
      <c r="A29" s="3794"/>
      <c r="B29" s="3790"/>
      <c r="C29" s="3107" t="s">
        <v>2460</v>
      </c>
      <c r="D29" s="3108"/>
      <c r="E29" s="3109">
        <v>0.8</v>
      </c>
      <c r="F29" s="3106" t="s">
        <v>2461</v>
      </c>
      <c r="G29" s="3106"/>
    </row>
    <row r="30" spans="1:13" ht="19.5" customHeight="1">
      <c r="A30" s="3794"/>
      <c r="B30" s="3790"/>
      <c r="C30" s="3107" t="s">
        <v>2462</v>
      </c>
      <c r="D30" s="3108"/>
      <c r="E30" s="3109">
        <v>0.8</v>
      </c>
      <c r="F30" s="3106" t="s">
        <v>2463</v>
      </c>
      <c r="G30" s="3106"/>
    </row>
    <row r="31" spans="1:13" ht="19.5" customHeight="1">
      <c r="A31" s="3794"/>
      <c r="B31" s="3790"/>
      <c r="C31" s="3107" t="s">
        <v>2464</v>
      </c>
      <c r="D31" s="3108"/>
      <c r="E31" s="3109">
        <v>0.8</v>
      </c>
      <c r="F31" s="3106" t="s">
        <v>2465</v>
      </c>
      <c r="G31" s="3106"/>
    </row>
    <row r="32" spans="1:13" ht="19.5" customHeight="1">
      <c r="A32" s="3794"/>
      <c r="B32" s="3790"/>
      <c r="C32" s="3107" t="s">
        <v>2466</v>
      </c>
      <c r="D32" s="3108"/>
      <c r="E32" s="3109">
        <v>0.7</v>
      </c>
      <c r="F32" s="3106" t="s">
        <v>2467</v>
      </c>
      <c r="G32" s="3106"/>
    </row>
    <row r="33" spans="1:7" ht="19.5" customHeight="1">
      <c r="A33" s="3794"/>
      <c r="B33" s="3790"/>
      <c r="C33" s="3107" t="s">
        <v>2468</v>
      </c>
      <c r="D33" s="3108"/>
      <c r="E33" s="3109">
        <v>0.8</v>
      </c>
      <c r="F33" s="3106" t="s">
        <v>2469</v>
      </c>
      <c r="G33" s="3106"/>
    </row>
    <row r="34" spans="1:7" ht="19.5" customHeight="1">
      <c r="A34" s="3794"/>
      <c r="B34" s="3790"/>
      <c r="C34" s="3107" t="s">
        <v>2470</v>
      </c>
      <c r="D34" s="3108"/>
      <c r="E34" s="3109">
        <v>0.6</v>
      </c>
      <c r="F34" s="3106" t="s">
        <v>2471</v>
      </c>
      <c r="G34" s="3106"/>
    </row>
    <row r="35" spans="1:7" ht="19.5" customHeight="1">
      <c r="A35" s="3794"/>
      <c r="B35" s="3790"/>
      <c r="C35" s="3107" t="s">
        <v>2472</v>
      </c>
      <c r="D35" s="3108"/>
      <c r="E35" s="3109">
        <v>0.2</v>
      </c>
      <c r="F35" s="3106" t="s">
        <v>2473</v>
      </c>
      <c r="G35" s="3106"/>
    </row>
    <row r="36" spans="1:7" ht="19.5" customHeight="1">
      <c r="A36" s="3794"/>
      <c r="B36" s="3790"/>
      <c r="C36" s="3107" t="s">
        <v>2474</v>
      </c>
      <c r="D36" s="3108"/>
      <c r="E36" s="3109">
        <v>0.2</v>
      </c>
      <c r="F36" s="3106" t="s">
        <v>2475</v>
      </c>
      <c r="G36" s="3106"/>
    </row>
    <row r="37" spans="1:7" ht="19.5" customHeight="1">
      <c r="A37" s="3794"/>
      <c r="B37" s="3788" t="s">
        <v>2636</v>
      </c>
      <c r="C37" s="3107" t="s">
        <v>2476</v>
      </c>
      <c r="D37" s="3108"/>
      <c r="E37" s="3109">
        <v>0.6</v>
      </c>
      <c r="F37" s="3106" t="s">
        <v>2477</v>
      </c>
      <c r="G37" s="3106"/>
    </row>
    <row r="38" spans="1:7" ht="19.5" customHeight="1">
      <c r="A38" s="3794"/>
      <c r="B38" s="3790"/>
      <c r="C38" s="3107" t="s">
        <v>2478</v>
      </c>
      <c r="D38" s="3108"/>
      <c r="E38" s="3109">
        <v>0.6</v>
      </c>
      <c r="F38" s="3106" t="s">
        <v>2479</v>
      </c>
      <c r="G38" s="3106"/>
    </row>
    <row r="39" spans="1:7" ht="19.5" customHeight="1" thickBot="1">
      <c r="A39" s="3795"/>
      <c r="B39" s="379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96" t="s">
        <v>2614</v>
      </c>
      <c r="B41" s="3791" t="s">
        <v>2638</v>
      </c>
      <c r="C41" s="3103" t="s">
        <v>2483</v>
      </c>
      <c r="D41" s="3104"/>
      <c r="E41" s="3105">
        <v>1</v>
      </c>
      <c r="F41" s="3106" t="s">
        <v>2484</v>
      </c>
      <c r="G41" s="3106"/>
    </row>
    <row r="42" spans="1:7" ht="19.5" customHeight="1">
      <c r="A42" s="3797"/>
      <c r="B42" s="3790"/>
      <c r="C42" s="3107" t="s">
        <v>2485</v>
      </c>
      <c r="D42" s="3108"/>
      <c r="E42" s="3109">
        <v>1</v>
      </c>
      <c r="F42" s="3106" t="s">
        <v>2486</v>
      </c>
      <c r="G42" s="3106"/>
    </row>
    <row r="43" spans="1:7" ht="19.5" customHeight="1">
      <c r="A43" s="3797"/>
      <c r="B43" s="3789"/>
      <c r="C43" s="3107" t="s">
        <v>2487</v>
      </c>
      <c r="D43" s="3108"/>
      <c r="E43" s="3109">
        <v>1.5</v>
      </c>
      <c r="F43" s="3106" t="s">
        <v>2488</v>
      </c>
      <c r="G43" s="3106"/>
    </row>
    <row r="44" spans="1:7" ht="19.5" customHeight="1">
      <c r="A44" s="3797"/>
      <c r="B44" s="3118" t="s">
        <v>2639</v>
      </c>
      <c r="C44" s="3107" t="s">
        <v>2640</v>
      </c>
      <c r="D44" s="3108"/>
      <c r="E44" s="3109">
        <v>2</v>
      </c>
      <c r="F44" s="3106" t="s">
        <v>2489</v>
      </c>
      <c r="G44" s="3106"/>
    </row>
    <row r="45" spans="1:7" ht="19.5" customHeight="1">
      <c r="A45" s="3797"/>
      <c r="B45" s="3788" t="s">
        <v>2641</v>
      </c>
      <c r="C45" s="3107" t="s">
        <v>2490</v>
      </c>
      <c r="D45" s="3108"/>
      <c r="E45" s="3109">
        <v>1</v>
      </c>
      <c r="F45" s="3106" t="s">
        <v>2491</v>
      </c>
      <c r="G45" s="3106"/>
    </row>
    <row r="46" spans="1:7" ht="19.5" customHeight="1">
      <c r="A46" s="3797"/>
      <c r="B46" s="3790"/>
      <c r="C46" s="3107" t="s">
        <v>2492</v>
      </c>
      <c r="D46" s="3108"/>
      <c r="E46" s="3109">
        <v>1</v>
      </c>
      <c r="F46" s="3106" t="s">
        <v>2493</v>
      </c>
      <c r="G46" s="3106"/>
    </row>
    <row r="47" spans="1:7" ht="19.5" customHeight="1">
      <c r="A47" s="3797"/>
      <c r="B47" s="3790"/>
      <c r="C47" s="3107" t="s">
        <v>2494</v>
      </c>
      <c r="D47" s="3108"/>
      <c r="E47" s="3109">
        <v>1</v>
      </c>
      <c r="F47" s="3106" t="s">
        <v>2495</v>
      </c>
      <c r="G47" s="3106"/>
    </row>
    <row r="48" spans="1:7" ht="19.5" customHeight="1">
      <c r="A48" s="3797"/>
      <c r="B48" s="3790"/>
      <c r="C48" s="3107" t="s">
        <v>2496</v>
      </c>
      <c r="D48" s="3108"/>
      <c r="E48" s="3109">
        <v>1</v>
      </c>
      <c r="F48" s="3106" t="s">
        <v>2497</v>
      </c>
      <c r="G48" s="3106"/>
    </row>
    <row r="49" spans="1:7" ht="19.5" customHeight="1">
      <c r="A49" s="3797"/>
      <c r="B49" s="3790"/>
      <c r="C49" s="3107" t="s">
        <v>2498</v>
      </c>
      <c r="D49" s="3108"/>
      <c r="E49" s="3109">
        <v>1</v>
      </c>
      <c r="F49" s="3106" t="s">
        <v>2499</v>
      </c>
      <c r="G49" s="3106"/>
    </row>
    <row r="50" spans="1:7" ht="19.5" customHeight="1">
      <c r="A50" s="3797"/>
      <c r="B50" s="3790"/>
      <c r="C50" s="3107" t="s">
        <v>2500</v>
      </c>
      <c r="D50" s="3108"/>
      <c r="E50" s="3109">
        <v>1</v>
      </c>
      <c r="F50" s="3106" t="s">
        <v>2501</v>
      </c>
      <c r="G50" s="3106"/>
    </row>
    <row r="51" spans="1:7" ht="19.5" customHeight="1" thickBot="1">
      <c r="A51" s="3798"/>
      <c r="B51" s="379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8" t="s">
        <v>2655</v>
      </c>
      <c r="C73" s="3092" t="s">
        <v>2656</v>
      </c>
      <c r="D73" s="3092" t="s">
        <v>2657</v>
      </c>
      <c r="E73" s="3118">
        <v>0.2</v>
      </c>
      <c r="F73" s="3118">
        <v>25</v>
      </c>
    </row>
    <row r="74" spans="1:7" ht="24">
      <c r="A74" s="3118">
        <v>2</v>
      </c>
      <c r="B74" s="3790"/>
      <c r="C74" s="3092" t="s">
        <v>2658</v>
      </c>
      <c r="D74" s="3092" t="s">
        <v>2659</v>
      </c>
      <c r="E74" s="3118">
        <v>0.2</v>
      </c>
      <c r="F74" s="3118">
        <v>25</v>
      </c>
    </row>
    <row r="75" spans="1:7" ht="24">
      <c r="A75" s="3118">
        <v>3</v>
      </c>
      <c r="B75" s="3790"/>
      <c r="C75" s="3092" t="s">
        <v>2660</v>
      </c>
      <c r="D75" s="3092" t="s">
        <v>2661</v>
      </c>
      <c r="E75" s="3118">
        <v>0.2</v>
      </c>
      <c r="F75" s="3118">
        <v>25</v>
      </c>
    </row>
    <row r="76" spans="1:7" ht="13.5">
      <c r="A76" s="3118">
        <v>4</v>
      </c>
      <c r="B76" s="3790"/>
      <c r="C76" s="3092" t="s">
        <v>2662</v>
      </c>
      <c r="D76" s="3092" t="s">
        <v>2663</v>
      </c>
      <c r="E76" s="3118">
        <v>0.15</v>
      </c>
      <c r="F76" s="3118">
        <v>20</v>
      </c>
    </row>
    <row r="77" spans="1:7" ht="24">
      <c r="A77" s="3118">
        <v>5</v>
      </c>
      <c r="B77" s="3790"/>
      <c r="C77" s="3092" t="s">
        <v>2664</v>
      </c>
      <c r="D77" s="3092" t="s">
        <v>2665</v>
      </c>
      <c r="E77" s="3118">
        <v>0.15</v>
      </c>
      <c r="F77" s="3118">
        <v>20</v>
      </c>
    </row>
    <row r="78" spans="1:7" ht="24">
      <c r="A78" s="3118">
        <v>6</v>
      </c>
      <c r="B78" s="3790"/>
      <c r="C78" s="3092" t="s">
        <v>2666</v>
      </c>
      <c r="D78" s="3092" t="s">
        <v>2667</v>
      </c>
      <c r="E78" s="3118">
        <v>0.15</v>
      </c>
      <c r="F78" s="3118">
        <v>20</v>
      </c>
    </row>
    <row r="79" spans="1:7" ht="24">
      <c r="A79" s="3118">
        <v>7</v>
      </c>
      <c r="B79" s="3790"/>
      <c r="C79" s="3092" t="s">
        <v>2668</v>
      </c>
      <c r="D79" s="3092" t="s">
        <v>2669</v>
      </c>
      <c r="E79" s="3118">
        <v>0.15</v>
      </c>
      <c r="F79" s="3118">
        <v>20</v>
      </c>
    </row>
    <row r="80" spans="1:7" ht="24">
      <c r="A80" s="3118">
        <v>8</v>
      </c>
      <c r="B80" s="3790"/>
      <c r="C80" s="3092" t="s">
        <v>2670</v>
      </c>
      <c r="D80" s="3092" t="s">
        <v>2671</v>
      </c>
      <c r="E80" s="3118">
        <v>0.1</v>
      </c>
      <c r="F80" s="3118">
        <v>15</v>
      </c>
    </row>
    <row r="81" spans="1:6" ht="24">
      <c r="A81" s="3118">
        <v>9</v>
      </c>
      <c r="B81" s="3790"/>
      <c r="C81" s="3092" t="s">
        <v>2672</v>
      </c>
      <c r="D81" s="3092" t="s">
        <v>2673</v>
      </c>
      <c r="E81" s="3118">
        <v>0.1</v>
      </c>
      <c r="F81" s="3118">
        <v>15</v>
      </c>
    </row>
    <row r="82" spans="1:6" ht="24">
      <c r="A82" s="3118">
        <v>10</v>
      </c>
      <c r="B82" s="3790"/>
      <c r="C82" s="3092" t="s">
        <v>2674</v>
      </c>
      <c r="D82" s="3092" t="s">
        <v>2675</v>
      </c>
      <c r="E82" s="3118">
        <v>0.1</v>
      </c>
      <c r="F82" s="3118">
        <v>15</v>
      </c>
    </row>
    <row r="83" spans="1:6" ht="24">
      <c r="A83" s="3118">
        <v>11</v>
      </c>
      <c r="B83" s="3790"/>
      <c r="C83" s="3092" t="s">
        <v>2676</v>
      </c>
      <c r="D83" s="3092" t="s">
        <v>2677</v>
      </c>
      <c r="E83" s="3118">
        <v>0.1</v>
      </c>
      <c r="F83" s="3118">
        <v>15</v>
      </c>
    </row>
    <row r="84" spans="1:6" ht="24">
      <c r="A84" s="3118">
        <v>12</v>
      </c>
      <c r="B84" s="3790"/>
      <c r="C84" s="3092" t="s">
        <v>2678</v>
      </c>
      <c r="D84" s="3092" t="s">
        <v>2679</v>
      </c>
      <c r="E84" s="3118">
        <v>0.1</v>
      </c>
      <c r="F84" s="3118">
        <v>15</v>
      </c>
    </row>
    <row r="85" spans="1:6" ht="13.5">
      <c r="A85" s="3118">
        <v>13</v>
      </c>
      <c r="B85" s="3790"/>
      <c r="C85" s="3092" t="s">
        <v>2680</v>
      </c>
      <c r="D85" s="3092" t="s">
        <v>2681</v>
      </c>
      <c r="E85" s="3118">
        <v>0.1</v>
      </c>
      <c r="F85" s="3118">
        <v>15</v>
      </c>
    </row>
    <row r="86" spans="1:6" ht="13.5">
      <c r="A86" s="3118">
        <v>14</v>
      </c>
      <c r="B86" s="3790"/>
      <c r="C86" s="3092" t="s">
        <v>2682</v>
      </c>
      <c r="D86" s="3092" t="s">
        <v>2683</v>
      </c>
      <c r="E86" s="3118">
        <v>0.1</v>
      </c>
      <c r="F86" s="3118">
        <v>15</v>
      </c>
    </row>
    <row r="87" spans="1:6" ht="13.5">
      <c r="A87" s="3118">
        <v>15</v>
      </c>
      <c r="B87" s="3790"/>
      <c r="C87" s="3092" t="s">
        <v>2684</v>
      </c>
      <c r="D87" s="3092" t="s">
        <v>2685</v>
      </c>
      <c r="E87" s="3118">
        <v>0.1</v>
      </c>
      <c r="F87" s="3118">
        <v>15</v>
      </c>
    </row>
    <row r="88" spans="1:6" ht="24">
      <c r="A88" s="3118">
        <v>16</v>
      </c>
      <c r="B88" s="3790"/>
      <c r="C88" s="3092" t="s">
        <v>2686</v>
      </c>
      <c r="D88" s="3092" t="s">
        <v>2687</v>
      </c>
      <c r="E88" s="3118">
        <v>0.1</v>
      </c>
      <c r="F88" s="3118">
        <v>15</v>
      </c>
    </row>
    <row r="89" spans="1:6" ht="24">
      <c r="A89" s="3118">
        <v>17</v>
      </c>
      <c r="B89" s="3789"/>
      <c r="C89" s="3092" t="s">
        <v>2688</v>
      </c>
      <c r="D89" s="3092" t="s">
        <v>2689</v>
      </c>
      <c r="E89" s="3118">
        <v>0.1</v>
      </c>
      <c r="F89" s="3118">
        <v>15</v>
      </c>
    </row>
    <row r="90" spans="1:6" ht="13.5">
      <c r="A90" s="3118">
        <v>18</v>
      </c>
      <c r="B90" s="3788" t="s">
        <v>2690</v>
      </c>
      <c r="C90" s="3092" t="s">
        <v>2691</v>
      </c>
      <c r="D90" s="3092" t="s">
        <v>2692</v>
      </c>
      <c r="E90" s="3118">
        <v>0.2</v>
      </c>
      <c r="F90" s="3118">
        <v>25</v>
      </c>
    </row>
    <row r="91" spans="1:6" ht="24">
      <c r="A91" s="3118">
        <v>19</v>
      </c>
      <c r="B91" s="3790"/>
      <c r="C91" s="3092" t="s">
        <v>2693</v>
      </c>
      <c r="D91" s="3092" t="s">
        <v>2694</v>
      </c>
      <c r="E91" s="3118">
        <v>0.2</v>
      </c>
      <c r="F91" s="3118">
        <v>25</v>
      </c>
    </row>
    <row r="92" spans="1:6" ht="13.5">
      <c r="A92" s="3118">
        <v>20</v>
      </c>
      <c r="B92" s="3790"/>
      <c r="C92" s="3092" t="s">
        <v>2695</v>
      </c>
      <c r="D92" s="3092" t="s">
        <v>2696</v>
      </c>
      <c r="E92" s="3118">
        <v>0.15</v>
      </c>
      <c r="F92" s="3118">
        <v>20</v>
      </c>
    </row>
    <row r="93" spans="1:6" ht="13.5">
      <c r="A93" s="3118">
        <v>21</v>
      </c>
      <c r="B93" s="3790"/>
      <c r="C93" s="3092" t="s">
        <v>2697</v>
      </c>
      <c r="D93" s="3092" t="s">
        <v>2698</v>
      </c>
      <c r="E93" s="3118">
        <v>0.15</v>
      </c>
      <c r="F93" s="3118">
        <v>20</v>
      </c>
    </row>
    <row r="94" spans="1:6" ht="13.5">
      <c r="A94" s="3118">
        <v>22</v>
      </c>
      <c r="B94" s="3790"/>
      <c r="C94" s="3092" t="s">
        <v>2699</v>
      </c>
      <c r="D94" s="3092" t="s">
        <v>2700</v>
      </c>
      <c r="E94" s="3118">
        <v>0.15</v>
      </c>
      <c r="F94" s="3118">
        <v>20</v>
      </c>
    </row>
    <row r="95" spans="1:6" ht="36">
      <c r="A95" s="3118">
        <v>23</v>
      </c>
      <c r="B95" s="3790"/>
      <c r="C95" s="3092" t="s">
        <v>2701</v>
      </c>
      <c r="D95" s="3092" t="s">
        <v>2702</v>
      </c>
      <c r="E95" s="3118">
        <v>0.15</v>
      </c>
      <c r="F95" s="3118">
        <v>20</v>
      </c>
    </row>
    <row r="96" spans="1:6" ht="13.5">
      <c r="A96" s="3118">
        <v>24</v>
      </c>
      <c r="B96" s="3790"/>
      <c r="C96" s="3092" t="s">
        <v>2703</v>
      </c>
      <c r="D96" s="3092" t="s">
        <v>2704</v>
      </c>
      <c r="E96" s="3118">
        <v>0.1</v>
      </c>
      <c r="F96" s="3118">
        <v>15</v>
      </c>
    </row>
    <row r="97" spans="1:6" ht="13.5">
      <c r="A97" s="3118">
        <v>25</v>
      </c>
      <c r="B97" s="3790"/>
      <c r="C97" s="3092" t="s">
        <v>2705</v>
      </c>
      <c r="D97" s="3092" t="s">
        <v>2706</v>
      </c>
      <c r="E97" s="3118">
        <v>0.1</v>
      </c>
      <c r="F97" s="3118">
        <v>15</v>
      </c>
    </row>
    <row r="98" spans="1:6" ht="24">
      <c r="A98" s="3118">
        <v>26</v>
      </c>
      <c r="B98" s="3790"/>
      <c r="C98" s="3092" t="s">
        <v>2707</v>
      </c>
      <c r="D98" s="3092" t="s">
        <v>2708</v>
      </c>
      <c r="E98" s="3118">
        <v>0.1</v>
      </c>
      <c r="F98" s="3118">
        <v>15</v>
      </c>
    </row>
    <row r="99" spans="1:6" ht="24">
      <c r="A99" s="3118">
        <v>27</v>
      </c>
      <c r="B99" s="3790"/>
      <c r="C99" s="3092" t="s">
        <v>2709</v>
      </c>
      <c r="D99" s="3092" t="s">
        <v>2710</v>
      </c>
      <c r="E99" s="3118">
        <v>0.1</v>
      </c>
      <c r="F99" s="3118">
        <v>15</v>
      </c>
    </row>
    <row r="100" spans="1:6" ht="13.5">
      <c r="A100" s="3118">
        <v>28</v>
      </c>
      <c r="B100" s="3790"/>
      <c r="C100" s="3092" t="s">
        <v>2711</v>
      </c>
      <c r="D100" s="3092" t="s">
        <v>2712</v>
      </c>
      <c r="E100" s="3118">
        <v>0.1</v>
      </c>
      <c r="F100" s="3118">
        <v>15</v>
      </c>
    </row>
    <row r="101" spans="1:6" ht="13.5">
      <c r="A101" s="3118">
        <v>29</v>
      </c>
      <c r="B101" s="3790"/>
      <c r="C101" s="3092" t="s">
        <v>2713</v>
      </c>
      <c r="D101" s="3092" t="s">
        <v>2714</v>
      </c>
      <c r="E101" s="3118">
        <v>0.1</v>
      </c>
      <c r="F101" s="3118">
        <v>15</v>
      </c>
    </row>
    <row r="102" spans="1:6" ht="13.5">
      <c r="A102" s="3118">
        <v>30</v>
      </c>
      <c r="B102" s="3790"/>
      <c r="C102" s="3092" t="s">
        <v>2715</v>
      </c>
      <c r="D102" s="3092" t="s">
        <v>2716</v>
      </c>
      <c r="E102" s="3118">
        <v>0.1</v>
      </c>
      <c r="F102" s="3118">
        <v>15</v>
      </c>
    </row>
    <row r="103" spans="1:6" ht="24">
      <c r="A103" s="3118">
        <v>31</v>
      </c>
      <c r="B103" s="3790"/>
      <c r="C103" s="3092" t="s">
        <v>2717</v>
      </c>
      <c r="D103" s="3092" t="s">
        <v>2718</v>
      </c>
      <c r="E103" s="3118">
        <v>0.1</v>
      </c>
      <c r="F103" s="3118">
        <v>15</v>
      </c>
    </row>
    <row r="104" spans="1:6" ht="24">
      <c r="A104" s="3118">
        <v>32</v>
      </c>
      <c r="B104" s="3790"/>
      <c r="C104" s="3092" t="s">
        <v>2719</v>
      </c>
      <c r="D104" s="3092" t="s">
        <v>2720</v>
      </c>
      <c r="E104" s="3118">
        <v>0.1</v>
      </c>
      <c r="F104" s="3118">
        <v>15</v>
      </c>
    </row>
    <row r="105" spans="1:6" ht="24">
      <c r="A105" s="3118">
        <v>33</v>
      </c>
      <c r="B105" s="3790"/>
      <c r="C105" s="3092" t="s">
        <v>2721</v>
      </c>
      <c r="D105" s="3092" t="s">
        <v>2722</v>
      </c>
      <c r="E105" s="3118">
        <v>0.1</v>
      </c>
      <c r="F105" s="3118">
        <v>15</v>
      </c>
    </row>
    <row r="106" spans="1:6" ht="24">
      <c r="A106" s="3118">
        <v>34</v>
      </c>
      <c r="B106" s="3789"/>
      <c r="C106" s="3092" t="s">
        <v>2723</v>
      </c>
      <c r="D106" s="3092" t="s">
        <v>2724</v>
      </c>
      <c r="E106" s="3118">
        <v>0.1</v>
      </c>
      <c r="F106" s="3118">
        <v>15</v>
      </c>
    </row>
    <row r="107" spans="1:6" ht="24">
      <c r="A107" s="3118">
        <v>35</v>
      </c>
      <c r="B107" s="3788" t="s">
        <v>2725</v>
      </c>
      <c r="C107" s="3118" t="s">
        <v>2726</v>
      </c>
      <c r="D107" s="3092" t="s">
        <v>2727</v>
      </c>
      <c r="E107" s="3118">
        <v>0.15</v>
      </c>
      <c r="F107" s="3118">
        <v>20</v>
      </c>
    </row>
    <row r="108" spans="1:6" ht="13.5">
      <c r="A108" s="3118">
        <v>36</v>
      </c>
      <c r="B108" s="3790"/>
      <c r="C108" s="3118" t="s">
        <v>2728</v>
      </c>
      <c r="D108" s="3092" t="s">
        <v>2729</v>
      </c>
      <c r="E108" s="3118">
        <v>0.15</v>
      </c>
      <c r="F108" s="3118">
        <v>20</v>
      </c>
    </row>
    <row r="109" spans="1:6" ht="13.5">
      <c r="A109" s="3118">
        <v>37</v>
      </c>
      <c r="B109" s="3790"/>
      <c r="C109" s="3118" t="s">
        <v>2730</v>
      </c>
      <c r="D109" s="3092" t="s">
        <v>2731</v>
      </c>
      <c r="E109" s="3118">
        <v>0.15</v>
      </c>
      <c r="F109" s="3118">
        <v>20</v>
      </c>
    </row>
    <row r="110" spans="1:6" ht="13.5">
      <c r="A110" s="3118">
        <v>38</v>
      </c>
      <c r="B110" s="3790"/>
      <c r="C110" s="3118" t="s">
        <v>2732</v>
      </c>
      <c r="D110" s="3092" t="s">
        <v>2733</v>
      </c>
      <c r="E110" s="3118">
        <v>0.1</v>
      </c>
      <c r="F110" s="3118">
        <v>15</v>
      </c>
    </row>
    <row r="111" spans="1:6" ht="24">
      <c r="A111" s="3118">
        <v>39</v>
      </c>
      <c r="B111" s="3790"/>
      <c r="C111" s="3118" t="s">
        <v>2734</v>
      </c>
      <c r="D111" s="3092" t="s">
        <v>2735</v>
      </c>
      <c r="E111" s="3118">
        <v>0.1</v>
      </c>
      <c r="F111" s="3118">
        <v>15</v>
      </c>
    </row>
    <row r="112" spans="1:6" ht="24">
      <c r="A112" s="3118">
        <v>40</v>
      </c>
      <c r="B112" s="3789"/>
      <c r="C112" s="3118" t="s">
        <v>2736</v>
      </c>
      <c r="D112" s="3092" t="s">
        <v>2737</v>
      </c>
      <c r="E112" s="3118">
        <v>0.1</v>
      </c>
      <c r="F112" s="3118">
        <v>15</v>
      </c>
    </row>
    <row r="113" spans="1:6" ht="13.5">
      <c r="A113" s="3118">
        <v>41</v>
      </c>
      <c r="B113" s="3787" t="s">
        <v>2738</v>
      </c>
      <c r="C113" s="3118" t="s">
        <v>2739</v>
      </c>
      <c r="D113" s="3092" t="s">
        <v>2740</v>
      </c>
      <c r="E113" s="3118">
        <v>0.1</v>
      </c>
      <c r="F113" s="3118">
        <v>15</v>
      </c>
    </row>
    <row r="114" spans="1:6" ht="13.5">
      <c r="A114" s="3118">
        <v>42</v>
      </c>
      <c r="B114" s="3787"/>
      <c r="C114" s="3118" t="s">
        <v>2741</v>
      </c>
      <c r="D114" s="3092" t="s">
        <v>2742</v>
      </c>
      <c r="E114" s="3118">
        <v>0.1</v>
      </c>
      <c r="F114" s="3118">
        <v>15</v>
      </c>
    </row>
    <row r="115" spans="1:6" ht="24">
      <c r="A115" s="3118">
        <v>43</v>
      </c>
      <c r="B115" s="3787"/>
      <c r="C115" s="3118" t="s">
        <v>2743</v>
      </c>
      <c r="D115" s="3092" t="s">
        <v>2744</v>
      </c>
      <c r="E115" s="3118">
        <v>0.1</v>
      </c>
      <c r="F115" s="3118">
        <v>15</v>
      </c>
    </row>
    <row r="116" spans="1:6" ht="13.5">
      <c r="A116" s="3118">
        <v>44</v>
      </c>
      <c r="B116" s="3788" t="s">
        <v>2745</v>
      </c>
      <c r="C116" s="3118" t="s">
        <v>2746</v>
      </c>
      <c r="D116" s="3092" t="s">
        <v>2747</v>
      </c>
      <c r="E116" s="3118">
        <v>0.1</v>
      </c>
      <c r="F116" s="3118">
        <v>15</v>
      </c>
    </row>
    <row r="117" spans="1:6" ht="24">
      <c r="A117" s="3118">
        <v>45</v>
      </c>
      <c r="B117" s="3789"/>
      <c r="C117" s="3092" t="s">
        <v>2748</v>
      </c>
      <c r="D117" s="3092" t="s">
        <v>2749</v>
      </c>
      <c r="E117" s="3118">
        <v>0.1</v>
      </c>
      <c r="F117" s="3118">
        <v>15</v>
      </c>
    </row>
    <row r="118" spans="1:6" ht="24">
      <c r="A118" s="3118">
        <v>46</v>
      </c>
      <c r="B118" s="3788" t="s">
        <v>2750</v>
      </c>
      <c r="C118" s="3118" t="s">
        <v>2751</v>
      </c>
      <c r="D118" s="3092" t="s">
        <v>2752</v>
      </c>
      <c r="E118" s="3118">
        <v>0.1</v>
      </c>
      <c r="F118" s="3118">
        <v>15</v>
      </c>
    </row>
    <row r="119" spans="1:6" ht="24">
      <c r="A119" s="3118">
        <v>47</v>
      </c>
      <c r="B119" s="3789"/>
      <c r="C119" s="3118" t="s">
        <v>2753</v>
      </c>
      <c r="D119" s="3092" t="s">
        <v>2754</v>
      </c>
      <c r="E119" s="3118">
        <v>0.1</v>
      </c>
      <c r="F119" s="3118">
        <v>15</v>
      </c>
    </row>
    <row r="120" spans="1:6" ht="13.5">
      <c r="A120" s="3118">
        <v>48</v>
      </c>
      <c r="B120" s="3788" t="s">
        <v>2755</v>
      </c>
      <c r="C120" s="3118" t="s">
        <v>2756</v>
      </c>
      <c r="D120" s="3092" t="s">
        <v>2757</v>
      </c>
      <c r="E120" s="3118">
        <v>0.1</v>
      </c>
      <c r="F120" s="3118">
        <v>15</v>
      </c>
    </row>
    <row r="121" spans="1:6" ht="13.5">
      <c r="A121" s="3118">
        <v>49</v>
      </c>
      <c r="B121" s="3789"/>
      <c r="C121" s="3118" t="s">
        <v>2758</v>
      </c>
      <c r="D121" s="3092" t="s">
        <v>2759</v>
      </c>
      <c r="E121" s="3118">
        <v>0.1</v>
      </c>
      <c r="F121" s="3118">
        <v>15</v>
      </c>
    </row>
    <row r="122" spans="1:6" ht="24">
      <c r="A122" s="3118">
        <v>50</v>
      </c>
      <c r="B122" s="3787" t="s">
        <v>2760</v>
      </c>
      <c r="C122" s="3118" t="s">
        <v>2761</v>
      </c>
      <c r="D122" s="3092" t="s">
        <v>2762</v>
      </c>
      <c r="E122" s="3118">
        <v>0.1</v>
      </c>
      <c r="F122" s="3118">
        <v>15</v>
      </c>
    </row>
    <row r="123" spans="1:6" ht="24">
      <c r="A123" s="3118">
        <v>51</v>
      </c>
      <c r="B123" s="3787"/>
      <c r="C123" s="3118" t="s">
        <v>2763</v>
      </c>
      <c r="D123" s="3092" t="s">
        <v>2764</v>
      </c>
      <c r="E123" s="3118">
        <v>0.1</v>
      </c>
      <c r="F123" s="3118">
        <v>15</v>
      </c>
    </row>
    <row r="124" spans="1:6" ht="24">
      <c r="A124" s="3118">
        <v>52</v>
      </c>
      <c r="B124" s="3787" t="s">
        <v>2765</v>
      </c>
      <c r="C124" s="3118" t="s">
        <v>2766</v>
      </c>
      <c r="D124" s="3092" t="s">
        <v>2767</v>
      </c>
      <c r="E124" s="3118">
        <v>0.1</v>
      </c>
      <c r="F124" s="3118">
        <v>15</v>
      </c>
    </row>
    <row r="125" spans="1:6" ht="24">
      <c r="A125" s="3118">
        <v>53</v>
      </c>
      <c r="B125" s="378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7" t="s">
        <v>2773</v>
      </c>
      <c r="C127" s="3118" t="s">
        <v>2774</v>
      </c>
      <c r="D127" s="3092" t="s">
        <v>2775</v>
      </c>
      <c r="E127" s="3118">
        <v>0.1</v>
      </c>
      <c r="F127" s="3118">
        <v>15</v>
      </c>
    </row>
    <row r="128" spans="1:6" ht="13.5">
      <c r="A128" s="3118">
        <v>56</v>
      </c>
      <c r="B128" s="3787"/>
      <c r="C128" s="3118" t="s">
        <v>2776</v>
      </c>
      <c r="D128" s="3092" t="s">
        <v>2777</v>
      </c>
      <c r="E128" s="3118">
        <v>0.1</v>
      </c>
      <c r="F128" s="3118">
        <v>15</v>
      </c>
    </row>
    <row r="129" spans="1:6" ht="24">
      <c r="A129" s="3118">
        <v>57</v>
      </c>
      <c r="B129" s="3787"/>
      <c r="C129" s="3118" t="s">
        <v>2778</v>
      </c>
      <c r="D129" s="3092" t="s">
        <v>2779</v>
      </c>
      <c r="E129" s="3118">
        <v>0.1</v>
      </c>
      <c r="F129" s="3118">
        <v>15</v>
      </c>
    </row>
    <row r="130" spans="1:6" ht="24">
      <c r="A130" s="3118">
        <v>58</v>
      </c>
      <c r="B130" s="3787" t="s">
        <v>2780</v>
      </c>
      <c r="C130" s="3118" t="s">
        <v>2781</v>
      </c>
      <c r="D130" s="3092" t="s">
        <v>2782</v>
      </c>
      <c r="E130" s="3118">
        <v>0.1</v>
      </c>
      <c r="F130" s="3118">
        <v>15</v>
      </c>
    </row>
    <row r="131" spans="1:6" ht="13.5">
      <c r="A131" s="3118">
        <v>59</v>
      </c>
      <c r="B131" s="3787"/>
      <c r="C131" s="3118" t="s">
        <v>2783</v>
      </c>
      <c r="D131" s="3092" t="s">
        <v>2784</v>
      </c>
      <c r="E131" s="3118">
        <v>0.1</v>
      </c>
      <c r="F131" s="3118">
        <v>15</v>
      </c>
    </row>
    <row r="132" spans="1:6" ht="13.5">
      <c r="A132" s="3118">
        <v>60</v>
      </c>
      <c r="B132" s="3788" t="s">
        <v>2785</v>
      </c>
      <c r="C132" s="3118" t="s">
        <v>2786</v>
      </c>
      <c r="D132" s="3092" t="s">
        <v>2787</v>
      </c>
      <c r="E132" s="3118">
        <v>0.1</v>
      </c>
      <c r="F132" s="3118">
        <v>15</v>
      </c>
    </row>
    <row r="133" spans="1:6" ht="13.5">
      <c r="A133" s="3118">
        <v>61</v>
      </c>
      <c r="B133" s="378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7" t="s">
        <v>2793</v>
      </c>
      <c r="C135" s="3118" t="s">
        <v>2794</v>
      </c>
      <c r="D135" s="3092" t="s">
        <v>2795</v>
      </c>
      <c r="E135" s="3118">
        <v>0.1</v>
      </c>
      <c r="F135" s="3118">
        <v>15</v>
      </c>
    </row>
    <row r="136" spans="1:6" ht="13.5">
      <c r="A136" s="3118">
        <v>64</v>
      </c>
      <c r="B136" s="378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84834</v>
      </c>
      <c r="C2" s="2" t="s">
        <v>106</v>
      </c>
      <c r="D2" s="199"/>
      <c r="E2" s="199"/>
      <c r="F2" s="199"/>
      <c r="G2" s="199"/>
    </row>
    <row r="3" spans="1:7" s="200" customFormat="1" ht="18" customHeight="1" thickBot="1">
      <c r="A3" s="203" t="s">
        <v>58</v>
      </c>
      <c r="B3" s="204">
        <f ca="1">ROUND(B2*10000/'数据-汇总表'!E3,0)</f>
        <v>11560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440</v>
      </c>
      <c r="D10" s="845">
        <f>'数据-汇总表'!E6</f>
        <v>73388.159999999989</v>
      </c>
      <c r="E10" s="225">
        <f>'数据-取费表'!B28</f>
        <v>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1468</v>
      </c>
      <c r="D19" s="849">
        <f>'数据-汇总表'!E3</f>
        <v>73388.159999999989</v>
      </c>
      <c r="E19" s="211">
        <f>'数据-取费表'!B31</f>
        <v>200</v>
      </c>
      <c r="F19" s="231"/>
      <c r="G19" s="1" t="s">
        <v>436</v>
      </c>
    </row>
    <row r="20" spans="1:7" s="214" customFormat="1" ht="13.5" customHeight="1">
      <c r="A20" s="777" t="s">
        <v>419</v>
      </c>
      <c r="B20" s="210" t="s">
        <v>77</v>
      </c>
      <c r="C20" s="232">
        <f>ROUND((C5+C19)*F20,0)</f>
        <v>442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1565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3378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3378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29755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48363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44033</v>
      </c>
      <c r="D34" s="217"/>
      <c r="E34" s="220"/>
      <c r="F34" s="257">
        <f>IF('数据-取费表'!B24=0,1,'数据-取费表'!N16)</f>
        <v>1</v>
      </c>
      <c r="G34" s="219" t="s">
        <v>89</v>
      </c>
    </row>
    <row r="35" spans="1:7" ht="13.5" customHeight="1">
      <c r="A35" s="780" t="s">
        <v>351</v>
      </c>
      <c r="B35" s="215" t="s">
        <v>33</v>
      </c>
      <c r="C35" s="220">
        <f>ROUND(C34*F35,0)</f>
        <v>2202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1468</v>
      </c>
      <c r="D37" s="217">
        <f>'数据-汇总表'!E3</f>
        <v>73388.159999999989</v>
      </c>
      <c r="E37" s="249">
        <f>'数据-取费表'!B35</f>
        <v>200</v>
      </c>
      <c r="F37" s="259"/>
      <c r="G37" s="261" t="s">
        <v>92</v>
      </c>
    </row>
    <row r="38" spans="1:7" ht="13.5" customHeight="1">
      <c r="A38" s="780" t="s">
        <v>354</v>
      </c>
      <c r="B38" s="215" t="s">
        <v>36</v>
      </c>
      <c r="C38" s="220">
        <f>ROUND(C34*F38,0)</f>
        <v>660</v>
      </c>
      <c r="D38" s="220"/>
      <c r="E38" s="220"/>
      <c r="F38" s="259">
        <f>'数据-取费表'!B36</f>
        <v>1.4999999999999999E-2</v>
      </c>
      <c r="G38" s="219" t="s">
        <v>90</v>
      </c>
    </row>
    <row r="39" spans="1:7" s="214" customFormat="1" ht="13.5" customHeight="1">
      <c r="A39" s="777" t="s">
        <v>338</v>
      </c>
      <c r="B39" s="210" t="s">
        <v>77</v>
      </c>
      <c r="C39" s="232">
        <f>ROUND(C33*F20,0)</f>
        <v>967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1702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1669</v>
      </c>
      <c r="D42" s="238"/>
      <c r="E42" s="238"/>
      <c r="F42" s="239"/>
      <c r="G42" s="3719" t="s">
        <v>94</v>
      </c>
    </row>
    <row r="43" spans="1:7" ht="13.5" customHeight="1">
      <c r="A43" s="780" t="s">
        <v>347</v>
      </c>
      <c r="B43" s="215" t="s">
        <v>426</v>
      </c>
      <c r="C43" s="238">
        <f ca="1">ROUND(IF('数据-取费表'!B22&lt;=1,C39*F22*'数据-取费表'!B21/2,C39*(POWER((1+F22),'数据-取费表'!B21/2)-1)),0)</f>
        <v>33</v>
      </c>
      <c r="D43" s="238"/>
      <c r="E43" s="238"/>
      <c r="F43" s="239"/>
      <c r="G43" s="3720"/>
    </row>
    <row r="44" spans="1:7" ht="13.5" customHeight="1">
      <c r="A44" s="780" t="s">
        <v>348</v>
      </c>
      <c r="B44" s="215" t="s">
        <v>428</v>
      </c>
      <c r="C44" s="238">
        <f ca="1">ROUND(IF('数据-取费表'!B22&lt;=1,C40*F22*'数据-取费表'!B21/2,C40*(POWER((1+F22),'数据-取费表'!B21/2)-1)),4)</f>
        <v>6.9999999999999999E-4</v>
      </c>
      <c r="D44" s="238"/>
      <c r="E44" s="238"/>
      <c r="F44" s="239"/>
      <c r="G44" s="3721"/>
    </row>
    <row r="45" spans="1:7" s="214" customFormat="1" ht="13.5" customHeight="1">
      <c r="A45" s="777" t="s">
        <v>341</v>
      </c>
      <c r="B45" s="244" t="s">
        <v>85</v>
      </c>
      <c r="C45" s="245">
        <f>C46</f>
        <v>7400</v>
      </c>
      <c r="D45" s="235">
        <f>C47</f>
        <v>3.0000000000000001E-3</v>
      </c>
      <c r="E45" s="236" t="s">
        <v>102</v>
      </c>
      <c r="F45" s="246"/>
      <c r="G45" s="247" t="s">
        <v>434</v>
      </c>
    </row>
    <row r="46" spans="1:7" s="214" customFormat="1" ht="13.5" customHeight="1">
      <c r="A46" s="780" t="s">
        <v>349</v>
      </c>
      <c r="B46" s="248" t="s">
        <v>427</v>
      </c>
      <c r="C46" s="249">
        <f>ROUND((C33+C39)*F27,0)</f>
        <v>7400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63309</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55079</v>
      </c>
      <c r="D51" s="232"/>
      <c r="E51" s="232"/>
      <c r="F51" s="264"/>
      <c r="G51" s="234" t="s">
        <v>37</v>
      </c>
    </row>
    <row r="52" spans="1:7" s="208" customFormat="1" ht="16.5" thickBot="1">
      <c r="A52" s="265" t="s">
        <v>38</v>
      </c>
      <c r="B52" s="266"/>
      <c r="C52" s="267">
        <f ca="1">C31+C51</f>
        <v>84834</v>
      </c>
      <c r="D52" s="266"/>
      <c r="E52" s="266"/>
      <c r="F52" s="266"/>
      <c r="G52" s="268"/>
    </row>
    <row r="55" spans="1:7" ht="15">
      <c r="B55" s="270" t="s">
        <v>39</v>
      </c>
      <c r="C55" s="271"/>
    </row>
    <row r="56" spans="1:7">
      <c r="B56" s="273" t="s">
        <v>40</v>
      </c>
      <c r="C56" s="274">
        <f ca="1">ROUND(C51/C52,3)</f>
        <v>0.64900000000000002</v>
      </c>
    </row>
    <row r="57" spans="1:7">
      <c r="B57" s="273" t="s">
        <v>41</v>
      </c>
      <c r="C57" s="275">
        <f ca="1">1-C56</f>
        <v>0.35099999999999998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1" t="s">
        <v>2843</v>
      </c>
      <c r="B1" s="3801"/>
      <c r="C1" s="3801"/>
      <c r="D1" s="3801"/>
      <c r="E1" s="3801"/>
      <c r="F1" s="3801"/>
      <c r="G1" s="380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9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80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3" t="s">
        <v>3185</v>
      </c>
      <c r="B1" s="380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4" t="s">
        <v>3236</v>
      </c>
      <c r="B1" s="3804"/>
      <c r="C1" s="3804"/>
      <c r="D1" s="3804"/>
      <c r="E1" s="3804"/>
      <c r="F1" s="380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1">
        <f>基准地价修正!G23</f>
        <v>45372</v>
      </c>
      <c r="B1" s="3210" t="s">
        <v>3375</v>
      </c>
      <c r="C1" s="3211"/>
      <c r="D1" s="3211"/>
      <c r="E1" s="3211"/>
      <c r="F1" s="3211"/>
      <c r="G1" s="3211"/>
      <c r="H1" s="3211"/>
      <c r="I1" s="3211"/>
      <c r="J1" s="3165"/>
      <c r="K1" s="3211" t="s">
        <v>454</v>
      </c>
      <c r="L1" s="3211"/>
      <c r="M1" s="3211"/>
      <c r="N1" s="3211"/>
      <c r="O1" s="3211"/>
      <c r="P1" s="3211"/>
      <c r="Q1" s="3165"/>
      <c r="R1" s="3806" t="s">
        <v>456</v>
      </c>
      <c r="S1" s="3807"/>
      <c r="T1" s="3807"/>
      <c r="U1" s="3807"/>
      <c r="V1" s="3807"/>
      <c r="W1" s="3807"/>
      <c r="X1" s="3165"/>
      <c r="Y1" s="3806" t="s">
        <v>457</v>
      </c>
      <c r="Z1" s="3807"/>
      <c r="AA1" s="3807"/>
      <c r="AB1" s="3807"/>
      <c r="AC1" s="3807"/>
      <c r="AD1" s="380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806" t="s">
        <v>2831</v>
      </c>
      <c r="S23" s="3807"/>
      <c r="T23" s="3807"/>
      <c r="U23" s="3807"/>
      <c r="V23" s="3807"/>
      <c r="W23" s="3807"/>
      <c r="X23" s="3165"/>
      <c r="Y23" s="3806" t="s">
        <v>2832</v>
      </c>
      <c r="Z23" s="3807"/>
      <c r="AA23" s="3807"/>
      <c r="AB23" s="3807"/>
      <c r="AC23" s="3807"/>
      <c r="AD23" s="380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K20" sqref="K2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73388.159999999989</v>
      </c>
      <c r="C4" s="854">
        <f>项目基本情况!C18</f>
        <v>0</v>
      </c>
      <c r="D4" s="854" t="e">
        <f ca="1">结果表!D118</f>
        <v>#REF!</v>
      </c>
      <c r="E4" s="854" t="e">
        <f ca="1">结果表!E118</f>
        <v>#REF!</v>
      </c>
      <c r="F4" s="854" t="e">
        <f ca="1">结果表!F118</f>
        <v>#REF!</v>
      </c>
      <c r="G4" s="854" t="e">
        <f ca="1">结果表!G118</f>
        <v>#REF!</v>
      </c>
      <c r="H4" s="854">
        <f ca="1">结果表!H118</f>
        <v>92741</v>
      </c>
      <c r="I4" s="854">
        <f ca="1">结果表!I118</f>
        <v>13070</v>
      </c>
    </row>
    <row r="5" spans="1:9" ht="30" customHeight="1">
      <c r="A5" s="3494" t="s">
        <v>927</v>
      </c>
      <c r="B5" s="3494"/>
      <c r="C5" s="3494"/>
      <c r="D5" s="3494" t="e">
        <f ca="1">结果表!D119</f>
        <v>#REF!</v>
      </c>
      <c r="E5" s="3494"/>
      <c r="F5" s="3494" t="e">
        <f ca="1">结果表!F119</f>
        <v>#REF!</v>
      </c>
      <c r="G5" s="3494"/>
      <c r="H5" s="3494" t="str">
        <f ca="1">结果表!H119</f>
        <v>玖亿贰仟柒佰肆拾壹万元整</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f ca="1">结果表!D122</f>
        <v>92741</v>
      </c>
      <c r="E8" s="3493"/>
      <c r="F8" s="3493"/>
      <c r="G8" s="3493"/>
      <c r="H8" s="3493"/>
      <c r="I8" s="3493"/>
    </row>
    <row r="9" spans="1:9" ht="15">
      <c r="A9" s="3494" t="s">
        <v>927</v>
      </c>
      <c r="B9" s="3494"/>
      <c r="C9" s="3494"/>
      <c r="D9" s="3494" t="str">
        <f ca="1">结果表!D123</f>
        <v>玖亿贰仟柒佰肆拾壹万元整</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0" sqref="D20"/>
      <selection pane="bottomLeft" activeCell="D20" sqref="D20"/>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0" sqref="D20"/>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45373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结果表(商业)</vt:lpstr>
      <vt:lpstr>比较法-商业</vt:lpstr>
      <vt:lpstr>比较法-工业</vt:lpstr>
      <vt:lpstr>比较法-车位</vt:lpstr>
      <vt:lpstr>比较法-仓储</vt:lpstr>
      <vt:lpstr>收益法(商业)</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2024-03-22T03:23:43Z</dcterms:modified>
</cp:coreProperties>
</file>